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other housing" sheetId="1" r:id="rId1"/>
    <sheet name="TRC" sheetId="2" r:id="rId2"/>
    <sheet name="HPLP" sheetId="3" r:id="rId3"/>
    <sheet name="Key" sheetId="4" r:id="rId4"/>
  </sheets>
  <calcPr calcId="124519" fullCalcOnLoad="1"/>
</workbook>
</file>

<file path=xl/sharedStrings.xml><?xml version="1.0" encoding="utf-8"?>
<sst xmlns="http://schemas.openxmlformats.org/spreadsheetml/2006/main" count="13785" uniqueCount="3595">
  <si>
    <t>Hyperlinked Case #</t>
  </si>
  <si>
    <t>Primary Advocate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</si>
  <si>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</si>
  <si>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</si>
  <si>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</si>
  <si>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</si>
  <si>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</si>
  <si>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</si>
  <si>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</si>
  <si>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Gen Case Index Number</t>
  </si>
  <si>
    <t>Housing Type Of Case</t>
  </si>
  <si>
    <t>Housing Level of Service</t>
  </si>
  <si>
    <t>Housing Posture of Case on Eligibility Date</t>
  </si>
  <si>
    <t>HAL Eligibility Date</t>
  </si>
  <si>
    <t>Housing Total Monthly Rent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</si>
  <si>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</si>
  <si>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</si>
  <si>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</si>
  <si>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</si>
  <si>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</si>
  <si>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</si>
  <si>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</si>
  <si>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</si>
  <si>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</si>
  <si>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</si>
  <si>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</si>
  <si>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</si>
  <si>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</si>
  <si>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</si>
  <si>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</si>
  <si>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</si>
  <si>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</si>
  <si>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</si>
  <si>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</si>
  <si>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</si>
  <si>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</si>
  <si>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</si>
  <si>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</si>
  <si>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</si>
  <si>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</si>
  <si>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Case Disposition</t>
  </si>
  <si>
    <t>Date Opened</t>
  </si>
  <si>
    <t>Date Closed</t>
  </si>
  <si>
    <t>Housing Signed DHCI Form</t>
  </si>
  <si>
    <t>Close Reason</t>
  </si>
  <si>
    <t>Primary Funding Code</t>
  </si>
  <si>
    <t>Housing Building Case?</t>
  </si>
  <si>
    <t>Secondary Funding Codes</t>
  </si>
  <si>
    <t>Legal Problem Code</t>
  </si>
  <si>
    <t>Caldwell-Kuru, Hazel</t>
  </si>
  <si>
    <t>Lorenzo, Alexis</t>
  </si>
  <si>
    <t>Schwartz, Irv</t>
  </si>
  <si>
    <t>Burkle, Arthur</t>
  </si>
  <si>
    <t>McDonald, Geoffrey</t>
  </si>
  <si>
    <t>Salcedo, Luciris</t>
  </si>
  <si>
    <t>Neilson, Kathryn</t>
  </si>
  <si>
    <t>Ma, Chiansan</t>
  </si>
  <si>
    <t>Cappellini, Bianca</t>
  </si>
  <si>
    <t>Kalum, Nicole</t>
  </si>
  <si>
    <t>De Silva, Natasia</t>
  </si>
  <si>
    <t>Pettit, Stephanie</t>
  </si>
  <si>
    <t>Lebro-Lopez, Wanda</t>
  </si>
  <si>
    <t>Siegel, Jill</t>
  </si>
  <si>
    <t>Lowery, Liam</t>
  </si>
  <si>
    <t>Norton, Carolyn</t>
  </si>
  <si>
    <t>Morgan, Zuri</t>
  </si>
  <si>
    <t>Cruz-Perez, Javier</t>
  </si>
  <si>
    <t>Schafler, Eliza</t>
  </si>
  <si>
    <t>Lynch, Megan</t>
  </si>
  <si>
    <t>Feliz, Oswald</t>
  </si>
  <si>
    <t>Ijaz, Kulsoom</t>
  </si>
  <si>
    <t>McDonald, John</t>
  </si>
  <si>
    <t>Taylor, Mark</t>
  </si>
  <si>
    <t>Ukegbu, Ezi</t>
  </si>
  <si>
    <t>Nachman, Fraidy</t>
  </si>
  <si>
    <t>Newton, Jack</t>
  </si>
  <si>
    <t>Chen, Eugene</t>
  </si>
  <si>
    <t>Encarnacion-Badru, Bea</t>
  </si>
  <si>
    <t>Ocana, Johanna</t>
  </si>
  <si>
    <t>Tongo, Salima</t>
  </si>
  <si>
    <t>Gonzalez, Atenedoro</t>
  </si>
  <si>
    <t>Fischman, Jean</t>
  </si>
  <si>
    <t>Succop, Steven</t>
  </si>
  <si>
    <t>Catuira, Rochelle</t>
  </si>
  <si>
    <t>Vaz, Marie</t>
  </si>
  <si>
    <t>Rosen, David</t>
  </si>
  <si>
    <t>Akbari, Muska</t>
  </si>
  <si>
    <t>Solivan, Jackeline</t>
  </si>
  <si>
    <t>Alvarez, Adriana</t>
  </si>
  <si>
    <t>Navarro, Norey</t>
  </si>
  <si>
    <t>Massey, Randi</t>
  </si>
  <si>
    <t>Smith, Sara</t>
  </si>
  <si>
    <t>Brutus, Jean-Pierre</t>
  </si>
  <si>
    <t>Silliman, Stacey</t>
  </si>
  <si>
    <t>Scott, Samuel</t>
  </si>
  <si>
    <t>Rahman, Urooj</t>
  </si>
  <si>
    <t>Price, Adriana</t>
  </si>
  <si>
    <t>Guzman, Michael</t>
  </si>
  <si>
    <t>Schryver, Erik</t>
  </si>
  <si>
    <t>Kellogg, Martha</t>
  </si>
  <si>
    <t>Amjad, Robia</t>
  </si>
  <si>
    <t>Laureano, Luz</t>
  </si>
  <si>
    <t>Daniels, Jesse</t>
  </si>
  <si>
    <t>Vu, Michelle</t>
  </si>
  <si>
    <t>Nimis, Roland</t>
  </si>
  <si>
    <t>Gathing, Vance</t>
  </si>
  <si>
    <t>Purcell, Emily</t>
  </si>
  <si>
    <t>Catalina</t>
  </si>
  <si>
    <t>Yawo</t>
  </si>
  <si>
    <t>Alfredo</t>
  </si>
  <si>
    <t>Noemi</t>
  </si>
  <si>
    <t>Erica</t>
  </si>
  <si>
    <t>Anthony</t>
  </si>
  <si>
    <t>Joan</t>
  </si>
  <si>
    <t>Tineta</t>
  </si>
  <si>
    <t>Hillary</t>
  </si>
  <si>
    <t>Rosendo</t>
  </si>
  <si>
    <t>Andy</t>
  </si>
  <si>
    <t>Gisela</t>
  </si>
  <si>
    <t>Ralph</t>
  </si>
  <si>
    <t>Carmen</t>
  </si>
  <si>
    <t>Anselmo</t>
  </si>
  <si>
    <t>Helen</t>
  </si>
  <si>
    <t>Georgia</t>
  </si>
  <si>
    <t>Stavros</t>
  </si>
  <si>
    <t>Aura</t>
  </si>
  <si>
    <t>Denise</t>
  </si>
  <si>
    <t>Melanie</t>
  </si>
  <si>
    <t>Mohandai</t>
  </si>
  <si>
    <t>Dominie</t>
  </si>
  <si>
    <t>Alassane</t>
  </si>
  <si>
    <t>Jose</t>
  </si>
  <si>
    <t>Angela</t>
  </si>
  <si>
    <t>Tracy</t>
  </si>
  <si>
    <t>Lenford</t>
  </si>
  <si>
    <t>Doris</t>
  </si>
  <si>
    <t>Daniel</t>
  </si>
  <si>
    <t>Maryanne</t>
  </si>
  <si>
    <t>Gail</t>
  </si>
  <si>
    <t>Isaac</t>
  </si>
  <si>
    <t>Marie</t>
  </si>
  <si>
    <t>Lindo</t>
  </si>
  <si>
    <t>Errold</t>
  </si>
  <si>
    <t>Evanice</t>
  </si>
  <si>
    <t>Carron</t>
  </si>
  <si>
    <t>Sabrina</t>
  </si>
  <si>
    <t>Sadie</t>
  </si>
  <si>
    <t>Kelton</t>
  </si>
  <si>
    <t>Nathaniel</t>
  </si>
  <si>
    <t>Geraldine</t>
  </si>
  <si>
    <t>Magdalene</t>
  </si>
  <si>
    <t>Edwin</t>
  </si>
  <si>
    <t>Eva</t>
  </si>
  <si>
    <t>Dena</t>
  </si>
  <si>
    <t>Nicole</t>
  </si>
  <si>
    <t>Pernell</t>
  </si>
  <si>
    <t>Mariam</t>
  </si>
  <si>
    <t>Shamika</t>
  </si>
  <si>
    <t>Jeanette</t>
  </si>
  <si>
    <t>Sandy</t>
  </si>
  <si>
    <t>Surujdai</t>
  </si>
  <si>
    <t>SHANELL</t>
  </si>
  <si>
    <t>Matou</t>
  </si>
  <si>
    <t>Julius</t>
  </si>
  <si>
    <t>Shanequa</t>
  </si>
  <si>
    <t>Angelica</t>
  </si>
  <si>
    <t>Maria</t>
  </si>
  <si>
    <t>Gabby</t>
  </si>
  <si>
    <t>Bryant</t>
  </si>
  <si>
    <t>Daphne</t>
  </si>
  <si>
    <t>Julio</t>
  </si>
  <si>
    <t>Juan</t>
  </si>
  <si>
    <t>Auralina</t>
  </si>
  <si>
    <t>Eduardo</t>
  </si>
  <si>
    <t>Teresa</t>
  </si>
  <si>
    <t>Nemesio</t>
  </si>
  <si>
    <t>Oscar</t>
  </si>
  <si>
    <t>Marlene</t>
  </si>
  <si>
    <t>Fernando</t>
  </si>
  <si>
    <t>Ann</t>
  </si>
  <si>
    <t>Gladys</t>
  </si>
  <si>
    <t>James</t>
  </si>
  <si>
    <t>Kafele</t>
  </si>
  <si>
    <t>Brenda</t>
  </si>
  <si>
    <t>Stephanie</t>
  </si>
  <si>
    <t>Simone</t>
  </si>
  <si>
    <t>Mark</t>
  </si>
  <si>
    <t>Marian</t>
  </si>
  <si>
    <t>Catherine</t>
  </si>
  <si>
    <t>Shatasha</t>
  </si>
  <si>
    <t>George</t>
  </si>
  <si>
    <t>Eric</t>
  </si>
  <si>
    <t>Lorna</t>
  </si>
  <si>
    <t>Anita</t>
  </si>
  <si>
    <t>Judith</t>
  </si>
  <si>
    <t>Robert</t>
  </si>
  <si>
    <t>Gloria</t>
  </si>
  <si>
    <t>Virner</t>
  </si>
  <si>
    <t>April</t>
  </si>
  <si>
    <t>Geri</t>
  </si>
  <si>
    <t>Awelda</t>
  </si>
  <si>
    <t>Tanzea</t>
  </si>
  <si>
    <t>Rose</t>
  </si>
  <si>
    <t>Sandra</t>
  </si>
  <si>
    <t>Muthana</t>
  </si>
  <si>
    <t>Carlos</t>
  </si>
  <si>
    <t>Ernest</t>
  </si>
  <si>
    <t>Gary</t>
  </si>
  <si>
    <t>Mutasim</t>
  </si>
  <si>
    <t>Michael</t>
  </si>
  <si>
    <t>Reginald</t>
  </si>
  <si>
    <t>Richard</t>
  </si>
  <si>
    <t>Maurice</t>
  </si>
  <si>
    <t>Beverly</t>
  </si>
  <si>
    <t>Keila</t>
  </si>
  <si>
    <t>Vanessa</t>
  </si>
  <si>
    <t>Sonia</t>
  </si>
  <si>
    <t>Gayla</t>
  </si>
  <si>
    <t>Anyelina</t>
  </si>
  <si>
    <t>Philip</t>
  </si>
  <si>
    <t>Nouel</t>
  </si>
  <si>
    <t>Frank</t>
  </si>
  <si>
    <t>Natsumi</t>
  </si>
  <si>
    <t>Stardasha</t>
  </si>
  <si>
    <t>ODETTE</t>
  </si>
  <si>
    <t>Audelle</t>
  </si>
  <si>
    <t>Darren</t>
  </si>
  <si>
    <t>Karen</t>
  </si>
  <si>
    <t>Marshon</t>
  </si>
  <si>
    <t>Manuela</t>
  </si>
  <si>
    <t>Brunilda</t>
  </si>
  <si>
    <t>Frederick</t>
  </si>
  <si>
    <t>Nesbit</t>
  </si>
  <si>
    <t>Juana</t>
  </si>
  <si>
    <t>Ruben</t>
  </si>
  <si>
    <t>Losseni</t>
  </si>
  <si>
    <t>Angel</t>
  </si>
  <si>
    <t>Roberto</t>
  </si>
  <si>
    <t>Casilda</t>
  </si>
  <si>
    <t>Ruth</t>
  </si>
  <si>
    <t>Donald</t>
  </si>
  <si>
    <t>Ebony</t>
  </si>
  <si>
    <t>Earl</t>
  </si>
  <si>
    <t>Luz</t>
  </si>
  <si>
    <t>Carolyn</t>
  </si>
  <si>
    <t>Michelle</t>
  </si>
  <si>
    <t>Moussa</t>
  </si>
  <si>
    <t>Shelley</t>
  </si>
  <si>
    <t>Deborah</t>
  </si>
  <si>
    <t>Theresa</t>
  </si>
  <si>
    <t>Nasima</t>
  </si>
  <si>
    <t>Terril</t>
  </si>
  <si>
    <t>Luis</t>
  </si>
  <si>
    <t>Rafael</t>
  </si>
  <si>
    <t>Lucinda</t>
  </si>
  <si>
    <t>Kimberly</t>
  </si>
  <si>
    <t>Cedric</t>
  </si>
  <si>
    <t>Alvin</t>
  </si>
  <si>
    <t>Tamica</t>
  </si>
  <si>
    <t>Genise</t>
  </si>
  <si>
    <t>Linette</t>
  </si>
  <si>
    <t>Balbina</t>
  </si>
  <si>
    <t>Jessica</t>
  </si>
  <si>
    <t>Rosa</t>
  </si>
  <si>
    <t>Rodriguez</t>
  </si>
  <si>
    <t>Gbegnedji</t>
  </si>
  <si>
    <t>Hill</t>
  </si>
  <si>
    <t>Ortiz</t>
  </si>
  <si>
    <t>Bunn</t>
  </si>
  <si>
    <t>Omoruan</t>
  </si>
  <si>
    <t>Hyatt McKenzie</t>
  </si>
  <si>
    <t>Newton</t>
  </si>
  <si>
    <t>Odemene</t>
  </si>
  <si>
    <t>Yungaicela</t>
  </si>
  <si>
    <t>Almonte</t>
  </si>
  <si>
    <t>Chevettiss</t>
  </si>
  <si>
    <t>Willis</t>
  </si>
  <si>
    <t>Cabezudo</t>
  </si>
  <si>
    <t>Luna</t>
  </si>
  <si>
    <t>Quist</t>
  </si>
  <si>
    <t>Walters-Smith</t>
  </si>
  <si>
    <t>Haramis</t>
  </si>
  <si>
    <t>Sanchez</t>
  </si>
  <si>
    <t>Abernethy</t>
  </si>
  <si>
    <t>Pagan-Merritt</t>
  </si>
  <si>
    <t>Green</t>
  </si>
  <si>
    <t>Parmesar</t>
  </si>
  <si>
    <t>Morgan</t>
  </si>
  <si>
    <t>Diallo</t>
  </si>
  <si>
    <t>Cariño</t>
  </si>
  <si>
    <t>Wilson</t>
  </si>
  <si>
    <t>Bourne</t>
  </si>
  <si>
    <t>Dell</t>
  </si>
  <si>
    <t>Martinez</t>
  </si>
  <si>
    <t>Pena</t>
  </si>
  <si>
    <t>Hook</t>
  </si>
  <si>
    <t>Lowe</t>
  </si>
  <si>
    <t>Singleton</t>
  </si>
  <si>
    <t>Nelson</t>
  </si>
  <si>
    <t>Bodden</t>
  </si>
  <si>
    <t>Woolward</t>
  </si>
  <si>
    <t>Pineda-Delgado</t>
  </si>
  <si>
    <t>Hayward</t>
  </si>
  <si>
    <t>Sherwood</t>
  </si>
  <si>
    <t>Tomlinson</t>
  </si>
  <si>
    <t>Montanez</t>
  </si>
  <si>
    <t>Johnson</t>
  </si>
  <si>
    <t>Jones</t>
  </si>
  <si>
    <t>Swift</t>
  </si>
  <si>
    <t>Kamalu</t>
  </si>
  <si>
    <t>Jarvis</t>
  </si>
  <si>
    <t>Reyes</t>
  </si>
  <si>
    <t>Williams</t>
  </si>
  <si>
    <t>BELLINGER</t>
  </si>
  <si>
    <t>Thomas</t>
  </si>
  <si>
    <t>Kenneh</t>
  </si>
  <si>
    <t>Pichardo</t>
  </si>
  <si>
    <t>Reid</t>
  </si>
  <si>
    <t>Berger</t>
  </si>
  <si>
    <t>Creech</t>
  </si>
  <si>
    <t>Scwlall</t>
  </si>
  <si>
    <t>WOLFE</t>
  </si>
  <si>
    <t>Dieng</t>
  </si>
  <si>
    <t>Barnes</t>
  </si>
  <si>
    <t>Jackson</t>
  </si>
  <si>
    <t>Baria</t>
  </si>
  <si>
    <t>Solis</t>
  </si>
  <si>
    <t>Brown</t>
  </si>
  <si>
    <t>Gil</t>
  </si>
  <si>
    <t>Hernandez</t>
  </si>
  <si>
    <t>Rosario</t>
  </si>
  <si>
    <t>Vazquez</t>
  </si>
  <si>
    <t>Lopez</t>
  </si>
  <si>
    <t>Dominguez</t>
  </si>
  <si>
    <t>Nicholson</t>
  </si>
  <si>
    <t>Frazier</t>
  </si>
  <si>
    <t>Alonso</t>
  </si>
  <si>
    <t>McLendon</t>
  </si>
  <si>
    <t>Borges</t>
  </si>
  <si>
    <t>Levine</t>
  </si>
  <si>
    <t>Murillo</t>
  </si>
  <si>
    <t>Valenzuela</t>
  </si>
  <si>
    <t>Walker</t>
  </si>
  <si>
    <t>Kotok</t>
  </si>
  <si>
    <t>Gonzalez</t>
  </si>
  <si>
    <t>Taylor</t>
  </si>
  <si>
    <t>Robinson</t>
  </si>
  <si>
    <t>Lee</t>
  </si>
  <si>
    <t>Duran</t>
  </si>
  <si>
    <t>Riddick</t>
  </si>
  <si>
    <t>Alicea</t>
  </si>
  <si>
    <t>Morrison</t>
  </si>
  <si>
    <t>Palmer</t>
  </si>
  <si>
    <t>Alvarez</t>
  </si>
  <si>
    <t>Humbert</t>
  </si>
  <si>
    <t>Phelps</t>
  </si>
  <si>
    <t>Paige</t>
  </si>
  <si>
    <t>Grant</t>
  </si>
  <si>
    <t>Benjamin</t>
  </si>
  <si>
    <t>Amaro</t>
  </si>
  <si>
    <t>Gancei</t>
  </si>
  <si>
    <t>Francisco</t>
  </si>
  <si>
    <t>Saleh</t>
  </si>
  <si>
    <t>Gregory</t>
  </si>
  <si>
    <t>Urban</t>
  </si>
  <si>
    <t>Richardson</t>
  </si>
  <si>
    <t>Muhammad</t>
  </si>
  <si>
    <t>Santiago</t>
  </si>
  <si>
    <t>Arias</t>
  </si>
  <si>
    <t>Wheeler</t>
  </si>
  <si>
    <t>Cooper</t>
  </si>
  <si>
    <t>Ramos</t>
  </si>
  <si>
    <t>Lake</t>
  </si>
  <si>
    <t>Vega-Rivera</t>
  </si>
  <si>
    <t>Moreno</t>
  </si>
  <si>
    <t>Novas</t>
  </si>
  <si>
    <t>Lesley</t>
  </si>
  <si>
    <t>Lespin</t>
  </si>
  <si>
    <t>Prater</t>
  </si>
  <si>
    <t>Burgos</t>
  </si>
  <si>
    <t>Alston</t>
  </si>
  <si>
    <t>Peralta</t>
  </si>
  <si>
    <t>SERANO</t>
  </si>
  <si>
    <t>Bodie</t>
  </si>
  <si>
    <t>Bender</t>
  </si>
  <si>
    <t>Swinson</t>
  </si>
  <si>
    <t>Moore</t>
  </si>
  <si>
    <t>Astor</t>
  </si>
  <si>
    <t>Kurtz</t>
  </si>
  <si>
    <t>Davis</t>
  </si>
  <si>
    <t>Hidalgo</t>
  </si>
  <si>
    <t>Escalante</t>
  </si>
  <si>
    <t>Dosso</t>
  </si>
  <si>
    <t>Shaljanin</t>
  </si>
  <si>
    <t>Arevelo</t>
  </si>
  <si>
    <t>Wilkinson</t>
  </si>
  <si>
    <t>Segarra</t>
  </si>
  <si>
    <t>Johannes</t>
  </si>
  <si>
    <t>Boone</t>
  </si>
  <si>
    <t>Pantoja</t>
  </si>
  <si>
    <t>Harding</t>
  </si>
  <si>
    <t>Javier</t>
  </si>
  <si>
    <t>Akosa</t>
  </si>
  <si>
    <t>Bovell-Box</t>
  </si>
  <si>
    <t>Duhaney</t>
  </si>
  <si>
    <t>Magassa</t>
  </si>
  <si>
    <t>Scherman</t>
  </si>
  <si>
    <t>Kerr</t>
  </si>
  <si>
    <t>Fusilier-Wayne</t>
  </si>
  <si>
    <t>Uddin</t>
  </si>
  <si>
    <t>Maxwell</t>
  </si>
  <si>
    <t>Armwood</t>
  </si>
  <si>
    <t>McBride</t>
  </si>
  <si>
    <t>Oliver</t>
  </si>
  <si>
    <t>Marquez</t>
  </si>
  <si>
    <t>Thompson</t>
  </si>
  <si>
    <t>Harley-Agyere</t>
  </si>
  <si>
    <t>Maldonado</t>
  </si>
  <si>
    <t>Lambert</t>
  </si>
  <si>
    <t>Ramroop</t>
  </si>
  <si>
    <t>Asencio</t>
  </si>
  <si>
    <t>2111 Southern Blvd</t>
  </si>
  <si>
    <t>410 E 187th St</t>
  </si>
  <si>
    <t>341 Taylor Ave</t>
  </si>
  <si>
    <t>28 Metropolitan Oval</t>
  </si>
  <si>
    <t>1420 Parkchester Rd</t>
  </si>
  <si>
    <t>3080 Decatur Ave</t>
  </si>
  <si>
    <t>4514 Hill Ave</t>
  </si>
  <si>
    <t>3321 Fenton Ave</t>
  </si>
  <si>
    <t>1052 Burke Ave</t>
  </si>
  <si>
    <t>966 E 179th St</t>
  </si>
  <si>
    <t>2284 Beaumont Ave</t>
  </si>
  <si>
    <t>303 Torry Ave</t>
  </si>
  <si>
    <t>2766 Sexton Pl</t>
  </si>
  <si>
    <t>708 E 134th St</t>
  </si>
  <si>
    <t>865 E 223rd St</t>
  </si>
  <si>
    <t>291 Swinton Ave</t>
  </si>
  <si>
    <t>626 E 226th St</t>
  </si>
  <si>
    <t>332 W 234th St</t>
  </si>
  <si>
    <t>1322 Fteley Ave</t>
  </si>
  <si>
    <t>3005 Kingsland Ave</t>
  </si>
  <si>
    <t>126 Neptune Ln</t>
  </si>
  <si>
    <t>61 Beacon Ln</t>
  </si>
  <si>
    <t>3981 Barnes Ave</t>
  </si>
  <si>
    <t>3218 Wickham ave</t>
  </si>
  <si>
    <t>722 E 217th St</t>
  </si>
  <si>
    <t>345 Taylor Ave</t>
  </si>
  <si>
    <t>2105 New England Thru</t>
  </si>
  <si>
    <t>1585 Unionport Rd</t>
  </si>
  <si>
    <t>2724 Sexton Pl</t>
  </si>
  <si>
    <t>1340 College Ave</t>
  </si>
  <si>
    <t>338 Taylor Ave</t>
  </si>
  <si>
    <t>1612 Poplar St</t>
  </si>
  <si>
    <t>1035 Manor Ave</t>
  </si>
  <si>
    <t>906 Wheeler Ave</t>
  </si>
  <si>
    <t>1725 Purdy St</t>
  </si>
  <si>
    <t>1541 Metropolitan Ave</t>
  </si>
  <si>
    <t>3227 Lurting Ave</t>
  </si>
  <si>
    <t>1969 Mcgraw Ave</t>
  </si>
  <si>
    <t>4029 De Reimer Ave</t>
  </si>
  <si>
    <t>1514 Unionport Rd</t>
  </si>
  <si>
    <t>3312 Tiemann Ave</t>
  </si>
  <si>
    <t>984 Findlay Ave</t>
  </si>
  <si>
    <t>828 E 222nd St</t>
  </si>
  <si>
    <t>3416 Ely Ave</t>
  </si>
  <si>
    <t>1172 Ogden Ave</t>
  </si>
  <si>
    <t>1123 E 221st St</t>
  </si>
  <si>
    <t>953 E 232nd St</t>
  </si>
  <si>
    <t>3990 Paulding Ave</t>
  </si>
  <si>
    <t>780 Concourse Vlg W</t>
  </si>
  <si>
    <t>1831 Unionport Rd</t>
  </si>
  <si>
    <t>80 Mcclellan St</t>
  </si>
  <si>
    <t>1060 sheridan ave</t>
  </si>
  <si>
    <t>1997 Davidson Ave</t>
  </si>
  <si>
    <t>1055 Jerome ave</t>
  </si>
  <si>
    <t>3970 3rd Ave</t>
  </si>
  <si>
    <t>3660 Waldo Ave</t>
  </si>
  <si>
    <t>2350 Waterbury Ave</t>
  </si>
  <si>
    <t>856 E 214th st</t>
  </si>
  <si>
    <t>333 E 181ST St</t>
  </si>
  <si>
    <t>1665 Bryant Ave</t>
  </si>
  <si>
    <t>40 Richman Plz</t>
  </si>
  <si>
    <t>1058 Southern Blvd</t>
  </si>
  <si>
    <t>2825 Grand Concourse</t>
  </si>
  <si>
    <t>1080 Anderson Ave</t>
  </si>
  <si>
    <t>1421 Grand Concourse</t>
  </si>
  <si>
    <t>1500 Grand Concourse</t>
  </si>
  <si>
    <t>725 Garden St</t>
  </si>
  <si>
    <t>582 Courtlandt Ave</t>
  </si>
  <si>
    <t>1750 Grand Concourse</t>
  </si>
  <si>
    <t>1926 Walton Ave</t>
  </si>
  <si>
    <t>705 E 179th St</t>
  </si>
  <si>
    <t>1384 Grand Concourse</t>
  </si>
  <si>
    <t>545 E 144th St</t>
  </si>
  <si>
    <t>4382 Furman Ave</t>
  </si>
  <si>
    <t>1895 Belmont Ave</t>
  </si>
  <si>
    <t>120 De Kruif Pl</t>
  </si>
  <si>
    <t>870 courtlandt ave</t>
  </si>
  <si>
    <t>909 Kelly St</t>
  </si>
  <si>
    <t>2147 E 35th St</t>
  </si>
  <si>
    <t>2060 Crotona Pkwy</t>
  </si>
  <si>
    <t>1420 Crotona Park E</t>
  </si>
  <si>
    <t>1041 E 179th St</t>
  </si>
  <si>
    <t>1776 Weeks Ave</t>
  </si>
  <si>
    <t>2504 Olinville Ave</t>
  </si>
  <si>
    <t>7 W Farms Square Plz</t>
  </si>
  <si>
    <t>3548 Tryon Ave</t>
  </si>
  <si>
    <t>20 Richmind Plaza</t>
  </si>
  <si>
    <t>1450 Taylor Ave</t>
  </si>
  <si>
    <t>1011 Nelson Ave</t>
  </si>
  <si>
    <t>634 E 221st St</t>
  </si>
  <si>
    <t>1314 Merriam Ave</t>
  </si>
  <si>
    <t>240 E 175th st</t>
  </si>
  <si>
    <t>2250 Crotona Ave</t>
  </si>
  <si>
    <t>1495 Grand Concourse</t>
  </si>
  <si>
    <t>78 Stratton St S</t>
  </si>
  <si>
    <t>2026 Westchester Ave</t>
  </si>
  <si>
    <t>3618 Bronx blvd</t>
  </si>
  <si>
    <t>4365 Ely Ave</t>
  </si>
  <si>
    <t>1876 cedar ave</t>
  </si>
  <si>
    <t>1925 Adam Clayton Powell Jr Blvd</t>
  </si>
  <si>
    <t>2257 BRUCKNER Blvd</t>
  </si>
  <si>
    <t>1387 Jesup Ave</t>
  </si>
  <si>
    <t>2145 Starling Ave</t>
  </si>
  <si>
    <t>1685 Univ Ave</t>
  </si>
  <si>
    <t>888 Grand Concourse</t>
  </si>
  <si>
    <t>1134 Bryant Ave</t>
  </si>
  <si>
    <t>1191 Boston Rd</t>
  </si>
  <si>
    <t>1154 Stratford Ave</t>
  </si>
  <si>
    <t>2251 Sedgwick Ave</t>
  </si>
  <si>
    <t>1551 Sheridan Ave</t>
  </si>
  <si>
    <t>680 Tinton Ave</t>
  </si>
  <si>
    <t>1065 Jerome Ave</t>
  </si>
  <si>
    <t>436 E 134th St</t>
  </si>
  <si>
    <t>1535 Undercliff Ave</t>
  </si>
  <si>
    <t>1880 Lafayette Ave</t>
  </si>
  <si>
    <t>2608 Creston Ave</t>
  </si>
  <si>
    <t>2137 Vyse Ave</t>
  </si>
  <si>
    <t>1520 Sedgwick Ave</t>
  </si>
  <si>
    <t>2476 Cambreleng Ave</t>
  </si>
  <si>
    <t>1141 Elder Ave</t>
  </si>
  <si>
    <t>1507 Metropolitan Ave</t>
  </si>
  <si>
    <t>3521 Dekalb Ave</t>
  </si>
  <si>
    <t>2127 Homer Ave</t>
  </si>
  <si>
    <t>769 Bryant Ave</t>
  </si>
  <si>
    <t>1120 Wheeler Ave</t>
  </si>
  <si>
    <t>1430 Parkchester Rd</t>
  </si>
  <si>
    <t>2037 Webster Ave</t>
  </si>
  <si>
    <t>1085 Washington Ave</t>
  </si>
  <si>
    <t>5240 Broadway</t>
  </si>
  <si>
    <t>820 Thieriot Ave</t>
  </si>
  <si>
    <t>3220 Steuben Ave</t>
  </si>
  <si>
    <t>3532 Tryon Ave</t>
  </si>
  <si>
    <t>1625 Arnow Ave</t>
  </si>
  <si>
    <t>190 E Mosholu Pkwy S</t>
  </si>
  <si>
    <t>1601 Metropolitan Ave</t>
  </si>
  <si>
    <t>2400 Webb Ave</t>
  </si>
  <si>
    <t>3018 Kingsbridge Ave</t>
  </si>
  <si>
    <t>700 Ocean Ave</t>
  </si>
  <si>
    <t>863 East 220th Street</t>
  </si>
  <si>
    <t>1405 Townsend Ave</t>
  </si>
  <si>
    <t>2285 Davidson Ave</t>
  </si>
  <si>
    <t>955 Walton Ave</t>
  </si>
  <si>
    <t>3400 Tryon Ave</t>
  </si>
  <si>
    <t>2645 3rd Ave</t>
  </si>
  <si>
    <t>1367 Ellison Ave</t>
  </si>
  <si>
    <t>421 27th Ave</t>
  </si>
  <si>
    <t>1118 Westcher Ave</t>
  </si>
  <si>
    <t>1950 E Tremont Ave</t>
  </si>
  <si>
    <t>103 W 141st St</t>
  </si>
  <si>
    <t>1594 Metropolitan Ave</t>
  </si>
  <si>
    <t>1022 Woodycrest Ave</t>
  </si>
  <si>
    <t>1 Delafield Way</t>
  </si>
  <si>
    <t>1003 Ward Ave</t>
  </si>
  <si>
    <t>1958 Needham Ave</t>
  </si>
  <si>
    <t>204 Outlook Ave</t>
  </si>
  <si>
    <t>262 Amboy St</t>
  </si>
  <si>
    <t>710 Tinton Ave</t>
  </si>
  <si>
    <t>775 Concourse Vlg E</t>
  </si>
  <si>
    <t>1765 Townsend Ave</t>
  </si>
  <si>
    <t>1685 Banyer Pl</t>
  </si>
  <si>
    <t>875 Morrison Ave</t>
  </si>
  <si>
    <t>2701 Kingsbridge Ter</t>
  </si>
  <si>
    <t>2375 Southern Blvd</t>
  </si>
  <si>
    <t>1933 Chatterton Ave</t>
  </si>
  <si>
    <t>1410 Wood Rd</t>
  </si>
  <si>
    <t>645 Arnow Ave</t>
  </si>
  <si>
    <t>2022 Continental Ave</t>
  </si>
  <si>
    <t>1212 Mlk Blvd.</t>
  </si>
  <si>
    <t>432 Concord Ave</t>
  </si>
  <si>
    <t>818 E 222nd St</t>
  </si>
  <si>
    <t>1435 Parker St</t>
  </si>
  <si>
    <t>644b Manida St</t>
  </si>
  <si>
    <t>27D</t>
  </si>
  <si>
    <t>11E</t>
  </si>
  <si>
    <t>7F</t>
  </si>
  <si>
    <t>1st floor</t>
  </si>
  <si>
    <t>2FL</t>
  </si>
  <si>
    <t>BSMT</t>
  </si>
  <si>
    <t>1F</t>
  </si>
  <si>
    <t>3A</t>
  </si>
  <si>
    <t>3E</t>
  </si>
  <si>
    <t>1fl</t>
  </si>
  <si>
    <t>PH</t>
  </si>
  <si>
    <t>2F</t>
  </si>
  <si>
    <t>3C</t>
  </si>
  <si>
    <t>3F</t>
  </si>
  <si>
    <t>9C</t>
  </si>
  <si>
    <t>TB</t>
  </si>
  <si>
    <t>3D</t>
  </si>
  <si>
    <t>#2</t>
  </si>
  <si>
    <t>24B</t>
  </si>
  <si>
    <t>7K</t>
  </si>
  <si>
    <t>2D</t>
  </si>
  <si>
    <t>B5</t>
  </si>
  <si>
    <t>1D</t>
  </si>
  <si>
    <t>6M</t>
  </si>
  <si>
    <t>1 floor</t>
  </si>
  <si>
    <t>4B</t>
  </si>
  <si>
    <t>21G</t>
  </si>
  <si>
    <t>1H</t>
  </si>
  <si>
    <t>2B</t>
  </si>
  <si>
    <t>63B</t>
  </si>
  <si>
    <t>16F</t>
  </si>
  <si>
    <t>2J</t>
  </si>
  <si>
    <t>2-D</t>
  </si>
  <si>
    <t>8B</t>
  </si>
  <si>
    <t>Apt 3K</t>
  </si>
  <si>
    <t>21A</t>
  </si>
  <si>
    <t>basement</t>
  </si>
  <si>
    <t>8D</t>
  </si>
  <si>
    <t>Apt 19F</t>
  </si>
  <si>
    <t>2A</t>
  </si>
  <si>
    <t>6B</t>
  </si>
  <si>
    <t>Apt 3B</t>
  </si>
  <si>
    <t>34J</t>
  </si>
  <si>
    <t>1G</t>
  </si>
  <si>
    <t>11R</t>
  </si>
  <si>
    <t>5F</t>
  </si>
  <si>
    <t>4A</t>
  </si>
  <si>
    <t>5H</t>
  </si>
  <si>
    <t>1C</t>
  </si>
  <si>
    <t>3K</t>
  </si>
  <si>
    <t>2E</t>
  </si>
  <si>
    <t>4J</t>
  </si>
  <si>
    <t>11G</t>
  </si>
  <si>
    <t>3B</t>
  </si>
  <si>
    <t>2K</t>
  </si>
  <si>
    <t>E1</t>
  </si>
  <si>
    <t>B45</t>
  </si>
  <si>
    <t>4C</t>
  </si>
  <si>
    <t>4I</t>
  </si>
  <si>
    <t>5G</t>
  </si>
  <si>
    <t>9H</t>
  </si>
  <si>
    <t>5J</t>
  </si>
  <si>
    <t>1A</t>
  </si>
  <si>
    <t>LD</t>
  </si>
  <si>
    <t>4F</t>
  </si>
  <si>
    <t>6A</t>
  </si>
  <si>
    <t>5A</t>
  </si>
  <si>
    <t>2I</t>
  </si>
  <si>
    <t>2G</t>
  </si>
  <si>
    <t>D</t>
  </si>
  <si>
    <t>Apt 5A</t>
  </si>
  <si>
    <t>2nd FL</t>
  </si>
  <si>
    <t>4D</t>
  </si>
  <si>
    <t>4E</t>
  </si>
  <si>
    <t>3rd Floor</t>
  </si>
  <si>
    <t>Bsmt</t>
  </si>
  <si>
    <t>12G</t>
  </si>
  <si>
    <t>17E</t>
  </si>
  <si>
    <t>10D</t>
  </si>
  <si>
    <t>8F</t>
  </si>
  <si>
    <t>7G</t>
  </si>
  <si>
    <t>Apt 4B</t>
  </si>
  <si>
    <t>Bsmt Apt</t>
  </si>
  <si>
    <t>1st FL</t>
  </si>
  <si>
    <t>Bronx</t>
  </si>
  <si>
    <t>Brooklyn</t>
  </si>
  <si>
    <t>Yonkers</t>
  </si>
  <si>
    <t>New York</t>
  </si>
  <si>
    <t>Astoria</t>
  </si>
  <si>
    <t>Yes</t>
  </si>
  <si>
    <t xml:space="preserve"> </t>
  </si>
  <si>
    <t>No</t>
  </si>
  <si>
    <t>none</t>
  </si>
  <si>
    <t>LT-013980-19/BX</t>
  </si>
  <si>
    <t>LT-020266-19/BX</t>
  </si>
  <si>
    <t>016737-19/BX</t>
  </si>
  <si>
    <t>LT-016089-19/BX</t>
  </si>
  <si>
    <t>CG0045/19BX</t>
  </si>
  <si>
    <t>LT-013067-19/BX</t>
  </si>
  <si>
    <t>48997/18</t>
  </si>
  <si>
    <t>LT-053183-18/BX</t>
  </si>
  <si>
    <t>LT-015772-19/BX</t>
  </si>
  <si>
    <t>LT-000128-19/BX</t>
  </si>
  <si>
    <t>LT-017407-18/BX</t>
  </si>
  <si>
    <t>LT-050617-18/BX</t>
  </si>
  <si>
    <t>LT-024248-18/BX</t>
  </si>
  <si>
    <t>LT-068842-18/BX</t>
  </si>
  <si>
    <t>LT4445-19/BX</t>
  </si>
  <si>
    <t>LT-010677-19/BX</t>
  </si>
  <si>
    <t>LT-019011-19/BX</t>
  </si>
  <si>
    <t>LT-057814-18/BX</t>
  </si>
  <si>
    <t>LT-013465-19/BX</t>
  </si>
  <si>
    <t>LT-3337-19</t>
  </si>
  <si>
    <t>LT-067117-18/BX</t>
  </si>
  <si>
    <t>LT-028293-19/BX</t>
  </si>
  <si>
    <t>LT-010952-19/BX</t>
  </si>
  <si>
    <t>LT- 026972-19/BX</t>
  </si>
  <si>
    <t>250601-19</t>
  </si>
  <si>
    <t>LT-030063-19/BX</t>
  </si>
  <si>
    <t>LT-030923-19/BX</t>
  </si>
  <si>
    <t>LT-021346-19/BX</t>
  </si>
  <si>
    <t>LT-031077-19/BX</t>
  </si>
  <si>
    <t>LT-050971-18/BX</t>
  </si>
  <si>
    <t>LT-012175-18/NY</t>
  </si>
  <si>
    <t>LT-028249-19/BX</t>
  </si>
  <si>
    <t>LT-014407-19/BX</t>
  </si>
  <si>
    <t>LT-064055-18/BX</t>
  </si>
  <si>
    <t>LT-802893-19</t>
  </si>
  <si>
    <t>LT-053408-19/KI</t>
  </si>
  <si>
    <t>LT-811915-19/BX</t>
  </si>
  <si>
    <t>LT-026857-18/BX</t>
  </si>
  <si>
    <t>LT-019248-19/BX</t>
  </si>
  <si>
    <t>LT-18206-19</t>
  </si>
  <si>
    <t>LT-023506-19/BX</t>
  </si>
  <si>
    <t>LT-007241-19/BX</t>
  </si>
  <si>
    <t>LT-022280-19/BX</t>
  </si>
  <si>
    <t>Sec. 8 Termination</t>
  </si>
  <si>
    <t>Holdover</t>
  </si>
  <si>
    <t>No Case</t>
  </si>
  <si>
    <t>Non-payment</t>
  </si>
  <si>
    <t>HP Action</t>
  </si>
  <si>
    <t>DHCR Administrative Action</t>
  </si>
  <si>
    <t>Tenant Rights</t>
  </si>
  <si>
    <t>Non-Litigation Advocacy</t>
  </si>
  <si>
    <t>Section 8 other</t>
  </si>
  <si>
    <t>Advice</t>
  </si>
  <si>
    <t>Brief Service</t>
  </si>
  <si>
    <t>Representation - State Court</t>
  </si>
  <si>
    <t>Hold For Review</t>
  </si>
  <si>
    <t>Representation - Federal Court</t>
  </si>
  <si>
    <t>Post-Judgment, Tenant Out of Possession</t>
  </si>
  <si>
    <t>No Stipulation; No Judgment</t>
  </si>
  <si>
    <t>Post-Stipulation, No Judgment</t>
  </si>
  <si>
    <t>Post-Judgment, Tenant in Possession-Judgment Due to Default</t>
  </si>
  <si>
    <t>In-House</t>
  </si>
  <si>
    <t>Other</t>
  </si>
  <si>
    <t>Community Organization</t>
  </si>
  <si>
    <t>3-1-1</t>
  </si>
  <si>
    <t>Other City Agency</t>
  </si>
  <si>
    <t>Returning Client</t>
  </si>
  <si>
    <t>Court Referral-NON HRA</t>
  </si>
  <si>
    <t>Word of mouth</t>
  </si>
  <si>
    <t>Self-referred</t>
  </si>
  <si>
    <t>Outreach</t>
  </si>
  <si>
    <t>HRA</t>
  </si>
  <si>
    <t>6014-Obtained advice and counsel on a Housing matter</t>
  </si>
  <si>
    <t>6015-Obtained non-litgation advocacy services on a Housing  matter</t>
  </si>
  <si>
    <t>6005-Avoided or delayed foreclosure or other loss of home</t>
  </si>
  <si>
    <t>6003-Delayed eviction providing time to seek alternative housing</t>
  </si>
  <si>
    <t>6017-Obtained other benefit on a Housing matter</t>
  </si>
  <si>
    <t>6018-Prevented eviction from subsidized housing</t>
  </si>
  <si>
    <t>05/31/1972</t>
  </si>
  <si>
    <t>07/12/1973</t>
  </si>
  <si>
    <t>05/05/1941</t>
  </si>
  <si>
    <t>05/28/1953</t>
  </si>
  <si>
    <t>12/03/1969</t>
  </si>
  <si>
    <t>09/06/1955</t>
  </si>
  <si>
    <t>05/21/1947</t>
  </si>
  <si>
    <t>10/08/1968</t>
  </si>
  <si>
    <t>10/20/1959</t>
  </si>
  <si>
    <t>09/13/1938</t>
  </si>
  <si>
    <t>10/17/1974</t>
  </si>
  <si>
    <t>12/15/1958</t>
  </si>
  <si>
    <t>02/08/1956</t>
  </si>
  <si>
    <t>11/27/1935</t>
  </si>
  <si>
    <t>04/21/1956</t>
  </si>
  <si>
    <t>01/07/1977</t>
  </si>
  <si>
    <t>08/11/1963</t>
  </si>
  <si>
    <t>03/27/1934</t>
  </si>
  <si>
    <t>10/28/1950</t>
  </si>
  <si>
    <t>02/05/1965</t>
  </si>
  <si>
    <t>03/12/1980</t>
  </si>
  <si>
    <t>04/29/1964</t>
  </si>
  <si>
    <t>07/23/1972</t>
  </si>
  <si>
    <t>09/28/1963</t>
  </si>
  <si>
    <t>03/16/1961</t>
  </si>
  <si>
    <t>12/03/1973</t>
  </si>
  <si>
    <t>02/17/1966</t>
  </si>
  <si>
    <t>11/01/1963</t>
  </si>
  <si>
    <t>05/08/1943</t>
  </si>
  <si>
    <t>03/28/1955</t>
  </si>
  <si>
    <t>07/21/1939</t>
  </si>
  <si>
    <t>07/19/1939</t>
  </si>
  <si>
    <t>09/22/1958</t>
  </si>
  <si>
    <t>05/21/1961</t>
  </si>
  <si>
    <t>08/17/1973</t>
  </si>
  <si>
    <t>07/12/1962</t>
  </si>
  <si>
    <t>06/09/1967</t>
  </si>
  <si>
    <t>11/03/1985</t>
  </si>
  <si>
    <t>11/08/1968</t>
  </si>
  <si>
    <t>06/07/1955</t>
  </si>
  <si>
    <t>05/09/1953</t>
  </si>
  <si>
    <t>02/21/1939</t>
  </si>
  <si>
    <t>06/04/1932</t>
  </si>
  <si>
    <t>03/13/1938</t>
  </si>
  <si>
    <t>05/04/1946</t>
  </si>
  <si>
    <t>04/02/1961</t>
  </si>
  <si>
    <t>10/27/1944</t>
  </si>
  <si>
    <t>10/26/1951</t>
  </si>
  <si>
    <t>01/01/1966</t>
  </si>
  <si>
    <t>12/01/1985</t>
  </si>
  <si>
    <t>05/17/1964</t>
  </si>
  <si>
    <t>02/26/1992</t>
  </si>
  <si>
    <t>12/27/1976</t>
  </si>
  <si>
    <t>05/12/1983</t>
  </si>
  <si>
    <t>05/22/1982</t>
  </si>
  <si>
    <t>10/13/1973</t>
  </si>
  <si>
    <t>06/12/1982</t>
  </si>
  <si>
    <t>08/05/1994</t>
  </si>
  <si>
    <t>03/08/1976</t>
  </si>
  <si>
    <t>05/13/1976</t>
  </si>
  <si>
    <t>03/24/1988</t>
  </si>
  <si>
    <t>03/25/1983</t>
  </si>
  <si>
    <t>09/08/1964</t>
  </si>
  <si>
    <t>12/28/1984</t>
  </si>
  <si>
    <t>07/10/1939</t>
  </si>
  <si>
    <t>09/30/1957</t>
  </si>
  <si>
    <t>05/27/1967</t>
  </si>
  <si>
    <t>04/12/1960</t>
  </si>
  <si>
    <t>10/28/1960</t>
  </si>
  <si>
    <t>05/27/1991</t>
  </si>
  <si>
    <t>08/01/1970</t>
  </si>
  <si>
    <t>01/22/1942</t>
  </si>
  <si>
    <t>05/17/1942</t>
  </si>
  <si>
    <t>10/31/1969</t>
  </si>
  <si>
    <t>12/10/1960</t>
  </si>
  <si>
    <t>06/05/1959</t>
  </si>
  <si>
    <t>09/07/1973</t>
  </si>
  <si>
    <t>11/13/1958</t>
  </si>
  <si>
    <t>05/06/1934</t>
  </si>
  <si>
    <t>03/02/1942</t>
  </si>
  <si>
    <t>10/24/1978</t>
  </si>
  <si>
    <t>03/23/1988</t>
  </si>
  <si>
    <t>10/13/1957</t>
  </si>
  <si>
    <t>08/25/1986</t>
  </si>
  <si>
    <t>06/17/1983</t>
  </si>
  <si>
    <t>01/19/1982</t>
  </si>
  <si>
    <t>02/10/1977</t>
  </si>
  <si>
    <t>12/17/1989</t>
  </si>
  <si>
    <t>03/07/1977</t>
  </si>
  <si>
    <t>03/10/1956</t>
  </si>
  <si>
    <t>11/15/1973</t>
  </si>
  <si>
    <t>06/13/1960</t>
  </si>
  <si>
    <t>03/08/1972</t>
  </si>
  <si>
    <t>03/23/1956</t>
  </si>
  <si>
    <t>08/21/1989</t>
  </si>
  <si>
    <t>10/09/1987</t>
  </si>
  <si>
    <t>03/11/1959</t>
  </si>
  <si>
    <t>10/08/1947</t>
  </si>
  <si>
    <t>10/05/1982</t>
  </si>
  <si>
    <t>11/10/1970</t>
  </si>
  <si>
    <t>11/24/1975</t>
  </si>
  <si>
    <t>01/30/1983</t>
  </si>
  <si>
    <t>07/16/1935</t>
  </si>
  <si>
    <t>01/07/1976</t>
  </si>
  <si>
    <t>03/12/1991</t>
  </si>
  <si>
    <t>10/20/1954</t>
  </si>
  <si>
    <t>06/13/1942</t>
  </si>
  <si>
    <t>09/12/1959</t>
  </si>
  <si>
    <t>03/05/1987</t>
  </si>
  <si>
    <t>02/17/1950</t>
  </si>
  <si>
    <t>10/06/1958</t>
  </si>
  <si>
    <t>02/28/1957</t>
  </si>
  <si>
    <t>08/28/1981</t>
  </si>
  <si>
    <t>08/13/1975</t>
  </si>
  <si>
    <t>02/17/1985</t>
  </si>
  <si>
    <t>11/02/1964</t>
  </si>
  <si>
    <t>01/14/1954</t>
  </si>
  <si>
    <t>03/12/1989</t>
  </si>
  <si>
    <t>11/14/1975</t>
  </si>
  <si>
    <t>11/27/1958</t>
  </si>
  <si>
    <t>06/11/1960</t>
  </si>
  <si>
    <t>06/29/1978</t>
  </si>
  <si>
    <t>01/16/1940</t>
  </si>
  <si>
    <t>04/22/1993</t>
  </si>
  <si>
    <t>10/30/1956</t>
  </si>
  <si>
    <t>09/02/1991</t>
  </si>
  <si>
    <t>12/27/1991</t>
  </si>
  <si>
    <t>08/19/1960</t>
  </si>
  <si>
    <t>12/30/1972</t>
  </si>
  <si>
    <t>12/27/1962</t>
  </si>
  <si>
    <t>03/15/1960</t>
  </si>
  <si>
    <t>08/30/1987</t>
  </si>
  <si>
    <t>08/06/1981</t>
  </si>
  <si>
    <t>01/01/1945</t>
  </si>
  <si>
    <t>05/17/1946</t>
  </si>
  <si>
    <t>01/08/1943</t>
  </si>
  <si>
    <t>11/28/1929</t>
  </si>
  <si>
    <t>02/23/1954</t>
  </si>
  <si>
    <t>06/15/1952</t>
  </si>
  <si>
    <t>01/01/1955</t>
  </si>
  <si>
    <t>07/10/1954</t>
  </si>
  <si>
    <t>02/16/1954</t>
  </si>
  <si>
    <t>07/10/1944</t>
  </si>
  <si>
    <t>06/10/1957</t>
  </si>
  <si>
    <t>01/11/1947</t>
  </si>
  <si>
    <t>02/12/1948</t>
  </si>
  <si>
    <t>12/18/1939</t>
  </si>
  <si>
    <t>10/24/1971</t>
  </si>
  <si>
    <t>03/04/1964</t>
  </si>
  <si>
    <t>12/21/1957</t>
  </si>
  <si>
    <t>05/25/1985</t>
  </si>
  <si>
    <t>09/12/1960</t>
  </si>
  <si>
    <t>08/17/1956</t>
  </si>
  <si>
    <t>04/17/1965</t>
  </si>
  <si>
    <t>07/02/1962</t>
  </si>
  <si>
    <t>07/06/1921</t>
  </si>
  <si>
    <t>04/26/1968</t>
  </si>
  <si>
    <t>07/04/1959</t>
  </si>
  <si>
    <t>05/25/1973</t>
  </si>
  <si>
    <t>05/23/1988</t>
  </si>
  <si>
    <t>11/19/1956</t>
  </si>
  <si>
    <t>03/04/1965</t>
  </si>
  <si>
    <t>03/25/1971</t>
  </si>
  <si>
    <t>02/08/1972</t>
  </si>
  <si>
    <t>11/21/1977</t>
  </si>
  <si>
    <t>12/08/1981</t>
  </si>
  <si>
    <t>02/11/1964</t>
  </si>
  <si>
    <t>02/04/1959</t>
  </si>
  <si>
    <t>08/15/1984</t>
  </si>
  <si>
    <t>11/20/1963</t>
  </si>
  <si>
    <t>12/19/1970</t>
  </si>
  <si>
    <t>05/31/1957</t>
  </si>
  <si>
    <t>12/09/1960</t>
  </si>
  <si>
    <t>11/16/1985</t>
  </si>
  <si>
    <t>08/31/1960</t>
  </si>
  <si>
    <t>07/19/1976</t>
  </si>
  <si>
    <t>00036916436D</t>
  </si>
  <si>
    <t>011493631D</t>
  </si>
  <si>
    <t>017848753E</t>
  </si>
  <si>
    <t>004178413D</t>
  </si>
  <si>
    <t>009183291F</t>
  </si>
  <si>
    <t>006507428I</t>
  </si>
  <si>
    <t>004076861G</t>
  </si>
  <si>
    <t>037286479D</t>
  </si>
  <si>
    <t>033996590H</t>
  </si>
  <si>
    <t>153-78-9628</t>
  </si>
  <si>
    <t>127-84-6201</t>
  </si>
  <si>
    <t>103-34-1874</t>
  </si>
  <si>
    <t>583-54-9930</t>
  </si>
  <si>
    <t>102-60-8808</t>
  </si>
  <si>
    <t>000-00-0821</t>
  </si>
  <si>
    <t>000-00-2166</t>
  </si>
  <si>
    <t>000-00-3706</t>
  </si>
  <si>
    <t>000-00-5375</t>
  </si>
  <si>
    <t>000-00-5376</t>
  </si>
  <si>
    <t>052-72-7398</t>
  </si>
  <si>
    <t>058-72-5464</t>
  </si>
  <si>
    <t>060-48-9228</t>
  </si>
  <si>
    <t>066-26-7712</t>
  </si>
  <si>
    <t>067-82-4347</t>
  </si>
  <si>
    <t>068-86-7618</t>
  </si>
  <si>
    <t>069-78-2943</t>
  </si>
  <si>
    <t>071-34-7587</t>
  </si>
  <si>
    <t>071-82-1159</t>
  </si>
  <si>
    <t>074-62-6620</t>
  </si>
  <si>
    <t>077-64-0866</t>
  </si>
  <si>
    <t>079-60-5383</t>
  </si>
  <si>
    <t>082-66-2651</t>
  </si>
  <si>
    <t>088-82-2368</t>
  </si>
  <si>
    <t>089-78-8240</t>
  </si>
  <si>
    <t>092-80-3077</t>
  </si>
  <si>
    <t>092-94-4396</t>
  </si>
  <si>
    <t>093-78-0139</t>
  </si>
  <si>
    <t>094-44-3000</t>
  </si>
  <si>
    <t>098-46-3370</t>
  </si>
  <si>
    <t>107-48-7407</t>
  </si>
  <si>
    <t>114-30-8355</t>
  </si>
  <si>
    <t>114-52-9888</t>
  </si>
  <si>
    <t>114-56-0504</t>
  </si>
  <si>
    <t>118-78-0689</t>
  </si>
  <si>
    <t>120-60-2556</t>
  </si>
  <si>
    <t>124-64-8715</t>
  </si>
  <si>
    <t>130-70-1193</t>
  </si>
  <si>
    <t>132-62-9154</t>
  </si>
  <si>
    <t>160-48-9304</t>
  </si>
  <si>
    <t>214-96-8628</t>
  </si>
  <si>
    <t>219-26-6921</t>
  </si>
  <si>
    <t>248-54-7387</t>
  </si>
  <si>
    <t>262-50-5340</t>
  </si>
  <si>
    <t>424-64-3672</t>
  </si>
  <si>
    <t>456-59-9103</t>
  </si>
  <si>
    <t>580-07-8249</t>
  </si>
  <si>
    <t>581-61-4231</t>
  </si>
  <si>
    <t>090-70-3732</t>
  </si>
  <si>
    <t>123-64-0410</t>
  </si>
  <si>
    <t>101-66-8423</t>
  </si>
  <si>
    <t>108-72-1242</t>
  </si>
  <si>
    <t>091-72-3665</t>
  </si>
  <si>
    <t>088-73-8085</t>
  </si>
  <si>
    <t>092-94-8969</t>
  </si>
  <si>
    <t>069-76-5077</t>
  </si>
  <si>
    <t>160-64-2778</t>
  </si>
  <si>
    <t>112-84-7702</t>
  </si>
  <si>
    <t>581-72-1296</t>
  </si>
  <si>
    <t>073-66-0048</t>
  </si>
  <si>
    <t>061-92-3561</t>
  </si>
  <si>
    <t>107-70-7424</t>
  </si>
  <si>
    <t>065-58-3683</t>
  </si>
  <si>
    <t>103-44-7537</t>
  </si>
  <si>
    <t>582-78-5395</t>
  </si>
  <si>
    <t>000-00-0000</t>
  </si>
  <si>
    <t>141-64-7345</t>
  </si>
  <si>
    <t>082-54-7209</t>
  </si>
  <si>
    <t>071-58-4324</t>
  </si>
  <si>
    <t>000-00-4461</t>
  </si>
  <si>
    <t>130-26-4153</t>
  </si>
  <si>
    <t>116-44-8410</t>
  </si>
  <si>
    <t>000-00-3976</t>
  </si>
  <si>
    <t>124-74-0657</t>
  </si>
  <si>
    <t>590-21-0129</t>
  </si>
  <si>
    <t>000-00-1257</t>
  </si>
  <si>
    <t>056-68-4317</t>
  </si>
  <si>
    <t>065-68-0584</t>
  </si>
  <si>
    <t>083-66-1349</t>
  </si>
  <si>
    <t>119-76-1545</t>
  </si>
  <si>
    <t>000-00-6189</t>
  </si>
  <si>
    <t>000-00-2182</t>
  </si>
  <si>
    <t>000-00-3480</t>
  </si>
  <si>
    <t>000-00-4505</t>
  </si>
  <si>
    <t>070-48-4747</t>
  </si>
  <si>
    <t>071-76-5087</t>
  </si>
  <si>
    <t>106-76-4351</t>
  </si>
  <si>
    <t>107-52-5828</t>
  </si>
  <si>
    <t>123-42-4147</t>
  </si>
  <si>
    <t>157-84-2750</t>
  </si>
  <si>
    <t>247-97-1257</t>
  </si>
  <si>
    <t>584-31-2432</t>
  </si>
  <si>
    <t>124-80-6682</t>
  </si>
  <si>
    <t>115-44-9167</t>
  </si>
  <si>
    <t>119-32-4803</t>
  </si>
  <si>
    <t>073-50-1898</t>
  </si>
  <si>
    <t>103-72-4430</t>
  </si>
  <si>
    <t>103-42-3471</t>
  </si>
  <si>
    <t>131-84-2875</t>
  </si>
  <si>
    <t>124-40-4422</t>
  </si>
  <si>
    <t>242-35-7287</t>
  </si>
  <si>
    <t>000-00-4361</t>
  </si>
  <si>
    <t>071-54-3950</t>
  </si>
  <si>
    <t>098-44-6974</t>
  </si>
  <si>
    <t>115-76-4926</t>
  </si>
  <si>
    <t>582-47-0525</t>
  </si>
  <si>
    <t>063-50-2805</t>
  </si>
  <si>
    <t>453-33-0757</t>
  </si>
  <si>
    <t>597-22-4835</t>
  </si>
  <si>
    <t>115-30-9394</t>
  </si>
  <si>
    <t>051-84-2610</t>
  </si>
  <si>
    <t>000-00-9795</t>
  </si>
  <si>
    <t>037-93-4546</t>
  </si>
  <si>
    <t>082-80-6042</t>
  </si>
  <si>
    <t>112-54-7743</t>
  </si>
  <si>
    <t>126-52-0843</t>
  </si>
  <si>
    <t>096-72-8754</t>
  </si>
  <si>
    <t>566-83-8254</t>
  </si>
  <si>
    <t>000-00-2976</t>
  </si>
  <si>
    <t>075-74-8890</t>
  </si>
  <si>
    <t>126-62-8996</t>
  </si>
  <si>
    <t>579-62-8541</t>
  </si>
  <si>
    <t>071-38-8067</t>
  </si>
  <si>
    <t>064-80-0225</t>
  </si>
  <si>
    <t>070-58-7407</t>
  </si>
  <si>
    <t>129-46-7944</t>
  </si>
  <si>
    <t>104-58-3346</t>
  </si>
  <si>
    <t>060-62-9537</t>
  </si>
  <si>
    <t>000-00-7232</t>
  </si>
  <si>
    <t>000-00-9026</t>
  </si>
  <si>
    <t>029-60-6308</t>
  </si>
  <si>
    <t>080-48-3612</t>
  </si>
  <si>
    <t>080-76-2473</t>
  </si>
  <si>
    <t>115-64-4801</t>
  </si>
  <si>
    <t>000-00-0528</t>
  </si>
  <si>
    <t>040-94-2249</t>
  </si>
  <si>
    <t>063-54-3575</t>
  </si>
  <si>
    <t>095-80-3213</t>
  </si>
  <si>
    <t>000-00-6774</t>
  </si>
  <si>
    <t>071-52-7857</t>
  </si>
  <si>
    <t>000-00-6483</t>
  </si>
  <si>
    <t>486-78-1679</t>
  </si>
  <si>
    <t>066-60-6411</t>
  </si>
  <si>
    <t>083-74-1913</t>
  </si>
  <si>
    <t>133-66-3050</t>
  </si>
  <si>
    <t>069-50-6905</t>
  </si>
  <si>
    <t>000-00-1288</t>
  </si>
  <si>
    <t>000-00-5623</t>
  </si>
  <si>
    <t>000-00-7047</t>
  </si>
  <si>
    <t>124-78-4393</t>
  </si>
  <si>
    <t>729-10-2942</t>
  </si>
  <si>
    <t>058-68-2539</t>
  </si>
  <si>
    <t>Low Income Tax Credit</t>
  </si>
  <si>
    <t>Rent Stabilized</t>
  </si>
  <si>
    <t>Rent Controlled</t>
  </si>
  <si>
    <t>Unregulated</t>
  </si>
  <si>
    <t>Unknown</t>
  </si>
  <si>
    <t>Project-based Sec. 8</t>
  </si>
  <si>
    <t>Other Subsidized Housing</t>
  </si>
  <si>
    <t>HDFC</t>
  </si>
  <si>
    <t>Mitchell-Lama</t>
  </si>
  <si>
    <t>Unregulated – Sublet</t>
  </si>
  <si>
    <t>Supportive Housing</t>
  </si>
  <si>
    <t>Public Housing/NYCHA</t>
  </si>
  <si>
    <t>Unregulated – Other</t>
  </si>
  <si>
    <t>Unregulated – Co-Op</t>
  </si>
  <si>
    <t>Section 8</t>
  </si>
  <si>
    <t>None</t>
  </si>
  <si>
    <t>DRIE/SCRIE</t>
  </si>
  <si>
    <t>HUD VASH</t>
  </si>
  <si>
    <t>HASA</t>
  </si>
  <si>
    <t>FEPS</t>
  </si>
  <si>
    <t>City FEPS</t>
  </si>
  <si>
    <t>English</t>
  </si>
  <si>
    <t>Spanish</t>
  </si>
  <si>
    <t>Sign Language</t>
  </si>
  <si>
    <t>Japanese</t>
  </si>
  <si>
    <t>Albanian</t>
  </si>
  <si>
    <t>hotline advice only</t>
  </si>
  <si>
    <t>no forms so couldn't bill as TRC, changed to 2157</t>
  </si>
  <si>
    <t>does not provide consent to release info to HRA, cannot bill to TRC</t>
  </si>
  <si>
    <t>6.7.19: Advice call back assigned</t>
  </si>
  <si>
    <t>Doesn't consent to completing HRA paperwork - works for HRA and doesn't want to release info to them</t>
  </si>
  <si>
    <t>client not met in person, hotline only, no forms signed</t>
  </si>
  <si>
    <t>hotline advice</t>
  </si>
  <si>
    <t>UA zip, advice only</t>
  </si>
  <si>
    <t>no DHCI/consent 6/20 - CL refused so can't bill as TRC</t>
  </si>
  <si>
    <t>Client did not sign HRA consent, cannot bill to TRC</t>
  </si>
  <si>
    <t>CL refused to sign forms so recoded as OCA</t>
  </si>
  <si>
    <t>5/9 - need call-back advice notes</t>
  </si>
  <si>
    <t>Advice call back assigned on 6.5.19.</t>
  </si>
  <si>
    <t>client did not sign billing consent 6/20 ND</t>
  </si>
  <si>
    <t>Didn't get consent and DHCI so can't report to HRA, changed to OCA</t>
  </si>
  <si>
    <t>6.14.19: Not to report to HRA - T repped by Bx Defenders.</t>
  </si>
  <si>
    <t>Can't report as 3018 because CL never signed forms</t>
  </si>
  <si>
    <t>NOT TO REPORT TO HRA - over income advice case</t>
  </si>
  <si>
    <t>Client refused to sign consent form, transferred to 3020</t>
  </si>
  <si>
    <t>NOT TO REPORT TO HRA - Over-income advice case</t>
  </si>
  <si>
    <t>Not to report to HRA. Over-income HPLP Advice call backk case assigned on 6.7.19.</t>
  </si>
  <si>
    <t>Advice call back case - NOT TO REPORT TO HRA. Over-income</t>
  </si>
  <si>
    <t>CL refused to sign forms so recoded as 3020</t>
  </si>
  <si>
    <t>Not to report to HRA - Over-income HPLP advice only case. Advice call back assigned on 6.7.19.</t>
  </si>
  <si>
    <t>income waiver needed if FULL REP; Change to HPLP if full rep</t>
  </si>
  <si>
    <t>needs waiver</t>
  </si>
  <si>
    <t>6/18.19.: Advice call back assigned - NOT TO REPORT TO HRA (NO DHCI FORM)</t>
  </si>
  <si>
    <t>Case Discontinued/Dismissed/Landlord Fails to Prosecute</t>
  </si>
  <si>
    <t>Client Allowed to Remain in Residence</t>
  </si>
  <si>
    <t>2019-06-18</t>
  </si>
  <si>
    <t>07/08/2019</t>
  </si>
  <si>
    <t>07/10/2019</t>
  </si>
  <si>
    <t>06/17/2019</t>
  </si>
  <si>
    <t>07/30/2019</t>
  </si>
  <si>
    <t>07/15/2019</t>
  </si>
  <si>
    <t>07/17/2019</t>
  </si>
  <si>
    <t>07/01/2019</t>
  </si>
  <si>
    <t>05/20/2019</t>
  </si>
  <si>
    <t>07/24/2019</t>
  </si>
  <si>
    <t>07/18/2019</t>
  </si>
  <si>
    <t>06/18/2019</t>
  </si>
  <si>
    <t>07/19/2019</t>
  </si>
  <si>
    <t>07/22/2019</t>
  </si>
  <si>
    <t>07/31/2019</t>
  </si>
  <si>
    <t>05/29/2019</t>
  </si>
  <si>
    <t>07/02/2019</t>
  </si>
  <si>
    <t>07/12/2019</t>
  </si>
  <si>
    <t>05/03/2019</t>
  </si>
  <si>
    <t>07/23/2019</t>
  </si>
  <si>
    <t>07/11/2019</t>
  </si>
  <si>
    <t>06/06/2019</t>
  </si>
  <si>
    <t>06/20/2019</t>
  </si>
  <si>
    <t>07/25/2019</t>
  </si>
  <si>
    <t>04/02/2019</t>
  </si>
  <si>
    <t>04/29/2019</t>
  </si>
  <si>
    <t>05/17/2019</t>
  </si>
  <si>
    <t>05/16/2019</t>
  </si>
  <si>
    <t>05/06/2019</t>
  </si>
  <si>
    <t>05/30/2019</t>
  </si>
  <si>
    <t>04/01/2019</t>
  </si>
  <si>
    <t>04/26/2019</t>
  </si>
  <si>
    <t>04/22/2019</t>
  </si>
  <si>
    <t>06/03/2019</t>
  </si>
  <si>
    <t>06/12/2019</t>
  </si>
  <si>
    <t>05/13/2019</t>
  </si>
  <si>
    <t>05/02/2019</t>
  </si>
  <si>
    <t>06/25/2019</t>
  </si>
  <si>
    <t>06/13/2019</t>
  </si>
  <si>
    <t>05/28/2019</t>
  </si>
  <si>
    <t>06/26/2019</t>
  </si>
  <si>
    <t>06/10/2019</t>
  </si>
  <si>
    <t>07/09/2019</t>
  </si>
  <si>
    <t>06/27/2019</t>
  </si>
  <si>
    <t>05/09/2019</t>
  </si>
  <si>
    <t>05/24/2019</t>
  </si>
  <si>
    <t>04/25/2019</t>
  </si>
  <si>
    <t>05/14/2019</t>
  </si>
  <si>
    <t>05/01/2019</t>
  </si>
  <si>
    <t>05/31/2019</t>
  </si>
  <si>
    <t>07/29/2019</t>
  </si>
  <si>
    <t>07/16/2019</t>
  </si>
  <si>
    <t>07/03/2019</t>
  </si>
  <si>
    <t>06/05/2019</t>
  </si>
  <si>
    <t>05/15/2019</t>
  </si>
  <si>
    <t>07/26/2019</t>
  </si>
  <si>
    <t>08/01/2019</t>
  </si>
  <si>
    <t>05/21/2019</t>
  </si>
  <si>
    <t>07/05/2019</t>
  </si>
  <si>
    <t>Then, Laura</t>
  </si>
  <si>
    <t>Ortega, Luis</t>
  </si>
  <si>
    <t>Khanam, Aysha</t>
  </si>
  <si>
    <t>Baldova, Maria</t>
  </si>
  <si>
    <t>Morales-Robinson, Ana</t>
  </si>
  <si>
    <t>Dong, Sean</t>
  </si>
  <si>
    <t>Pierre, Haenley</t>
  </si>
  <si>
    <t>Djourab, Atteib</t>
  </si>
  <si>
    <t>Pujols, Isabel</t>
  </si>
  <si>
    <t>Wong, Angela</t>
  </si>
  <si>
    <t>Prado, Steven</t>
  </si>
  <si>
    <t>Mendez-Acosta, Maria</t>
  </si>
  <si>
    <t>Villanueva, Anthony</t>
  </si>
  <si>
    <t>Amponsah, Oheneba</t>
  </si>
  <si>
    <t>Santana, Bridgette</t>
  </si>
  <si>
    <t>Acevedo, Tiffany</t>
  </si>
  <si>
    <t>Castillo, Angel</t>
  </si>
  <si>
    <t>Arboleda, Paula</t>
  </si>
  <si>
    <t>DHCI Form</t>
  </si>
  <si>
    <t>Active CA/SNAP</t>
  </si>
  <si>
    <t>Closed</t>
  </si>
  <si>
    <t>Open</t>
  </si>
  <si>
    <t>04/18/2019</t>
  </si>
  <si>
    <t>05/23/2019</t>
  </si>
  <si>
    <t>06/19/2019</t>
  </si>
  <si>
    <t>04/15/2019</t>
  </si>
  <si>
    <t>06/07/2019</t>
  </si>
  <si>
    <t>05/22/2019</t>
  </si>
  <si>
    <t>04/03/2019</t>
  </si>
  <si>
    <t>04/04/2019</t>
  </si>
  <si>
    <t>04/30/2019</t>
  </si>
  <si>
    <t>06/04/2019</t>
  </si>
  <si>
    <t>05/07/2019</t>
  </si>
  <si>
    <t>06/24/2019</t>
  </si>
  <si>
    <t>04/12/2019</t>
  </si>
  <si>
    <t>04/08/2019</t>
  </si>
  <si>
    <t>04/11/2019</t>
  </si>
  <si>
    <t>05/10/2019</t>
  </si>
  <si>
    <t>04/05/2019</t>
  </si>
  <si>
    <t>04/10/2019</t>
  </si>
  <si>
    <t>04/23/2019</t>
  </si>
  <si>
    <t>06/28/2019</t>
  </si>
  <si>
    <t>A - Counsel and Advice</t>
  </si>
  <si>
    <t>B - Limited Action (Brief Service)</t>
  </si>
  <si>
    <t>F - Negotiated Settlement w/out Litigation</t>
  </si>
  <si>
    <t>G - Negotiated Settlement with Litigation</t>
  </si>
  <si>
    <t>H - Administrative Agency Decision</t>
  </si>
  <si>
    <t>1204 LITC-Low Income Tax Payers Clinic</t>
  </si>
  <si>
    <t>2094 AG-HOPP-CNYCN</t>
  </si>
  <si>
    <t>2157 OCA-City-wide Civil Legal Services Grant</t>
  </si>
  <si>
    <t>2411 NYS DOS - Legislative Member Item</t>
  </si>
  <si>
    <t>2557 VOCA Victim assistance Program # 3</t>
  </si>
  <si>
    <t>3019 NYC HRA Veterans Justice Project (VJP)</t>
  </si>
  <si>
    <t>3020 CLS-Civil Legal Services</t>
  </si>
  <si>
    <t>3026 NYC HRA Veterans Justice Project (VJP) #2 (aka HRA VJP #2)</t>
  </si>
  <si>
    <t>3402 DFTA-Services Program for Elderly</t>
  </si>
  <si>
    <t>4000 LSC - Basic Grant</t>
  </si>
  <si>
    <t>4037 Military Mondays/Leveraging Corporations</t>
  </si>
  <si>
    <t>4103 Bank Settlement Grant (Foreclosure &amp; CED)</t>
  </si>
  <si>
    <t>4252 HELP USA NY Supportive Services for Veteran Families</t>
  </si>
  <si>
    <t>5227 RH VJP (Veterans Justice Project)</t>
  </si>
  <si>
    <t>5440 CNYCN - Center for NYC Neighborhoods</t>
  </si>
  <si>
    <t>3018 Tenant Rights Coalition (TRC)</t>
  </si>
  <si>
    <t>61 Federally Subsidized Housing</t>
  </si>
  <si>
    <t>67 Mortgage Foreclosures (Not Predatory Lending/Practices)</t>
  </si>
  <si>
    <t>62 Homeownership/Real Property (Not Foreclosure)</t>
  </si>
  <si>
    <t>69 Other Housing</t>
  </si>
  <si>
    <t>63 Private Landlord/Tenant</t>
  </si>
  <si>
    <t>64 Public Housing</t>
  </si>
  <si>
    <t>Rookwood, Shardae</t>
  </si>
  <si>
    <t>Osei, Dionne</t>
  </si>
  <si>
    <t>Lissa</t>
  </si>
  <si>
    <t>Dale</t>
  </si>
  <si>
    <t>Joachim</t>
  </si>
  <si>
    <t>Elizabeth</t>
  </si>
  <si>
    <t>Yafrigi</t>
  </si>
  <si>
    <t>Migdalia</t>
  </si>
  <si>
    <t>Martha</t>
  </si>
  <si>
    <t>Roma</t>
  </si>
  <si>
    <t>Magdalia</t>
  </si>
  <si>
    <t>Roxanne</t>
  </si>
  <si>
    <t>Tiara</t>
  </si>
  <si>
    <t>Aquilina</t>
  </si>
  <si>
    <t>Celenio</t>
  </si>
  <si>
    <t>Rodolfo</t>
  </si>
  <si>
    <t>Somayra</t>
  </si>
  <si>
    <t>Myrna</t>
  </si>
  <si>
    <t>Cynthia</t>
  </si>
  <si>
    <t>Cielo</t>
  </si>
  <si>
    <t>Adrielle</t>
  </si>
  <si>
    <t>Barbara</t>
  </si>
  <si>
    <t>Claude</t>
  </si>
  <si>
    <t>Roger</t>
  </si>
  <si>
    <t>Jean</t>
  </si>
  <si>
    <t>Mariatou</t>
  </si>
  <si>
    <t>Shah</t>
  </si>
  <si>
    <t>Towanda</t>
  </si>
  <si>
    <t>Stefanie</t>
  </si>
  <si>
    <t>Pamela</t>
  </si>
  <si>
    <t>Donna</t>
  </si>
  <si>
    <t>Matt</t>
  </si>
  <si>
    <t>Chastity</t>
  </si>
  <si>
    <t>Charles</t>
  </si>
  <si>
    <t>Kim</t>
  </si>
  <si>
    <t>Jenny</t>
  </si>
  <si>
    <t>Patricia</t>
  </si>
  <si>
    <t>Nancy</t>
  </si>
  <si>
    <t>Marcia</t>
  </si>
  <si>
    <t>Dusley</t>
  </si>
  <si>
    <t>La-Dawn</t>
  </si>
  <si>
    <t>Jacqueline</t>
  </si>
  <si>
    <t>Hanirka</t>
  </si>
  <si>
    <t>Guillermo</t>
  </si>
  <si>
    <t>Ana</t>
  </si>
  <si>
    <t>Jason</t>
  </si>
  <si>
    <t>Freddy</t>
  </si>
  <si>
    <t>Wanda</t>
  </si>
  <si>
    <t>Prakash</t>
  </si>
  <si>
    <t>Cassandra</t>
  </si>
  <si>
    <t>Kathleen</t>
  </si>
  <si>
    <t>Ashley</t>
  </si>
  <si>
    <t>Ernestine</t>
  </si>
  <si>
    <t>Tiffani</t>
  </si>
  <si>
    <t>Yvette</t>
  </si>
  <si>
    <t>Antoinette</t>
  </si>
  <si>
    <t>Ena</t>
  </si>
  <si>
    <t>Ventesa</t>
  </si>
  <si>
    <t>Amanda</t>
  </si>
  <si>
    <t>Nikita</t>
  </si>
  <si>
    <t>Mattie</t>
  </si>
  <si>
    <t>Trelane</t>
  </si>
  <si>
    <t>Elvira</t>
  </si>
  <si>
    <t>Mildred</t>
  </si>
  <si>
    <t>Crystal</t>
  </si>
  <si>
    <t>Diana</t>
  </si>
  <si>
    <t>Fredman</t>
  </si>
  <si>
    <t>Rachelle</t>
  </si>
  <si>
    <t>Test</t>
  </si>
  <si>
    <t>Moses</t>
  </si>
  <si>
    <t>Leonard</t>
  </si>
  <si>
    <t>Veronica</t>
  </si>
  <si>
    <t>Nana</t>
  </si>
  <si>
    <t>Andrea</t>
  </si>
  <si>
    <t>Raquel</t>
  </si>
  <si>
    <t>Cruz</t>
  </si>
  <si>
    <t>Brooks</t>
  </si>
  <si>
    <t>Antoine</t>
  </si>
  <si>
    <t>Ledesma</t>
  </si>
  <si>
    <t>Quezada</t>
  </si>
  <si>
    <t>Martillo Cruz</t>
  </si>
  <si>
    <t>Rotger</t>
  </si>
  <si>
    <t>Diaz</t>
  </si>
  <si>
    <t>Irizarry</t>
  </si>
  <si>
    <t>Farrell</t>
  </si>
  <si>
    <t>Lawrence</t>
  </si>
  <si>
    <t>Paca</t>
  </si>
  <si>
    <t>Rivera</t>
  </si>
  <si>
    <t>Morales</t>
  </si>
  <si>
    <t>Jackmen</t>
  </si>
  <si>
    <t>Stephen</t>
  </si>
  <si>
    <t>Pitroipa</t>
  </si>
  <si>
    <t>Cano</t>
  </si>
  <si>
    <t>Roberts</t>
  </si>
  <si>
    <t>Williamson</t>
  </si>
  <si>
    <t>Saturnin</t>
  </si>
  <si>
    <t>Azanero</t>
  </si>
  <si>
    <t>Adjeyi</t>
  </si>
  <si>
    <t>Haque</t>
  </si>
  <si>
    <t>Crawford</t>
  </si>
  <si>
    <t>Ashwood</t>
  </si>
  <si>
    <t>Cornielle</t>
  </si>
  <si>
    <t>Bond</t>
  </si>
  <si>
    <t>Lewis</t>
  </si>
  <si>
    <t>Torres</t>
  </si>
  <si>
    <t>Aquino</t>
  </si>
  <si>
    <t>Cervantes</t>
  </si>
  <si>
    <t>Lebron</t>
  </si>
  <si>
    <t>Medina</t>
  </si>
  <si>
    <t>Shelton</t>
  </si>
  <si>
    <t>Wainwright</t>
  </si>
  <si>
    <t>Morris</t>
  </si>
  <si>
    <t>Veras</t>
  </si>
  <si>
    <t>Segura</t>
  </si>
  <si>
    <t>Lliguichuzhca</t>
  </si>
  <si>
    <t>Caraballo</t>
  </si>
  <si>
    <t>Costa</t>
  </si>
  <si>
    <t>Navarro</t>
  </si>
  <si>
    <t>Mojica</t>
  </si>
  <si>
    <t>Browne</t>
  </si>
  <si>
    <t>Ayala</t>
  </si>
  <si>
    <t>Harry</t>
  </si>
  <si>
    <t>Vanable</t>
  </si>
  <si>
    <t>McCool</t>
  </si>
  <si>
    <t>Flores</t>
  </si>
  <si>
    <t>Bennett</t>
  </si>
  <si>
    <t>Griffin</t>
  </si>
  <si>
    <t>Stanley</t>
  </si>
  <si>
    <t>Hewitt</t>
  </si>
  <si>
    <t>Price</t>
  </si>
  <si>
    <t>Alfieri</t>
  </si>
  <si>
    <t>Velez</t>
  </si>
  <si>
    <t>Polk</t>
  </si>
  <si>
    <t>Headrington</t>
  </si>
  <si>
    <t>Ventura</t>
  </si>
  <si>
    <t>Salgado</t>
  </si>
  <si>
    <t>Ramirez</t>
  </si>
  <si>
    <t>Carrasquillo</t>
  </si>
  <si>
    <t>Hillman</t>
  </si>
  <si>
    <t>A Test</t>
  </si>
  <si>
    <t>Peacock</t>
  </si>
  <si>
    <t>McCall</t>
  </si>
  <si>
    <t>Rollock</t>
  </si>
  <si>
    <t>McKenzie</t>
  </si>
  <si>
    <t>Boakye</t>
  </si>
  <si>
    <t>Rojas</t>
  </si>
  <si>
    <t>2337 Ellis Ave</t>
  </si>
  <si>
    <t>1818 Anthony Ave</t>
  </si>
  <si>
    <t>880 Tinton Ave</t>
  </si>
  <si>
    <t>2757 Claflin Ave</t>
  </si>
  <si>
    <t>2979 Marion Ave</t>
  </si>
  <si>
    <t>1520 Sheridan Ave</t>
  </si>
  <si>
    <t>3405 Putnam Pl</t>
  </si>
  <si>
    <t>219 E 196th St</t>
  </si>
  <si>
    <t>917 Ogden Ave</t>
  </si>
  <si>
    <t>1001 Woodycrest Ave</t>
  </si>
  <si>
    <t>1880 Valentine Ave</t>
  </si>
  <si>
    <t>941 Jerome ave</t>
  </si>
  <si>
    <t>1985 Webster Ave</t>
  </si>
  <si>
    <t>1409 Prospect Ave</t>
  </si>
  <si>
    <t>800 Grand Concourse</t>
  </si>
  <si>
    <t>751 Gerard Ave</t>
  </si>
  <si>
    <t>3572 Dekalb Ave</t>
  </si>
  <si>
    <t>3125 Park Ave</t>
  </si>
  <si>
    <t>941 Jerome Ave</t>
  </si>
  <si>
    <t>1380 Univ Ave</t>
  </si>
  <si>
    <t>1521 Sheridan Ave</t>
  </si>
  <si>
    <t>315 E 167th St</t>
  </si>
  <si>
    <t>108 E Clarke Pl</t>
  </si>
  <si>
    <t>1105 Elder Ave</t>
  </si>
  <si>
    <t>1060 Sheridan Ave</t>
  </si>
  <si>
    <t>1197 Grand Concourse</t>
  </si>
  <si>
    <t>1098 Grant Ave</t>
  </si>
  <si>
    <t>1490 Boone Ave</t>
  </si>
  <si>
    <t>899 Westchester Ave</t>
  </si>
  <si>
    <t>135 E 149th St</t>
  </si>
  <si>
    <t>745 E 242nd St</t>
  </si>
  <si>
    <t>89 W Tremont Ave</t>
  </si>
  <si>
    <t>1050 Anderson Ave</t>
  </si>
  <si>
    <t>2018 Monterey Ave</t>
  </si>
  <si>
    <t>563 Cauldwell Ave</t>
  </si>
  <si>
    <t>1325 Lafayette Ave</t>
  </si>
  <si>
    <t>3366 Decatur Ave</t>
  </si>
  <si>
    <t>1895 Morris Ave</t>
  </si>
  <si>
    <t>1541 Williamsbridge Rd</t>
  </si>
  <si>
    <t>2922 Grand Concourse</t>
  </si>
  <si>
    <t>1777 Grand Concourse</t>
  </si>
  <si>
    <t>360 E 166th St</t>
  </si>
  <si>
    <t>1195 Anderson Ave</t>
  </si>
  <si>
    <t>325 E 194th St</t>
  </si>
  <si>
    <t>27 W 181st St</t>
  </si>
  <si>
    <t>1220 Shakespeare Ave</t>
  </si>
  <si>
    <t>739 E 242nd St</t>
  </si>
  <si>
    <t>735 E 242nd St</t>
  </si>
  <si>
    <t>1415 Bristow St</t>
  </si>
  <si>
    <t>968 Bronx Park S</t>
  </si>
  <si>
    <t>997 Summit Ave</t>
  </si>
  <si>
    <t>1271 Noble Ave</t>
  </si>
  <si>
    <t>1330 Intervale Ave</t>
  </si>
  <si>
    <t>1466 Beach Ave</t>
  </si>
  <si>
    <t>2071 Walton Ave</t>
  </si>
  <si>
    <t>1238 Simpson St</t>
  </si>
  <si>
    <t>363 E 163rd St</t>
  </si>
  <si>
    <t>1700 Grand Concourse</t>
  </si>
  <si>
    <t>817 Union Ave</t>
  </si>
  <si>
    <t>1769 Vyse Ave</t>
  </si>
  <si>
    <t>1730 Taylor Ave</t>
  </si>
  <si>
    <t>950 Aldus St</t>
  </si>
  <si>
    <t>555 14th Street</t>
  </si>
  <si>
    <t>2238 Morris Ave</t>
  </si>
  <si>
    <t>1000 Anderson Ave</t>
  </si>
  <si>
    <t>110 E 176th St</t>
  </si>
  <si>
    <t>2170 Univ Ave</t>
  </si>
  <si>
    <t>1340 Merriam Ave</t>
  </si>
  <si>
    <t>1512 Townfend Ave</t>
  </si>
  <si>
    <t>5C</t>
  </si>
  <si>
    <t>7D</t>
  </si>
  <si>
    <t>A4</t>
  </si>
  <si>
    <t>7E</t>
  </si>
  <si>
    <t>16A</t>
  </si>
  <si>
    <t>6CN</t>
  </si>
  <si>
    <t>5D</t>
  </si>
  <si>
    <t>16B</t>
  </si>
  <si>
    <t>15F</t>
  </si>
  <si>
    <t>C22</t>
  </si>
  <si>
    <t>30A</t>
  </si>
  <si>
    <t>6F</t>
  </si>
  <si>
    <t>Apt 7N</t>
  </si>
  <si>
    <t>3N</t>
  </si>
  <si>
    <t>1N</t>
  </si>
  <si>
    <t>C6</t>
  </si>
  <si>
    <t>4H</t>
  </si>
  <si>
    <t>2C</t>
  </si>
  <si>
    <t>1H, LEFT SIDE</t>
  </si>
  <si>
    <t>5B</t>
  </si>
  <si>
    <t>B4</t>
  </si>
  <si>
    <t>10M</t>
  </si>
  <si>
    <t>9F</t>
  </si>
  <si>
    <t>C8</t>
  </si>
  <si>
    <t>F3</t>
  </si>
  <si>
    <t>1E</t>
  </si>
  <si>
    <t>3AN</t>
  </si>
  <si>
    <t>1B</t>
  </si>
  <si>
    <t>23 A</t>
  </si>
  <si>
    <t>6S</t>
  </si>
  <si>
    <t>Apt 4J</t>
  </si>
  <si>
    <t>5E</t>
  </si>
  <si>
    <t>15C</t>
  </si>
  <si>
    <t>1st</t>
  </si>
  <si>
    <t>F22</t>
  </si>
  <si>
    <t>3H</t>
  </si>
  <si>
    <t>B</t>
  </si>
  <si>
    <t>D5</t>
  </si>
  <si>
    <t>3Q</t>
  </si>
  <si>
    <t>LT-027333-19/BX</t>
  </si>
  <si>
    <t>LT-020164-19/BX</t>
  </si>
  <si>
    <t>LT-023429-18/BX</t>
  </si>
  <si>
    <t>LT-028805-19/BX</t>
  </si>
  <si>
    <t>LT-022866-19/BX</t>
  </si>
  <si>
    <t>LT-016946-19/BX</t>
  </si>
  <si>
    <t>LT-803630-19/BX</t>
  </si>
  <si>
    <t>GQ-610075-OR</t>
  </si>
  <si>
    <t>GQ-610075</t>
  </si>
  <si>
    <t>HQ 610020 B</t>
  </si>
  <si>
    <t>LT-025352-19/BX</t>
  </si>
  <si>
    <t>TBD</t>
  </si>
  <si>
    <t>LT-023768-19/BX</t>
  </si>
  <si>
    <t>LT-063895-18/BX</t>
  </si>
  <si>
    <t>LT-017132-19/BX</t>
  </si>
  <si>
    <t>LT-031207-19/BX</t>
  </si>
  <si>
    <t>LT-22528-19</t>
  </si>
  <si>
    <t>LT-031389-19/BX</t>
  </si>
  <si>
    <t>LT-008522-19/bx</t>
  </si>
  <si>
    <t>SCRIE/DRIE</t>
  </si>
  <si>
    <t>Affirmative Litigation Supreme</t>
  </si>
  <si>
    <t>Section 8 Grievance</t>
  </si>
  <si>
    <t>Out-of-Court Advocacy</t>
  </si>
  <si>
    <t>Representation - Admin. Agency</t>
  </si>
  <si>
    <t>Post-Judgment, Tenant in Possession-Judgment Due to Other</t>
  </si>
  <si>
    <t>08/31/2019</t>
  </si>
  <si>
    <t>Friends/Family</t>
  </si>
  <si>
    <t>6009-Obtained repairs, Improved housing conditions or otherwise enforced rights to decent, habitable housing</t>
  </si>
  <si>
    <t>6007-Avoided, or obtained redress for charges by landlord</t>
  </si>
  <si>
    <t>6002-Prevented eviction from private housing</t>
  </si>
  <si>
    <t>09/19/1980</t>
  </si>
  <si>
    <t>02/07/1954</t>
  </si>
  <si>
    <t>05/09/1970</t>
  </si>
  <si>
    <t>08/18/1947</t>
  </si>
  <si>
    <t>07/24/1973</t>
  </si>
  <si>
    <t>09/08/1982</t>
  </si>
  <si>
    <t>07/20/1970</t>
  </si>
  <si>
    <t>02/10/1944</t>
  </si>
  <si>
    <t>01/11/1953</t>
  </si>
  <si>
    <t>07/10/1960</t>
  </si>
  <si>
    <t>12/08/1950</t>
  </si>
  <si>
    <t>02/17/1986</t>
  </si>
  <si>
    <t>05/16/1957</t>
  </si>
  <si>
    <t>06/19/1955</t>
  </si>
  <si>
    <t>12/13/1956</t>
  </si>
  <si>
    <t>06/04/1979</t>
  </si>
  <si>
    <t>10/29/1971</t>
  </si>
  <si>
    <t>04/15/1950</t>
  </si>
  <si>
    <t>05/30/1969</t>
  </si>
  <si>
    <t>06/08/1961</t>
  </si>
  <si>
    <t>08/15/1967</t>
  </si>
  <si>
    <t>05/16/1951</t>
  </si>
  <si>
    <t>09/19/1949</t>
  </si>
  <si>
    <t>06/18/1961</t>
  </si>
  <si>
    <t>03/04/1938</t>
  </si>
  <si>
    <t>10/28/1965</t>
  </si>
  <si>
    <t>11/06/1980</t>
  </si>
  <si>
    <t>11/10/1974</t>
  </si>
  <si>
    <t>02/09/1976</t>
  </si>
  <si>
    <t>09/19/1959</t>
  </si>
  <si>
    <t>01/14/1963</t>
  </si>
  <si>
    <t>03/04/1977</t>
  </si>
  <si>
    <t>01/09/1983</t>
  </si>
  <si>
    <t>09/12/1991</t>
  </si>
  <si>
    <t>08/02/1963</t>
  </si>
  <si>
    <t>11/07/1960</t>
  </si>
  <si>
    <t>06/10/1922</t>
  </si>
  <si>
    <t>05/03/1980</t>
  </si>
  <si>
    <t>12/26/1966</t>
  </si>
  <si>
    <t>06/10/1976</t>
  </si>
  <si>
    <t>03/06/1961</t>
  </si>
  <si>
    <t>12/25/1962</t>
  </si>
  <si>
    <t>11/22/1932</t>
  </si>
  <si>
    <t>07/04/1945</t>
  </si>
  <si>
    <t>07/10/1984</t>
  </si>
  <si>
    <t>11/23/1977</t>
  </si>
  <si>
    <t>10/05/1978</t>
  </si>
  <si>
    <t>06/25/1970</t>
  </si>
  <si>
    <t>07/13/1945</t>
  </si>
  <si>
    <t>03/11/1984</t>
  </si>
  <si>
    <t>04/23/1985</t>
  </si>
  <si>
    <t>12/27/1977</t>
  </si>
  <si>
    <t>04/25/1967</t>
  </si>
  <si>
    <t>09/25/1956</t>
  </si>
  <si>
    <t>09/04/1970</t>
  </si>
  <si>
    <t>05/08/1971</t>
  </si>
  <si>
    <t>05/22/1966</t>
  </si>
  <si>
    <t>07/18/1950</t>
  </si>
  <si>
    <t>09/15/1948</t>
  </si>
  <si>
    <t>08/17/1990</t>
  </si>
  <si>
    <t>01/15/1952</t>
  </si>
  <si>
    <t>03/30/1980</t>
  </si>
  <si>
    <t>01/23/1970</t>
  </si>
  <si>
    <t>07/20/1986</t>
  </si>
  <si>
    <t>09/25/1971</t>
  </si>
  <si>
    <t>05/05/1953</t>
  </si>
  <si>
    <t>04/05/1972</t>
  </si>
  <si>
    <t>07/31/1969</t>
  </si>
  <si>
    <t>01/07/1957</t>
  </si>
  <si>
    <t>08/13/1980</t>
  </si>
  <si>
    <t>06/27/1948</t>
  </si>
  <si>
    <t>02/28/1962</t>
  </si>
  <si>
    <t>04/16/1970</t>
  </si>
  <si>
    <t>07/27/1966</t>
  </si>
  <si>
    <t>11/02/1969</t>
  </si>
  <si>
    <t>03/28/1989</t>
  </si>
  <si>
    <t>08/19/1971</t>
  </si>
  <si>
    <t>12/01/1978</t>
  </si>
  <si>
    <t>03/20/1973</t>
  </si>
  <si>
    <t>06/09/1958</t>
  </si>
  <si>
    <t>05/15/1965</t>
  </si>
  <si>
    <t>01/01/1971</t>
  </si>
  <si>
    <t>11/29/1950</t>
  </si>
  <si>
    <t>02/25/1977</t>
  </si>
  <si>
    <t>02/11/1951</t>
  </si>
  <si>
    <t>05/31/1951</t>
  </si>
  <si>
    <t>12/30/1945</t>
  </si>
  <si>
    <t>07/01/1949</t>
  </si>
  <si>
    <t>09/23/1975</t>
  </si>
  <si>
    <t>09/18/1990</t>
  </si>
  <si>
    <t>01107751H</t>
  </si>
  <si>
    <t>006976669J</t>
  </si>
  <si>
    <t>ZE69278W</t>
  </si>
  <si>
    <t>00036824950E</t>
  </si>
  <si>
    <t>06/30/19</t>
  </si>
  <si>
    <t>ZW14289G</t>
  </si>
  <si>
    <t>00015274875C</t>
  </si>
  <si>
    <t>00000339447F</t>
  </si>
  <si>
    <t>002584409D</t>
  </si>
  <si>
    <t>006694699H</t>
  </si>
  <si>
    <t>127-88-0878</t>
  </si>
  <si>
    <t>056-62-2617</t>
  </si>
  <si>
    <t>116-36-4468</t>
  </si>
  <si>
    <t>126-98-0485</t>
  </si>
  <si>
    <t>581-88-8112</t>
  </si>
  <si>
    <t>099-52-7433</t>
  </si>
  <si>
    <t>100-54-1483</t>
  </si>
  <si>
    <t>104-40-2638</t>
  </si>
  <si>
    <t>113-70-8725</t>
  </si>
  <si>
    <t>058-66-2147</t>
  </si>
  <si>
    <t>082-46-7060</t>
  </si>
  <si>
    <t>101-50-3331</t>
  </si>
  <si>
    <t>583-67-3798</t>
  </si>
  <si>
    <t>000-00-1883</t>
  </si>
  <si>
    <t>000-00-7021</t>
  </si>
  <si>
    <t>083-40-9234</t>
  </si>
  <si>
    <t>084-84-8419</t>
  </si>
  <si>
    <t>103-18-1422</t>
  </si>
  <si>
    <t>111-86-8786</t>
  </si>
  <si>
    <t>124-92-1988</t>
  </si>
  <si>
    <t>731-01-6741</t>
  </si>
  <si>
    <t>000-00-1191</t>
  </si>
  <si>
    <t>052-54-5396</t>
  </si>
  <si>
    <t>101-02-7535</t>
  </si>
  <si>
    <t>045-76-5501</t>
  </si>
  <si>
    <t>132-78-1745</t>
  </si>
  <si>
    <t>096-56-9898</t>
  </si>
  <si>
    <t>102-62-2887</t>
  </si>
  <si>
    <t>134-54-6262</t>
  </si>
  <si>
    <t>052-78-6062</t>
  </si>
  <si>
    <t>115-60-4516</t>
  </si>
  <si>
    <t>000-00-7163</t>
  </si>
  <si>
    <t>066-66-3687</t>
  </si>
  <si>
    <t>025-64-6550</t>
  </si>
  <si>
    <t>032-93-4571</t>
  </si>
  <si>
    <t>040-04-2795</t>
  </si>
  <si>
    <t>076-86-9957</t>
  </si>
  <si>
    <t>085-86-8623</t>
  </si>
  <si>
    <t>093-36-9641</t>
  </si>
  <si>
    <t>096-68-0205</t>
  </si>
  <si>
    <t>107-76-5984</t>
  </si>
  <si>
    <t>134-60-8164</t>
  </si>
  <si>
    <t>584-47-4471</t>
  </si>
  <si>
    <t>069-58-0202</t>
  </si>
  <si>
    <t>057-68-3215</t>
  </si>
  <si>
    <t>068-74-5867</t>
  </si>
  <si>
    <t>082-40-1736</t>
  </si>
  <si>
    <t>082-40-2954</t>
  </si>
  <si>
    <t>083-78-9685</t>
  </si>
  <si>
    <t>103-42-8843</t>
  </si>
  <si>
    <t>104-64-5899</t>
  </si>
  <si>
    <t>111-58-7508</t>
  </si>
  <si>
    <t>421-41-5472</t>
  </si>
  <si>
    <t>058-60-7220</t>
  </si>
  <si>
    <t>059-58-8647</t>
  </si>
  <si>
    <t>085-48-7962</t>
  </si>
  <si>
    <t>111-64-1597</t>
  </si>
  <si>
    <t>099-56-8292</t>
  </si>
  <si>
    <t>120-56-0808</t>
  </si>
  <si>
    <t>149-86-5224</t>
  </si>
  <si>
    <t>581-67-1674</t>
  </si>
  <si>
    <t>052-86-1152</t>
  </si>
  <si>
    <t>000-00-2391</t>
  </si>
  <si>
    <t>071-60-6615</t>
  </si>
  <si>
    <t>097-56-2596</t>
  </si>
  <si>
    <t>054-90-7670</t>
  </si>
  <si>
    <t>062-96-0051</t>
  </si>
  <si>
    <t>070-46-7621</t>
  </si>
  <si>
    <t>081-42-9034</t>
  </si>
  <si>
    <t>089-64-5802</t>
  </si>
  <si>
    <t>202-82-8882</t>
  </si>
  <si>
    <t>596-46-7441</t>
  </si>
  <si>
    <t>732-58-8729</t>
  </si>
  <si>
    <t>SEPS</t>
  </si>
  <si>
    <t>Case Discontinued/Dismissed/Landlord Fails to Prosecute, Case Resolved without Judgment of Eviction Against Client</t>
  </si>
  <si>
    <t>2019-07-19</t>
  </si>
  <si>
    <t>Medina, Marta</t>
  </si>
  <si>
    <t>05/08/2019</t>
  </si>
  <si>
    <t>06/21/2019</t>
  </si>
  <si>
    <t>3011 TRC FJC Initiative</t>
  </si>
  <si>
    <t>66 Housing Discrimination</t>
  </si>
  <si>
    <t>Provided full rep in same case, this case should be closed as ZZ</t>
  </si>
  <si>
    <t>Mancias, Fernando</t>
  </si>
  <si>
    <t>Goyzueta, Anna</t>
  </si>
  <si>
    <t>Chew, Thomas</t>
  </si>
  <si>
    <t>Castro, Cristina</t>
  </si>
  <si>
    <t>Mbame, Etondi</t>
  </si>
  <si>
    <t>Greene, Janelle</t>
  </si>
  <si>
    <t>Herrmann, Neil</t>
  </si>
  <si>
    <t>Ansari, Saif</t>
  </si>
  <si>
    <t>Licharson, Tom</t>
  </si>
  <si>
    <t>Fukuda, Noriko</t>
  </si>
  <si>
    <t>Mulles, Carlos</t>
  </si>
  <si>
    <t>Breakstone, Chelsea</t>
  </si>
  <si>
    <t>Roberts, Jonathan</t>
  </si>
  <si>
    <t>DeVolld, Angela</t>
  </si>
  <si>
    <t>Susan</t>
  </si>
  <si>
    <t>Tasha</t>
  </si>
  <si>
    <t>Ahimo</t>
  </si>
  <si>
    <t>Shaniquewa</t>
  </si>
  <si>
    <t>Francesca</t>
  </si>
  <si>
    <t>Gilbert</t>
  </si>
  <si>
    <t>Israel</t>
  </si>
  <si>
    <t>Tabu</t>
  </si>
  <si>
    <t>Lourdes</t>
  </si>
  <si>
    <t>JUANA</t>
  </si>
  <si>
    <t>Karla</t>
  </si>
  <si>
    <t>Shashi</t>
  </si>
  <si>
    <t>MaryMar</t>
  </si>
  <si>
    <t>Donisha</t>
  </si>
  <si>
    <t>Khadijah</t>
  </si>
  <si>
    <t>Dionne</t>
  </si>
  <si>
    <t>Tiffany</t>
  </si>
  <si>
    <t>Nga</t>
  </si>
  <si>
    <t>Carlton</t>
  </si>
  <si>
    <t>Helena</t>
  </si>
  <si>
    <t>Jerali</t>
  </si>
  <si>
    <t>Tawanna</t>
  </si>
  <si>
    <t>Lorena</t>
  </si>
  <si>
    <t>DEBRA</t>
  </si>
  <si>
    <t>Alvaro</t>
  </si>
  <si>
    <t>Fior</t>
  </si>
  <si>
    <t>India</t>
  </si>
  <si>
    <t>Abigail</t>
  </si>
  <si>
    <t>Sherine</t>
  </si>
  <si>
    <t>Tanisha</t>
  </si>
  <si>
    <t>Daouda</t>
  </si>
  <si>
    <t>Donicia</t>
  </si>
  <si>
    <t>Ayesha</t>
  </si>
  <si>
    <t>Venus</t>
  </si>
  <si>
    <t>Miguel</t>
  </si>
  <si>
    <t>Szilvia</t>
  </si>
  <si>
    <t>Eglan</t>
  </si>
  <si>
    <t>Jennifer</t>
  </si>
  <si>
    <t>Anderson</t>
  </si>
  <si>
    <t>Brian</t>
  </si>
  <si>
    <t>Chotsani</t>
  </si>
  <si>
    <t>Brigit</t>
  </si>
  <si>
    <t>William</t>
  </si>
  <si>
    <t>Davon</t>
  </si>
  <si>
    <t>Anthia</t>
  </si>
  <si>
    <t>Carol</t>
  </si>
  <si>
    <t>Shannon</t>
  </si>
  <si>
    <t>Selena</t>
  </si>
  <si>
    <t>LOURDES</t>
  </si>
  <si>
    <t>virgen</t>
  </si>
  <si>
    <t>Linda</t>
  </si>
  <si>
    <t>Moutakilou</t>
  </si>
  <si>
    <t>Shonell</t>
  </si>
  <si>
    <t>Maribel</t>
  </si>
  <si>
    <t>Liz</t>
  </si>
  <si>
    <t>Ingrit</t>
  </si>
  <si>
    <t>Laye</t>
  </si>
  <si>
    <t>Gabriella</t>
  </si>
  <si>
    <t>Sylvia</t>
  </si>
  <si>
    <t>Tasia</t>
  </si>
  <si>
    <t>Jermaine</t>
  </si>
  <si>
    <t>LaToya</t>
  </si>
  <si>
    <t>Celina</t>
  </si>
  <si>
    <t>Mercedes</t>
  </si>
  <si>
    <t>Conseuelo</t>
  </si>
  <si>
    <t>Adera</t>
  </si>
  <si>
    <t>Larry</t>
  </si>
  <si>
    <t>Joann</t>
  </si>
  <si>
    <t>Lora</t>
  </si>
  <si>
    <t>Shaida</t>
  </si>
  <si>
    <t>Ricki</t>
  </si>
  <si>
    <t>Cinthia</t>
  </si>
  <si>
    <t>Eladio</t>
  </si>
  <si>
    <t>Ernesto</t>
  </si>
  <si>
    <t>Bridget</t>
  </si>
  <si>
    <t>Malonnie</t>
  </si>
  <si>
    <t>Stalyce</t>
  </si>
  <si>
    <t>Melissa</t>
  </si>
  <si>
    <t>Fode</t>
  </si>
  <si>
    <t>yvonne</t>
  </si>
  <si>
    <t>Ebrunilda</t>
  </si>
  <si>
    <t>Monique</t>
  </si>
  <si>
    <t>Jorge</t>
  </si>
  <si>
    <t>Leslie</t>
  </si>
  <si>
    <t>David</t>
  </si>
  <si>
    <t>Grace</t>
  </si>
  <si>
    <t>Haleem</t>
  </si>
  <si>
    <t>Milton</t>
  </si>
  <si>
    <t>Atla</t>
  </si>
  <si>
    <t>Karisma</t>
  </si>
  <si>
    <t>Metognisse</t>
  </si>
  <si>
    <t>Freeman</t>
  </si>
  <si>
    <t>Angelic</t>
  </si>
  <si>
    <t>Rudy</t>
  </si>
  <si>
    <t>Shaunina</t>
  </si>
  <si>
    <t>Shannarra</t>
  </si>
  <si>
    <t>Akil</t>
  </si>
  <si>
    <t>Shoshanna</t>
  </si>
  <si>
    <t>Iris</t>
  </si>
  <si>
    <t>Gordon</t>
  </si>
  <si>
    <t>Dwayne</t>
  </si>
  <si>
    <t>Tania</t>
  </si>
  <si>
    <t>Johana</t>
  </si>
  <si>
    <t>Danielle</t>
  </si>
  <si>
    <t>Anastacia</t>
  </si>
  <si>
    <t>Ruby</t>
  </si>
  <si>
    <t>Earnest</t>
  </si>
  <si>
    <t>Lakisha</t>
  </si>
  <si>
    <t>Claudia</t>
  </si>
  <si>
    <t>Tomasina</t>
  </si>
  <si>
    <t>Ofelia</t>
  </si>
  <si>
    <t>Perla</t>
  </si>
  <si>
    <t>Stevenson</t>
  </si>
  <si>
    <t>Pedro</t>
  </si>
  <si>
    <t>Isabel</t>
  </si>
  <si>
    <t>Ondina</t>
  </si>
  <si>
    <t>Oslyn</t>
  </si>
  <si>
    <t>Rhonda</t>
  </si>
  <si>
    <t>Idalma</t>
  </si>
  <si>
    <t>Marcus</t>
  </si>
  <si>
    <t>Dahikiana</t>
  </si>
  <si>
    <t>Arcadia</t>
  </si>
  <si>
    <t>Katherine</t>
  </si>
  <si>
    <t>Musa</t>
  </si>
  <si>
    <t>Yahaira</t>
  </si>
  <si>
    <t>elizabeth</t>
  </si>
  <si>
    <t>Tamika</t>
  </si>
  <si>
    <t>Walesca</t>
  </si>
  <si>
    <t>Carolin</t>
  </si>
  <si>
    <t>Al</t>
  </si>
  <si>
    <t>Jeffrey</t>
  </si>
  <si>
    <t>Indhira</t>
  </si>
  <si>
    <t>Saffie</t>
  </si>
  <si>
    <t>Alberto</t>
  </si>
  <si>
    <t>Saul</t>
  </si>
  <si>
    <t>ANA</t>
  </si>
  <si>
    <t>Osvaldo</t>
  </si>
  <si>
    <t>Charmise</t>
  </si>
  <si>
    <t>Taywanna</t>
  </si>
  <si>
    <t>Ramona</t>
  </si>
  <si>
    <t>Yorkelis</t>
  </si>
  <si>
    <t>Albizu</t>
  </si>
  <si>
    <t>Marilyn</t>
  </si>
  <si>
    <t>Christopher</t>
  </si>
  <si>
    <t>Tiyana</t>
  </si>
  <si>
    <t>Warleidys</t>
  </si>
  <si>
    <t>Lassani</t>
  </si>
  <si>
    <t>Natalize</t>
  </si>
  <si>
    <t>Walid</t>
  </si>
  <si>
    <t>Vincent</t>
  </si>
  <si>
    <t>Loretta</t>
  </si>
  <si>
    <t>Alexandra</t>
  </si>
  <si>
    <t>Sueheily</t>
  </si>
  <si>
    <t>MILAGROS</t>
  </si>
  <si>
    <t>LaShey</t>
  </si>
  <si>
    <t>Carttresse</t>
  </si>
  <si>
    <t>Nedra</t>
  </si>
  <si>
    <t>Vera</t>
  </si>
  <si>
    <t>Joanne</t>
  </si>
  <si>
    <t>Shiasia</t>
  </si>
  <si>
    <t>Daisy</t>
  </si>
  <si>
    <t>Santa</t>
  </si>
  <si>
    <t>JENNY</t>
  </si>
  <si>
    <t>Milady</t>
  </si>
  <si>
    <t>Sabur</t>
  </si>
  <si>
    <t>Natasha</t>
  </si>
  <si>
    <t>Yaniri</t>
  </si>
  <si>
    <t>GLEINYS</t>
  </si>
  <si>
    <t>Todd</t>
  </si>
  <si>
    <t>Hellen</t>
  </si>
  <si>
    <t>Dorothy Janet</t>
  </si>
  <si>
    <t>OLGA</t>
  </si>
  <si>
    <t>Yiselt</t>
  </si>
  <si>
    <t>Sophia</t>
  </si>
  <si>
    <t>Moumouni</t>
  </si>
  <si>
    <t>Adele</t>
  </si>
  <si>
    <t>Karima</t>
  </si>
  <si>
    <t>TAWANNA</t>
  </si>
  <si>
    <t>Dana</t>
  </si>
  <si>
    <t>Banfaly</t>
  </si>
  <si>
    <t>Romualda</t>
  </si>
  <si>
    <t>Deslyn</t>
  </si>
  <si>
    <t>Arlene</t>
  </si>
  <si>
    <t>Aileen</t>
  </si>
  <si>
    <t>Rachel</t>
  </si>
  <si>
    <t>Ashish</t>
  </si>
  <si>
    <t>Cesarina</t>
  </si>
  <si>
    <t>Emvie</t>
  </si>
  <si>
    <t>Estarlin</t>
  </si>
  <si>
    <t>Luciana</t>
  </si>
  <si>
    <t>Enkeleyda</t>
  </si>
  <si>
    <t>Taisha</t>
  </si>
  <si>
    <t>Kelly</t>
  </si>
  <si>
    <t>Nyasia</t>
  </si>
  <si>
    <t>Roderick</t>
  </si>
  <si>
    <t>Quinchi</t>
  </si>
  <si>
    <t>Sharon</t>
  </si>
  <si>
    <t>Evette</t>
  </si>
  <si>
    <t>Keisha</t>
  </si>
  <si>
    <t>Junior</t>
  </si>
  <si>
    <t>Douglas</t>
  </si>
  <si>
    <t>Lillian</t>
  </si>
  <si>
    <t>Louis</t>
  </si>
  <si>
    <t>Evelyn</t>
  </si>
  <si>
    <t>Euriel</t>
  </si>
  <si>
    <t>Hector</t>
  </si>
  <si>
    <t>Alexander</t>
  </si>
  <si>
    <t>Richamar</t>
  </si>
  <si>
    <t>Micah</t>
  </si>
  <si>
    <t>Tammy</t>
  </si>
  <si>
    <t>Nolma</t>
  </si>
  <si>
    <t>Ladel</t>
  </si>
  <si>
    <t>Jorel</t>
  </si>
  <si>
    <t>Patsy</t>
  </si>
  <si>
    <t>Charlie</t>
  </si>
  <si>
    <t>KAYLA</t>
  </si>
  <si>
    <t>Cindy</t>
  </si>
  <si>
    <t>Yolanda</t>
  </si>
  <si>
    <t>Shameika</t>
  </si>
  <si>
    <t>Grey</t>
  </si>
  <si>
    <t>Marlyne</t>
  </si>
  <si>
    <t>Lessie</t>
  </si>
  <si>
    <t>Selina</t>
  </si>
  <si>
    <t>Darrell</t>
  </si>
  <si>
    <t>Boahemaa</t>
  </si>
  <si>
    <t>Janette</t>
  </si>
  <si>
    <t>Alixon</t>
  </si>
  <si>
    <t>Aurora</t>
  </si>
  <si>
    <t>Timothy</t>
  </si>
  <si>
    <t>John</t>
  </si>
  <si>
    <t>Kiera</t>
  </si>
  <si>
    <t>Adabelba</t>
  </si>
  <si>
    <t>Ravel</t>
  </si>
  <si>
    <t>Sachen</t>
  </si>
  <si>
    <t>Cynteera</t>
  </si>
  <si>
    <t>Zoraida</t>
  </si>
  <si>
    <t>Lifton</t>
  </si>
  <si>
    <t>Holley</t>
  </si>
  <si>
    <t>Colbourne</t>
  </si>
  <si>
    <t>Lino</t>
  </si>
  <si>
    <t>Washington</t>
  </si>
  <si>
    <t>Ricardi</t>
  </si>
  <si>
    <t>Machado</t>
  </si>
  <si>
    <t>Mendoza</t>
  </si>
  <si>
    <t>Leon</t>
  </si>
  <si>
    <t>Hampden</t>
  </si>
  <si>
    <t>MARTINEZ</t>
  </si>
  <si>
    <t>Calderon</t>
  </si>
  <si>
    <t>Pachnanda</t>
  </si>
  <si>
    <t>Eremeyev</t>
  </si>
  <si>
    <t>Garcia perez</t>
  </si>
  <si>
    <t>Dunbar</t>
  </si>
  <si>
    <t>Abdullah-Greene</t>
  </si>
  <si>
    <t>Loadholt</t>
  </si>
  <si>
    <t>Morillo</t>
  </si>
  <si>
    <t>Duong</t>
  </si>
  <si>
    <t>Mills</t>
  </si>
  <si>
    <t>Del Valle</t>
  </si>
  <si>
    <t>Rivas</t>
  </si>
  <si>
    <t>Dortch</t>
  </si>
  <si>
    <t>De Jesus</t>
  </si>
  <si>
    <t>Lucero</t>
  </si>
  <si>
    <t>Vasquez</t>
  </si>
  <si>
    <t>VELEZ</t>
  </si>
  <si>
    <t>Nino</t>
  </si>
  <si>
    <t>Coleman Raybe</t>
  </si>
  <si>
    <t>Jeter</t>
  </si>
  <si>
    <t>Keppel</t>
  </si>
  <si>
    <t>Perez</t>
  </si>
  <si>
    <t>Kante</t>
  </si>
  <si>
    <t>Hunt</t>
  </si>
  <si>
    <t>Franks</t>
  </si>
  <si>
    <t>Rolon</t>
  </si>
  <si>
    <t>Justiniano</t>
  </si>
  <si>
    <t>Fals</t>
  </si>
  <si>
    <t>Martin</t>
  </si>
  <si>
    <t>Jonnson</t>
  </si>
  <si>
    <t>Myles</t>
  </si>
  <si>
    <t>Matias</t>
  </si>
  <si>
    <t>Dematos</t>
  </si>
  <si>
    <t>McCray</t>
  </si>
  <si>
    <t>Morel</t>
  </si>
  <si>
    <t>Henderson</t>
  </si>
  <si>
    <t>Terrell</t>
  </si>
  <si>
    <t>Jimenez</t>
  </si>
  <si>
    <t>Curiel</t>
  </si>
  <si>
    <t>RIOS</t>
  </si>
  <si>
    <t>concepcion</t>
  </si>
  <si>
    <t>Jefferson</t>
  </si>
  <si>
    <t>Mumuni</t>
  </si>
  <si>
    <t>McKinley</t>
  </si>
  <si>
    <t>Echevarria</t>
  </si>
  <si>
    <t>Brito</t>
  </si>
  <si>
    <t>Camara</t>
  </si>
  <si>
    <t>Gorobets</t>
  </si>
  <si>
    <t>Hubbard</t>
  </si>
  <si>
    <t>Weekes</t>
  </si>
  <si>
    <t>Espinal Rivera</t>
  </si>
  <si>
    <t>Tartt</t>
  </si>
  <si>
    <t>Hughes</t>
  </si>
  <si>
    <t>Soto</t>
  </si>
  <si>
    <t>Sherby</t>
  </si>
  <si>
    <t>Patillo</t>
  </si>
  <si>
    <t>motley</t>
  </si>
  <si>
    <t>Mendez</t>
  </si>
  <si>
    <t>Legette</t>
  </si>
  <si>
    <t>Cashman</t>
  </si>
  <si>
    <t>Conte</t>
  </si>
  <si>
    <t>Tovar</t>
  </si>
  <si>
    <t>romain</t>
  </si>
  <si>
    <t>Washington Jones</t>
  </si>
  <si>
    <t>Reynoso</t>
  </si>
  <si>
    <t>Downing</t>
  </si>
  <si>
    <t>Rosado</t>
  </si>
  <si>
    <t>Mahdi</t>
  </si>
  <si>
    <t>Parker</t>
  </si>
  <si>
    <t>Pender</t>
  </si>
  <si>
    <t>Folly</t>
  </si>
  <si>
    <t>Bohannon</t>
  </si>
  <si>
    <t>Elvy</t>
  </si>
  <si>
    <t>Lazazzera</t>
  </si>
  <si>
    <t>Young</t>
  </si>
  <si>
    <t>Watters</t>
  </si>
  <si>
    <t>Cortez</t>
  </si>
  <si>
    <t>Nieves</t>
  </si>
  <si>
    <t>Schofield</t>
  </si>
  <si>
    <t>Ranger</t>
  </si>
  <si>
    <t>Arriaga</t>
  </si>
  <si>
    <t>Avila</t>
  </si>
  <si>
    <t>Strickland</t>
  </si>
  <si>
    <t>Quartey</t>
  </si>
  <si>
    <t>Mercado</t>
  </si>
  <si>
    <t>Dzaba</t>
  </si>
  <si>
    <t>Abreu</t>
  </si>
  <si>
    <t>Maggiolo</t>
  </si>
  <si>
    <t>Briscoe</t>
  </si>
  <si>
    <t>Kee</t>
  </si>
  <si>
    <t>Espinal</t>
  </si>
  <si>
    <t>O' Connor</t>
  </si>
  <si>
    <t>Suarez - Brice</t>
  </si>
  <si>
    <t>Liner</t>
  </si>
  <si>
    <t>Frias</t>
  </si>
  <si>
    <t>Vega</t>
  </si>
  <si>
    <t>Kingston</t>
  </si>
  <si>
    <t>Auson</t>
  </si>
  <si>
    <t>Serrano</t>
  </si>
  <si>
    <t>Gaya</t>
  </si>
  <si>
    <t>Ubiles</t>
  </si>
  <si>
    <t>Molina</t>
  </si>
  <si>
    <t>Kabba</t>
  </si>
  <si>
    <t>Fernandez</t>
  </si>
  <si>
    <t>martinez</t>
  </si>
  <si>
    <t>Collins</t>
  </si>
  <si>
    <t>Garcia</t>
  </si>
  <si>
    <t>McCutter</t>
  </si>
  <si>
    <t>Natalio</t>
  </si>
  <si>
    <t>Hutaf</t>
  </si>
  <si>
    <t>Colon</t>
  </si>
  <si>
    <t>Jobe</t>
  </si>
  <si>
    <t>Collado</t>
  </si>
  <si>
    <t>Pineda</t>
  </si>
  <si>
    <t>RODRIGUEZ</t>
  </si>
  <si>
    <t>Davis-McMillian</t>
  </si>
  <si>
    <t>Villafane</t>
  </si>
  <si>
    <t>Duodo</t>
  </si>
  <si>
    <t>Smith</t>
  </si>
  <si>
    <t>Boyd</t>
  </si>
  <si>
    <t>Evans</t>
  </si>
  <si>
    <t>Lincoln</t>
  </si>
  <si>
    <t>Duarte</t>
  </si>
  <si>
    <t>De la cruz</t>
  </si>
  <si>
    <t>Medero</t>
  </si>
  <si>
    <t>Correa</t>
  </si>
  <si>
    <t>Castillo</t>
  </si>
  <si>
    <t>Konate</t>
  </si>
  <si>
    <t>Mirles</t>
  </si>
  <si>
    <t>Giron</t>
  </si>
  <si>
    <t>Gavin</t>
  </si>
  <si>
    <t>Lynch</t>
  </si>
  <si>
    <t>Ruiz</t>
  </si>
  <si>
    <t>Camacho</t>
  </si>
  <si>
    <t>VASQUEZ</t>
  </si>
  <si>
    <t>Toison</t>
  </si>
  <si>
    <t>Owusu Manu</t>
  </si>
  <si>
    <t>Simmons</t>
  </si>
  <si>
    <t>Grayson</t>
  </si>
  <si>
    <t>Jackson Agee</t>
  </si>
  <si>
    <t>Birkett-Burch</t>
  </si>
  <si>
    <t>Waters</t>
  </si>
  <si>
    <t>Monroe</t>
  </si>
  <si>
    <t>Guzman</t>
  </si>
  <si>
    <t>Gross</t>
  </si>
  <si>
    <t>MITCHELL</t>
  </si>
  <si>
    <t>Khalifah</t>
  </si>
  <si>
    <t>Tellier</t>
  </si>
  <si>
    <t>Rossy</t>
  </si>
  <si>
    <t>Checo</t>
  </si>
  <si>
    <t>GONZALEZ</t>
  </si>
  <si>
    <t>Banks</t>
  </si>
  <si>
    <t>Henriquez</t>
  </si>
  <si>
    <t>Abbott</t>
  </si>
  <si>
    <t>Guerrero</t>
  </si>
  <si>
    <t>Arciniegas</t>
  </si>
  <si>
    <t>NUNEZ,</t>
  </si>
  <si>
    <t>Ali</t>
  </si>
  <si>
    <t>Blake</t>
  </si>
  <si>
    <t>Amadou</t>
  </si>
  <si>
    <t>Fabian</t>
  </si>
  <si>
    <t>Knight</t>
  </si>
  <si>
    <t>DAVIS</t>
  </si>
  <si>
    <t>Marshall</t>
  </si>
  <si>
    <t>Kouyate</t>
  </si>
  <si>
    <t>Cooke</t>
  </si>
  <si>
    <t>Figueroa</t>
  </si>
  <si>
    <t>Clarke</t>
  </si>
  <si>
    <t>Roman</t>
  </si>
  <si>
    <t>Aswani</t>
  </si>
  <si>
    <t>Feliz</t>
  </si>
  <si>
    <t>Mejia</t>
  </si>
  <si>
    <t>Padillla</t>
  </si>
  <si>
    <t>Bujaj</t>
  </si>
  <si>
    <t>Tjasso</t>
  </si>
  <si>
    <t>Reynolds</t>
  </si>
  <si>
    <t>Oliva</t>
  </si>
  <si>
    <t>Munroe</t>
  </si>
  <si>
    <t>Bravo Manuel</t>
  </si>
  <si>
    <t>Enriquez</t>
  </si>
  <si>
    <t>Mateen</t>
  </si>
  <si>
    <t>Forde</t>
  </si>
  <si>
    <t>Reape</t>
  </si>
  <si>
    <t>Brea</t>
  </si>
  <si>
    <t>Nixon</t>
  </si>
  <si>
    <t>Harrington</t>
  </si>
  <si>
    <t>Hassalevris</t>
  </si>
  <si>
    <t>Goldston</t>
  </si>
  <si>
    <t>Taveras</t>
  </si>
  <si>
    <t>Murray</t>
  </si>
  <si>
    <t>Brea Infante</t>
  </si>
  <si>
    <t>Polanco</t>
  </si>
  <si>
    <t>Mang</t>
  </si>
  <si>
    <t>Laguerre</t>
  </si>
  <si>
    <t>Garrett</t>
  </si>
  <si>
    <t>Shubrick</t>
  </si>
  <si>
    <t>Campbell</t>
  </si>
  <si>
    <t>King</t>
  </si>
  <si>
    <t>Baez</t>
  </si>
  <si>
    <t>Batista</t>
  </si>
  <si>
    <t>Sanders</t>
  </si>
  <si>
    <t>TORRES</t>
  </si>
  <si>
    <t>Maxell</t>
  </si>
  <si>
    <t>Samayoa</t>
  </si>
  <si>
    <t>Robles</t>
  </si>
  <si>
    <t>Gadsden</t>
  </si>
  <si>
    <t>Lugo-Rivera</t>
  </si>
  <si>
    <t>Guevara</t>
  </si>
  <si>
    <t>Davies</t>
  </si>
  <si>
    <t>Pressley</t>
  </si>
  <si>
    <t>Guadalupe</t>
  </si>
  <si>
    <t>Sarpong</t>
  </si>
  <si>
    <t>Cummins</t>
  </si>
  <si>
    <t>Lind</t>
  </si>
  <si>
    <t>Marizan</t>
  </si>
  <si>
    <t>Orlando</t>
  </si>
  <si>
    <t>Meador</t>
  </si>
  <si>
    <t>Tavera</t>
  </si>
  <si>
    <t>Cardoza</t>
  </si>
  <si>
    <t>Balbuena</t>
  </si>
  <si>
    <t>McLean</t>
  </si>
  <si>
    <t>Carter</t>
  </si>
  <si>
    <t>Melendez</t>
  </si>
  <si>
    <t>600 Baychester Ave</t>
  </si>
  <si>
    <t>800 Freeman St</t>
  </si>
  <si>
    <t>993 Union Ave</t>
  </si>
  <si>
    <t>455 E 148th St</t>
  </si>
  <si>
    <t>18a Broun Pl</t>
  </si>
  <si>
    <t>428 E 137th St</t>
  </si>
  <si>
    <t>1202 Noble Ave</t>
  </si>
  <si>
    <t>2280 Randall Ave</t>
  </si>
  <si>
    <t>1106 Morris Ave</t>
  </si>
  <si>
    <t>1500 Noble Ave</t>
  </si>
  <si>
    <t>226 E 203rd St</t>
  </si>
  <si>
    <t>944 Rev James A Polite Ave</t>
  </si>
  <si>
    <t>220 E 204th St</t>
  </si>
  <si>
    <t>3980 Orloff Ave</t>
  </si>
  <si>
    <t>673 Beck St</t>
  </si>
  <si>
    <t>710 Noble Ave</t>
  </si>
  <si>
    <t>2950 Park Ave</t>
  </si>
  <si>
    <t>1921 Hobart Ave</t>
  </si>
  <si>
    <t>311 Bedford Park Blvd</t>
  </si>
  <si>
    <t>4173 3rd Ave</t>
  </si>
  <si>
    <t>92 W Tremont Ave</t>
  </si>
  <si>
    <t>1635 Mahan Ave</t>
  </si>
  <si>
    <t>2929 Bainbridge Ave</t>
  </si>
  <si>
    <t>1275 Lafayette Ave</t>
  </si>
  <si>
    <t>600 Trinity Ave</t>
  </si>
  <si>
    <t>547 E 168th St</t>
  </si>
  <si>
    <t>3535 Rochambeau ave</t>
  </si>
  <si>
    <t>250 E 144th St</t>
  </si>
  <si>
    <t>1180 Anderson Ave</t>
  </si>
  <si>
    <t>3110 Bainbridge Ave</t>
  </si>
  <si>
    <t>4728 Bronx Blvd</t>
  </si>
  <si>
    <t>592 E 141st St</t>
  </si>
  <si>
    <t>1386 Prospect Ave</t>
  </si>
  <si>
    <t>2103 Honeywell Ave</t>
  </si>
  <si>
    <t>2477 Belmont Ave</t>
  </si>
  <si>
    <t>1129a E Tremont Ave</t>
  </si>
  <si>
    <t>2390 Tiebout Ave</t>
  </si>
  <si>
    <t>970 E 231st St</t>
  </si>
  <si>
    <t>983 E 181st St</t>
  </si>
  <si>
    <t>55 W 180th St</t>
  </si>
  <si>
    <t>1451 Rosedale Ave</t>
  </si>
  <si>
    <t>3317 Seymour Ave</t>
  </si>
  <si>
    <t>388 E 141st St</t>
  </si>
  <si>
    <t>1432 Croes Ave</t>
  </si>
  <si>
    <t>1414 Crotona Park E</t>
  </si>
  <si>
    <t>4459 Matilda Ave</t>
  </si>
  <si>
    <t>731 Gerard Ave</t>
  </si>
  <si>
    <t>1414 Crotona Park East</t>
  </si>
  <si>
    <t>907 Avenue St. John</t>
  </si>
  <si>
    <t>790 Grand Concourse</t>
  </si>
  <si>
    <t>732 E 187th St</t>
  </si>
  <si>
    <t>1020 Boynton Ave</t>
  </si>
  <si>
    <t>186 e 164th st</t>
  </si>
  <si>
    <t>20 Richman Plz</t>
  </si>
  <si>
    <t>815 Gerard Ave</t>
  </si>
  <si>
    <t>2985 Webster Ave Apt 3</t>
  </si>
  <si>
    <t>1015 E 179th St</t>
  </si>
  <si>
    <t>1141 Elder ave</t>
  </si>
  <si>
    <t>1766 Gleason Ave</t>
  </si>
  <si>
    <t>1220 Morris Ave</t>
  </si>
  <si>
    <t>2311 Crotona Ave</t>
  </si>
  <si>
    <t>439 E 135th St</t>
  </si>
  <si>
    <t>770 Bryant Ave</t>
  </si>
  <si>
    <t>1700 Crotona Park E</t>
  </si>
  <si>
    <t>2075 Boston Rd</t>
  </si>
  <si>
    <t>3915 Carpenter Ave</t>
  </si>
  <si>
    <t>2010 Powell Ave</t>
  </si>
  <si>
    <t>2356 Grand Concourse</t>
  </si>
  <si>
    <t>3805 Review Pl</t>
  </si>
  <si>
    <t>1178 Sherman Ave</t>
  </si>
  <si>
    <t>2025 Seward Ave</t>
  </si>
  <si>
    <t>2350 beaumont ave</t>
  </si>
  <si>
    <t>2543 Bronxwood Ave</t>
  </si>
  <si>
    <t>365 E 183rd St</t>
  </si>
  <si>
    <t>1061 Teller Ave</t>
  </si>
  <si>
    <t>600 E 141st St</t>
  </si>
  <si>
    <t>1480 Popham Ave</t>
  </si>
  <si>
    <t>3303 Fenton Avenue</t>
  </si>
  <si>
    <t>1715 Nelson Ave</t>
  </si>
  <si>
    <t>530 E 137th St</t>
  </si>
  <si>
    <t>655 E 228th St</t>
  </si>
  <si>
    <t>2342 Ryer Ave</t>
  </si>
  <si>
    <t>401 Bronx River Ave</t>
  </si>
  <si>
    <t>1927 Univ Ave</t>
  </si>
  <si>
    <t>2802 Grand Concourse</t>
  </si>
  <si>
    <t>327 E 158th St</t>
  </si>
  <si>
    <t>1682 Seward Avenue</t>
  </si>
  <si>
    <t>328 Beekman Ave</t>
  </si>
  <si>
    <t>994 E 180th St</t>
  </si>
  <si>
    <t>1690 Watson Ave</t>
  </si>
  <si>
    <t>864 Hewitt Pl</t>
  </si>
  <si>
    <t>1990 Gleason Ave</t>
  </si>
  <si>
    <t>2334 Washington Ave</t>
  </si>
  <si>
    <t>3990 Bronx Blvd</t>
  </si>
  <si>
    <t>721 Tinton Ave</t>
  </si>
  <si>
    <t>711 E 218th St</t>
  </si>
  <si>
    <t>1700 Hoe Ave</t>
  </si>
  <si>
    <t>576 E 165th St</t>
  </si>
  <si>
    <t>2015 Grand Ave</t>
  </si>
  <si>
    <t>390 E 153rd St</t>
  </si>
  <si>
    <t>2219 Morgan Avenue</t>
  </si>
  <si>
    <t>631 E 220th St</t>
  </si>
  <si>
    <t>1020 Soundview Ave</t>
  </si>
  <si>
    <t>960 Sherman Ave</t>
  </si>
  <si>
    <t>750 Grand Concourse</t>
  </si>
  <si>
    <t>855 E 178th St</t>
  </si>
  <si>
    <t>2065 Walton Ave</t>
  </si>
  <si>
    <t>3441 Fish ave</t>
  </si>
  <si>
    <t>1640 Macombs Rd</t>
  </si>
  <si>
    <t>1975 Grand Ave</t>
  </si>
  <si>
    <t>1496 Longfellow Avenue</t>
  </si>
  <si>
    <t>500 E 165th St</t>
  </si>
  <si>
    <t>730 Oakland Pl</t>
  </si>
  <si>
    <t>1665 Monroe Ave</t>
  </si>
  <si>
    <t>3039 Coddington Ave</t>
  </si>
  <si>
    <t>277 E 207th St</t>
  </si>
  <si>
    <t>827 Morris Park Avenue</t>
  </si>
  <si>
    <t>1715 LaCombe Ave</t>
  </si>
  <si>
    <t>750 Bryant Ave</t>
  </si>
  <si>
    <t>30 Richman Plz</t>
  </si>
  <si>
    <t>20 West Mosholu Parkway</t>
  </si>
  <si>
    <t>1670 Boston Rd</t>
  </si>
  <si>
    <t>1765 Seward Ave</t>
  </si>
  <si>
    <t>1500 Hoe Ave</t>
  </si>
  <si>
    <t>156 E 178th St</t>
  </si>
  <si>
    <t>960 Sheridan Ave</t>
  </si>
  <si>
    <t>3764 Bronx blvd</t>
  </si>
  <si>
    <t>1590 Undercliff Ave</t>
  </si>
  <si>
    <t>721 Walton Ave</t>
  </si>
  <si>
    <t>342 E 146th St</t>
  </si>
  <si>
    <t>816 Manida Street</t>
  </si>
  <si>
    <t>2734 Kingsbridge Ter</t>
  </si>
  <si>
    <t>243 E 237th St</t>
  </si>
  <si>
    <t>2143 Blackrock Ave</t>
  </si>
  <si>
    <t>1898 Harrison Ave</t>
  </si>
  <si>
    <t>2531 Frisby Ave</t>
  </si>
  <si>
    <t>2110 Arthur Ave</t>
  </si>
  <si>
    <t>3014 Bouck Ave</t>
  </si>
  <si>
    <t>221 W 233rd St</t>
  </si>
  <si>
    <t>1925 Harrison Ave</t>
  </si>
  <si>
    <t>3064 Bailey Ave</t>
  </si>
  <si>
    <t>785 E Tremont Ave</t>
  </si>
  <si>
    <t>2095 Mohegan Ave</t>
  </si>
  <si>
    <t>355 E 184th St</t>
  </si>
  <si>
    <t>1551 Williamsbridge Rd</t>
  </si>
  <si>
    <t>5 Buchanan Pl</t>
  </si>
  <si>
    <t>1710 Andrews Ave</t>
  </si>
  <si>
    <t>2180 Bronx Park E</t>
  </si>
  <si>
    <t>2523 Barnes Ave</t>
  </si>
  <si>
    <t>660 Arnow Ave</t>
  </si>
  <si>
    <t>717 Crotona Park N</t>
  </si>
  <si>
    <t>2855 Grand Concourse</t>
  </si>
  <si>
    <t>1521 Unionport Rd</t>
  </si>
  <si>
    <t>2170 Bathgate Ave</t>
  </si>
  <si>
    <t>2274 Grand Concourse</t>
  </si>
  <si>
    <t>1094 Longfellow Ave</t>
  </si>
  <si>
    <t>165 W 197th St</t>
  </si>
  <si>
    <t>175 Father Zeiser Pl</t>
  </si>
  <si>
    <t>1996 Anthony Ave</t>
  </si>
  <si>
    <t>3038 Hull Ave</t>
  </si>
  <si>
    <t>1744 Clay Ave</t>
  </si>
  <si>
    <t>735 Magenta St</t>
  </si>
  <si>
    <t>1268 Olmstead Ave</t>
  </si>
  <si>
    <t>709 E 215th St</t>
  </si>
  <si>
    <t>2112 Starling Ave</t>
  </si>
  <si>
    <t>3560 Webster Ave</t>
  </si>
  <si>
    <t>2434 Walton Ave</t>
  </si>
  <si>
    <t>721 E 216th St</t>
  </si>
  <si>
    <t>542 E 182nd St</t>
  </si>
  <si>
    <t>3014 Holland Ave</t>
  </si>
  <si>
    <t>2443 Olinville Ave</t>
  </si>
  <si>
    <t>2310 Holland Ave</t>
  </si>
  <si>
    <t>2224 Lyon Ave</t>
  </si>
  <si>
    <t>229 E 176th St</t>
  </si>
  <si>
    <t>2420 Creston Ave</t>
  </si>
  <si>
    <t>3220 Perry Ave</t>
  </si>
  <si>
    <t>2396 Morris Ave</t>
  </si>
  <si>
    <t>3051 Olinville Ave</t>
  </si>
  <si>
    <t>1767 Weeks Ave</t>
  </si>
  <si>
    <t>1735 Fulton Ave</t>
  </si>
  <si>
    <t>2733 Morris Ave</t>
  </si>
  <si>
    <t>2060 White Plains Rd</t>
  </si>
  <si>
    <t>1460 Grand Concourse</t>
  </si>
  <si>
    <t>669 Arnow Ave</t>
  </si>
  <si>
    <t>1026 E 180th St</t>
  </si>
  <si>
    <t>2515 Olinville Ave</t>
  </si>
  <si>
    <t>2100 Tiebout Ave</t>
  </si>
  <si>
    <t>1589 Unionport Rd</t>
  </si>
  <si>
    <t>156 E 184th St</t>
  </si>
  <si>
    <t>2607 Jerome Ave</t>
  </si>
  <si>
    <t>1899 Belmont Ave</t>
  </si>
  <si>
    <t>2269 Hampden pl</t>
  </si>
  <si>
    <t>1802 CROTONA AVE</t>
  </si>
  <si>
    <t>2285 University Ave</t>
  </si>
  <si>
    <t>2242 Webster Ave</t>
  </si>
  <si>
    <t>2108 Ryer Ave</t>
  </si>
  <si>
    <t>2031 Hughes Ave</t>
  </si>
  <si>
    <t>2769 University Ave</t>
  </si>
  <si>
    <t>1977 Lafontaine Ave</t>
  </si>
  <si>
    <t>2309 Holland Ave</t>
  </si>
  <si>
    <t>405 E 182nd St</t>
  </si>
  <si>
    <t>2575 Sedgwick Ave</t>
  </si>
  <si>
    <t>828 S Oak Dr</t>
  </si>
  <si>
    <t>2387 Morris Ave</t>
  </si>
  <si>
    <t>315 E 166th St</t>
  </si>
  <si>
    <t>2285 Andrews Ave</t>
  </si>
  <si>
    <t>3260 Perry Ave</t>
  </si>
  <si>
    <t>3677 White Plains Rd</t>
  </si>
  <si>
    <t>2000 Anthony Ave</t>
  </si>
  <si>
    <t>2526 Bronx Park E</t>
  </si>
  <si>
    <t>2264 Loring Pl N</t>
  </si>
  <si>
    <t>333 E 181st St</t>
  </si>
  <si>
    <t>3952 3rd Ave</t>
  </si>
  <si>
    <t>2115 Washington Ave</t>
  </si>
  <si>
    <t>1266 Olmstead Ave</t>
  </si>
  <si>
    <t>315 E 206th St</t>
  </si>
  <si>
    <t>1805 Clinton Ave</t>
  </si>
  <si>
    <t>5 E 196th St</t>
  </si>
  <si>
    <t>55 W Mosholu Pkwy N</t>
  </si>
  <si>
    <t>347-573-8693</t>
  </si>
  <si>
    <t>2418 Olinville Avenue</t>
  </si>
  <si>
    <t>3525 Perry Ave</t>
  </si>
  <si>
    <t>2162 Valentine Ave</t>
  </si>
  <si>
    <t>730 Garden St</t>
  </si>
  <si>
    <t>3444 Knox Pl</t>
  </si>
  <si>
    <t>3212 Cruger Ave</t>
  </si>
  <si>
    <t>2471 Davidson Ave</t>
  </si>
  <si>
    <t>624 E 220th St</t>
  </si>
  <si>
    <t>820 Astor Ave</t>
  </si>
  <si>
    <t>1763 Fulton Ave</t>
  </si>
  <si>
    <t>1995 Birchall Ave</t>
  </si>
  <si>
    <t>20 W 190th St</t>
  </si>
  <si>
    <t>684 E 222nd St</t>
  </si>
  <si>
    <t>3464 Knox Pl</t>
  </si>
  <si>
    <t>718 Garden St</t>
  </si>
  <si>
    <t>3555 Kings College Pl</t>
  </si>
  <si>
    <t>739 Tilden St</t>
  </si>
  <si>
    <t>15 North St</t>
  </si>
  <si>
    <t>2295 Morris Ave</t>
  </si>
  <si>
    <t>1946 Cruger Ave</t>
  </si>
  <si>
    <t>2471 University Ave</t>
  </si>
  <si>
    <t>1711 Morris Ave</t>
  </si>
  <si>
    <t>2414 Creston Ave</t>
  </si>
  <si>
    <t>2308 University Ave</t>
  </si>
  <si>
    <t>204 Mount Hope Pl</t>
  </si>
  <si>
    <t>2825 Claflin Ave</t>
  </si>
  <si>
    <t>653 Britton St</t>
  </si>
  <si>
    <t>2525 Morris Ave</t>
  </si>
  <si>
    <t>2271 Washington Ave</t>
  </si>
  <si>
    <t>1725 Fulton Ave</t>
  </si>
  <si>
    <t>1975 Birchall Ave</t>
  </si>
  <si>
    <t>2000 Valentine Ave</t>
  </si>
  <si>
    <t>2280 Loring Pl N</t>
  </si>
  <si>
    <t>3248 Olinville Ave</t>
  </si>
  <si>
    <t>2440 Bronx Park E</t>
  </si>
  <si>
    <t>725 Southern Blvd</t>
  </si>
  <si>
    <t>3640 Bronx Blvd</t>
  </si>
  <si>
    <t>735 E 182nd St</t>
  </si>
  <si>
    <t>2245 Barker Ave</t>
  </si>
  <si>
    <t>2060 Grand Concourse</t>
  </si>
  <si>
    <t>2170 Ryer Ave</t>
  </si>
  <si>
    <t>3131 Grand Concourse</t>
  </si>
  <si>
    <t>265 E 176th St</t>
  </si>
  <si>
    <t>2140 Cruger Ave</t>
  </si>
  <si>
    <t>2122 Starling Ave</t>
  </si>
  <si>
    <t>768 Van Nest Ave</t>
  </si>
  <si>
    <t>3114 Villa Ave</t>
  </si>
  <si>
    <t>2117 Clinton Ave</t>
  </si>
  <si>
    <t>690 Allerton Ave</t>
  </si>
  <si>
    <t>1469 Fulton Ave</t>
  </si>
  <si>
    <t>230 Echo Pl</t>
  </si>
  <si>
    <t>1908 Belmont Ave</t>
  </si>
  <si>
    <t>2395 Grand Ave</t>
  </si>
  <si>
    <t>85 Strong St</t>
  </si>
  <si>
    <t>2406 University Ave</t>
  </si>
  <si>
    <t>2111 Lafontaine Ave</t>
  </si>
  <si>
    <t>414 E 204th St</t>
  </si>
  <si>
    <t>217 E 176th St</t>
  </si>
  <si>
    <t>789 Astor Ave</t>
  </si>
  <si>
    <t>2281 University Ave</t>
  </si>
  <si>
    <t>2817 Barker Ave</t>
  </si>
  <si>
    <t>746 E 182nd St</t>
  </si>
  <si>
    <t>1K</t>
  </si>
  <si>
    <t>4K</t>
  </si>
  <si>
    <t>6C</t>
  </si>
  <si>
    <t>2c</t>
  </si>
  <si>
    <t>3M</t>
  </si>
  <si>
    <t>2H</t>
  </si>
  <si>
    <t>Apt 9G</t>
  </si>
  <si>
    <t>c8</t>
  </si>
  <si>
    <t>2nd Floor</t>
  </si>
  <si>
    <t>19E</t>
  </si>
  <si>
    <t>2M</t>
  </si>
  <si>
    <t>1st Fl.</t>
  </si>
  <si>
    <t>5N</t>
  </si>
  <si>
    <t>2h</t>
  </si>
  <si>
    <t>G</t>
  </si>
  <si>
    <t>D9</t>
  </si>
  <si>
    <t>1W</t>
  </si>
  <si>
    <t>3G</t>
  </si>
  <si>
    <t>6J</t>
  </si>
  <si>
    <t>4DN</t>
  </si>
  <si>
    <t>5M</t>
  </si>
  <si>
    <t>A-A</t>
  </si>
  <si>
    <t>Basement</t>
  </si>
  <si>
    <t>7C</t>
  </si>
  <si>
    <t>2L</t>
  </si>
  <si>
    <t>32A</t>
  </si>
  <si>
    <t>6D</t>
  </si>
  <si>
    <t>8H</t>
  </si>
  <si>
    <t>6i</t>
  </si>
  <si>
    <t>AA</t>
  </si>
  <si>
    <t>16D</t>
  </si>
  <si>
    <t>3U</t>
  </si>
  <si>
    <t>D10</t>
  </si>
  <si>
    <t>6K</t>
  </si>
  <si>
    <t>6G</t>
  </si>
  <si>
    <t>3J</t>
  </si>
  <si>
    <t>29E</t>
  </si>
  <si>
    <t>F12</t>
  </si>
  <si>
    <t>5W</t>
  </si>
  <si>
    <t>17H</t>
  </si>
  <si>
    <t>4a</t>
  </si>
  <si>
    <t>8C (THIRD FLOOR)</t>
  </si>
  <si>
    <t>2R</t>
  </si>
  <si>
    <t>01K</t>
  </si>
  <si>
    <t>5L</t>
  </si>
  <si>
    <t>8A</t>
  </si>
  <si>
    <t>21W</t>
  </si>
  <si>
    <t>A1</t>
  </si>
  <si>
    <t>B1</t>
  </si>
  <si>
    <t>1T</t>
  </si>
  <si>
    <t>6H</t>
  </si>
  <si>
    <t>47A</t>
  </si>
  <si>
    <t>R2</t>
  </si>
  <si>
    <t>WI</t>
  </si>
  <si>
    <t>4G</t>
  </si>
  <si>
    <t>10G</t>
  </si>
  <si>
    <t>4 I</t>
  </si>
  <si>
    <t>6E</t>
  </si>
  <si>
    <t>F</t>
  </si>
  <si>
    <t>9L</t>
  </si>
  <si>
    <t>E6</t>
  </si>
  <si>
    <t>BB</t>
  </si>
  <si>
    <t>7L</t>
  </si>
  <si>
    <t>D7</t>
  </si>
  <si>
    <t>5DS</t>
  </si>
  <si>
    <t>15L</t>
  </si>
  <si>
    <t>5d</t>
  </si>
  <si>
    <t>5K</t>
  </si>
  <si>
    <t>2nd floor</t>
  </si>
  <si>
    <t>5O</t>
  </si>
  <si>
    <t>H</t>
  </si>
  <si>
    <t>13H</t>
  </si>
  <si>
    <t>F5</t>
  </si>
  <si>
    <t>C3</t>
  </si>
  <si>
    <t>D3</t>
  </si>
  <si>
    <t>4M</t>
  </si>
  <si>
    <t>C4</t>
  </si>
  <si>
    <t>BW</t>
  </si>
  <si>
    <t>A55</t>
  </si>
  <si>
    <t>3EW</t>
  </si>
  <si>
    <t>4N</t>
  </si>
  <si>
    <t>K51</t>
  </si>
  <si>
    <t>bronx</t>
  </si>
  <si>
    <t>LT-025908-19/BX</t>
  </si>
  <si>
    <t>LT-028108-19/BX</t>
  </si>
  <si>
    <t>LT-009769-19/BX</t>
  </si>
  <si>
    <t>LT-028107-19/BX</t>
  </si>
  <si>
    <t>LT-027891-19/BX</t>
  </si>
  <si>
    <t>LT-025905-19/BX</t>
  </si>
  <si>
    <t>LT-28220/19-BX</t>
  </si>
  <si>
    <t>LT-022734-19/BX</t>
  </si>
  <si>
    <t>LT-803587-19/BX</t>
  </si>
  <si>
    <t>LT-018667-19/BX</t>
  </si>
  <si>
    <t>LT-13619-19/BX</t>
  </si>
  <si>
    <t>LT-022101-19/BX</t>
  </si>
  <si>
    <t>LT-017825-19/BX</t>
  </si>
  <si>
    <t>LT-30279-19/BX</t>
  </si>
  <si>
    <t>LT-029544-19/BX</t>
  </si>
  <si>
    <t>LT-021609-19/BX</t>
  </si>
  <si>
    <t>LT-813546-18/BX</t>
  </si>
  <si>
    <t>LT-011201-19/BX</t>
  </si>
  <si>
    <t>LT-027698-19/BX</t>
  </si>
  <si>
    <t>LT-023131-19/BX</t>
  </si>
  <si>
    <t>LT-058256-18/BX</t>
  </si>
  <si>
    <t>LT-009316-18/BX</t>
  </si>
  <si>
    <t>LT-021613-13/BX</t>
  </si>
  <si>
    <t>LT-28032-19/BX</t>
  </si>
  <si>
    <t>LT-008185-19/BX</t>
  </si>
  <si>
    <t>LT-029999-19/BX</t>
  </si>
  <si>
    <t>LT-068302-18/BX</t>
  </si>
  <si>
    <t>LT-017392-18/BX</t>
  </si>
  <si>
    <t>LT-035793-18/BX</t>
  </si>
  <si>
    <t>LT-021409-19/BX</t>
  </si>
  <si>
    <t>LT-018640-19/BX</t>
  </si>
  <si>
    <t>LT-022736-19/BX</t>
  </si>
  <si>
    <t>LT-026148-19/BX</t>
  </si>
  <si>
    <t>LT-28391-19/BX</t>
  </si>
  <si>
    <t>LT-010851-19/BX</t>
  </si>
  <si>
    <t>LT-001094-19/BX</t>
  </si>
  <si>
    <t>LT-022641-19/BX</t>
  </si>
  <si>
    <t>LT-029477-19/BX</t>
  </si>
  <si>
    <t>LT-017987-19/BX</t>
  </si>
  <si>
    <t>LT-030315-19/BX</t>
  </si>
  <si>
    <t>LT-028667-19/BX</t>
  </si>
  <si>
    <t>LT-810376-17/BX</t>
  </si>
  <si>
    <t>LT-031350-19/BX</t>
  </si>
  <si>
    <t>LT-017546-19/BX</t>
  </si>
  <si>
    <t>LT-068421-18/BX</t>
  </si>
  <si>
    <t>LT-021706-19/BX</t>
  </si>
  <si>
    <t>LT-31084/19-BX</t>
  </si>
  <si>
    <t>LT-022027-19/BX</t>
  </si>
  <si>
    <t>LT-021432-19/BX</t>
  </si>
  <si>
    <t>LT-007186-19/BX</t>
  </si>
  <si>
    <t>LT-029200-19/BX</t>
  </si>
  <si>
    <t>LT-068290-18/BX</t>
  </si>
  <si>
    <t>LT-037303-18/BX</t>
  </si>
  <si>
    <t>LT-001985-19/BX</t>
  </si>
  <si>
    <t>LT-026372-19/BX</t>
  </si>
  <si>
    <t>LT-030016-19/BX</t>
  </si>
  <si>
    <t>LT-30033/19-BX</t>
  </si>
  <si>
    <t>LT- 029290-19/BX</t>
  </si>
  <si>
    <t>LT-014870-19/BX</t>
  </si>
  <si>
    <t>LT-008337-19/BX</t>
  </si>
  <si>
    <t>LT-012147-19/BX</t>
  </si>
  <si>
    <t>LT-023424-19/BX</t>
  </si>
  <si>
    <t>LT-018425-19/BX</t>
  </si>
  <si>
    <t>LT-023130-19/BX</t>
  </si>
  <si>
    <t>LT-005853-19/BX</t>
  </si>
  <si>
    <t>LT-023018-19/BX</t>
  </si>
  <si>
    <t>LT-021664-19/BX</t>
  </si>
  <si>
    <t>LT-031322-19/BX</t>
  </si>
  <si>
    <t>LT-025971-19/BX</t>
  </si>
  <si>
    <t>LT-026818-19/BX</t>
  </si>
  <si>
    <t>LT-30866/19-BX</t>
  </si>
  <si>
    <t>LT-026178-19/BX</t>
  </si>
  <si>
    <t>LT-047350-18/BX</t>
  </si>
  <si>
    <t>LT-54650-18/BX</t>
  </si>
  <si>
    <t>LT-020781-19/BX</t>
  </si>
  <si>
    <t>LT-020421-19/BX</t>
  </si>
  <si>
    <t>LT-685987/18-BX</t>
  </si>
  <si>
    <t>LT-804758-18/BX</t>
  </si>
  <si>
    <t>LT-29358-19/BX</t>
  </si>
  <si>
    <t>LT-008473-19/BX</t>
  </si>
  <si>
    <t>LT-041058-16/BX</t>
  </si>
  <si>
    <t>LT-019848-19/BX</t>
  </si>
  <si>
    <t>LT-017044-19/BX</t>
  </si>
  <si>
    <t>LT-040640-18/BX</t>
  </si>
  <si>
    <t>LT-804621-19/BX</t>
  </si>
  <si>
    <t>LT-031489-19/BX</t>
  </si>
  <si>
    <t>LT-053237-19/BX</t>
  </si>
  <si>
    <t>LT-029014-19/BX</t>
  </si>
  <si>
    <t>903278-NB-2018</t>
  </si>
  <si>
    <t>LT-011010-19/BX</t>
  </si>
  <si>
    <t>LT-029472-19/BX</t>
  </si>
  <si>
    <t>LT-022693-19/BX</t>
  </si>
  <si>
    <t>LT-001173-19/BX</t>
  </si>
  <si>
    <t>LT-014455-19/BX</t>
  </si>
  <si>
    <t>LT-047481-18/BX</t>
  </si>
  <si>
    <t>LT-056954-18/BX</t>
  </si>
  <si>
    <t>LT-017744-19/BX</t>
  </si>
  <si>
    <t>LT-017430-19/BX</t>
  </si>
  <si>
    <t>LT-028033-19/BX</t>
  </si>
  <si>
    <t>LT-008522-19/BX</t>
  </si>
  <si>
    <t>LT-025515-19/BX</t>
  </si>
  <si>
    <t>LT-014279-19/BX</t>
  </si>
  <si>
    <t>LT-021736-19/BX</t>
  </si>
  <si>
    <t>LT-019177-19/BX</t>
  </si>
  <si>
    <t>LT-025032-19/BX</t>
  </si>
  <si>
    <t>LT-059773-11/bx</t>
  </si>
  <si>
    <t>LT-018743-19/BX</t>
  </si>
  <si>
    <t>LT-018087-19/BX</t>
  </si>
  <si>
    <t>LT-020949-19/BX</t>
  </si>
  <si>
    <t>LT-809598-17/BX</t>
  </si>
  <si>
    <t>LT-008693-19/BX</t>
  </si>
  <si>
    <t>LT-006522-19/BX</t>
  </si>
  <si>
    <t>LT-024618-19/BX</t>
  </si>
  <si>
    <t>LT-023615-19/BX</t>
  </si>
  <si>
    <t>LT-006078-19/BX</t>
  </si>
  <si>
    <t>LT-062700-18/BX</t>
  </si>
  <si>
    <t>LT-016738-19/BX</t>
  </si>
  <si>
    <t>LT-021554-19/BX</t>
  </si>
  <si>
    <t>LT-28484-19/BX</t>
  </si>
  <si>
    <t>LT-26497-19/BX</t>
  </si>
  <si>
    <t>LT-031204-19/BX</t>
  </si>
  <si>
    <t>LT-018136-19/BX</t>
  </si>
  <si>
    <t>LT-058934-18/BX</t>
  </si>
  <si>
    <t>LT-052689-18/BX</t>
  </si>
  <si>
    <t>LT-019616-19/BX</t>
  </si>
  <si>
    <t>LT-029021-19/BX</t>
  </si>
  <si>
    <t>LT-031480-19/BX</t>
  </si>
  <si>
    <t>LT-010998-19/BX</t>
  </si>
  <si>
    <t>LT-003838-18/BX</t>
  </si>
  <si>
    <t>LT-066033-19/BX</t>
  </si>
  <si>
    <t>LT-6407-19/BX</t>
  </si>
  <si>
    <t>LT-021007-19/BX</t>
  </si>
  <si>
    <t>LT-014462-19/BX</t>
  </si>
  <si>
    <t>073121-19/BX</t>
  </si>
  <si>
    <t>LT-013499-18/BX</t>
  </si>
  <si>
    <t>LT-015184-19/BX</t>
  </si>
  <si>
    <t>CV-300197-18/BX</t>
  </si>
  <si>
    <t>LT-013325-19/BX</t>
  </si>
  <si>
    <t>LT-013273-19/BX</t>
  </si>
  <si>
    <t>LT-006229-19/BX</t>
  </si>
  <si>
    <t>LT-028765-19/BX</t>
  </si>
  <si>
    <t>LT-029771-19/BX</t>
  </si>
  <si>
    <t>LT-813127-18/BX</t>
  </si>
  <si>
    <t>LT-030907-19/BX</t>
  </si>
  <si>
    <t>LT-022315-19/BX</t>
  </si>
  <si>
    <t>LT-012169-19/BX</t>
  </si>
  <si>
    <t>LT-020059-19/BX</t>
  </si>
  <si>
    <t>LT-031949-19/BX</t>
  </si>
  <si>
    <t>LT-031337-19/BX</t>
  </si>
  <si>
    <t>LT-025970-19/BX</t>
  </si>
  <si>
    <t>LT-036390-18/BX</t>
  </si>
  <si>
    <t>LT-030529-19/BX</t>
  </si>
  <si>
    <t>LT-029990-19/BX</t>
  </si>
  <si>
    <t>LT-027727-19/BX</t>
  </si>
  <si>
    <t>LT-027892-19/BX</t>
  </si>
  <si>
    <t>LT-020258-19/BX</t>
  </si>
  <si>
    <t>21798-19</t>
  </si>
  <si>
    <t>LT-067070-18/BX</t>
  </si>
  <si>
    <t>LT-027490-19/BX</t>
  </si>
  <si>
    <t>LT-063503-18/BX</t>
  </si>
  <si>
    <t>LT-025450-19/BX</t>
  </si>
  <si>
    <t>LT-803487-19/BX</t>
  </si>
  <si>
    <t>LT-027492-19/BX</t>
  </si>
  <si>
    <t>LT-029604-19/BX</t>
  </si>
  <si>
    <t>LT-027113-19/BX</t>
  </si>
  <si>
    <t>LT-028441-19/BX</t>
  </si>
  <si>
    <t>LT-005574-19/BX</t>
  </si>
  <si>
    <t>LT-024503-19/BX</t>
  </si>
  <si>
    <t>LT-022445-19/BX</t>
  </si>
  <si>
    <t>LT-27400-19/BX</t>
  </si>
  <si>
    <t>LT-031261-19/BX</t>
  </si>
  <si>
    <t>LT-804388-19/BX</t>
  </si>
  <si>
    <t>LT-014787-19/BX</t>
  </si>
  <si>
    <t>LT-027986-19/BX</t>
  </si>
  <si>
    <t>LT-023787-19/BX</t>
  </si>
  <si>
    <t>LT-015660-19/BX</t>
  </si>
  <si>
    <t>LT-030488-19/BX</t>
  </si>
  <si>
    <t>LT-029011-19/BX</t>
  </si>
  <si>
    <t>Lt-021899-19/BX</t>
  </si>
  <si>
    <t>LT-005510-19/BX</t>
  </si>
  <si>
    <t>LT-026365-19/BX</t>
  </si>
  <si>
    <t>LT-030456-19/BX</t>
  </si>
  <si>
    <t>LT-008277-18/BX</t>
  </si>
  <si>
    <t>LT-0018316-19/BX</t>
  </si>
  <si>
    <t>LT-026816-19/BX</t>
  </si>
  <si>
    <t>LT-028120-19/BX</t>
  </si>
  <si>
    <t>LT-029859-19/BX</t>
  </si>
  <si>
    <t>LT-029474-19/BX</t>
  </si>
  <si>
    <t>LT-031036-19/BX</t>
  </si>
  <si>
    <t>LT-028284-19/BX</t>
  </si>
  <si>
    <t>LT-028022-19/BX</t>
  </si>
  <si>
    <t>LT-028426-19/BX</t>
  </si>
  <si>
    <t>LT-028084-19/BX</t>
  </si>
  <si>
    <t>LT-026489-19/BX</t>
  </si>
  <si>
    <t>LT-004707-19/BX</t>
  </si>
  <si>
    <t>LT-030292-19/BX</t>
  </si>
  <si>
    <t>LT-023325-19/BX</t>
  </si>
  <si>
    <t>LT-029610-19/BX</t>
  </si>
  <si>
    <t>LT-058075-18/BX</t>
  </si>
  <si>
    <t>LT-028734-19/BX</t>
  </si>
  <si>
    <t>LT-030060-19/BX</t>
  </si>
  <si>
    <t>LT-029010-19/BX</t>
  </si>
  <si>
    <t>LT-002252-19/BX</t>
  </si>
  <si>
    <t>LT-029526-19/BX</t>
  </si>
  <si>
    <t>LT-024822-19/BX</t>
  </si>
  <si>
    <t>LT-024804-19/BX</t>
  </si>
  <si>
    <t>LT-036746-18/BX</t>
  </si>
  <si>
    <t>LT-024141-19/BX</t>
  </si>
  <si>
    <t>LT-024152-19/BX</t>
  </si>
  <si>
    <t>LT-026735-19/BX</t>
  </si>
  <si>
    <t>LT-029207-19/BX</t>
  </si>
  <si>
    <t>LT-027712-19/BX</t>
  </si>
  <si>
    <t>LT-001473-19/BX</t>
  </si>
  <si>
    <t>LT-029025-19/BX</t>
  </si>
  <si>
    <t>LT-029022-19/BX</t>
  </si>
  <si>
    <t>LT-001744-19/BX</t>
  </si>
  <si>
    <t>LT-017727-19/BX</t>
  </si>
  <si>
    <t>LT-026854-19/BX</t>
  </si>
  <si>
    <t>LT-028521-19/BX</t>
  </si>
  <si>
    <t>LT-031037-19/BX</t>
  </si>
  <si>
    <t>LT-028581-19/BX</t>
  </si>
  <si>
    <t>LT-029224-19/BX</t>
  </si>
  <si>
    <t>LT-017798-19/BX</t>
  </si>
  <si>
    <t>LT-029508-19/BX</t>
  </si>
  <si>
    <t>LT-803684-19/BX</t>
  </si>
  <si>
    <t>LT-028131-19/BX</t>
  </si>
  <si>
    <t>LT-018702-19/BX</t>
  </si>
  <si>
    <t>LT-027825-19/BX</t>
  </si>
  <si>
    <t>LT-041406-17/BX</t>
  </si>
  <si>
    <t>LT-015463-19/BX</t>
  </si>
  <si>
    <t>LT-031295-19/BX</t>
  </si>
  <si>
    <t>LT-029546-19/BX</t>
  </si>
  <si>
    <t>LT-031335-19/BX</t>
  </si>
  <si>
    <t>LT-31387-19/BX</t>
  </si>
  <si>
    <t>LT-026145-19/BX</t>
  </si>
  <si>
    <t>LT-023483-19/BX</t>
  </si>
  <si>
    <t>LT-024396-19/BX</t>
  </si>
  <si>
    <t>LT-024280-19/BX</t>
  </si>
  <si>
    <t>LT-030297-19/BX</t>
  </si>
  <si>
    <t>LT-018158-19/BX</t>
  </si>
  <si>
    <t>LT-031160-19/BX</t>
  </si>
  <si>
    <t>LT-028295-19/BX</t>
  </si>
  <si>
    <t>LT-030832-19/BX</t>
  </si>
  <si>
    <t>LT-029933-19/BX</t>
  </si>
  <si>
    <t>LT-027462-19/BX</t>
  </si>
  <si>
    <t>LT-028790-19/BX</t>
  </si>
  <si>
    <t>LT-021961-19/BX</t>
  </si>
  <si>
    <t>LT-022502-19/BX</t>
  </si>
  <si>
    <t>LT-026431-19/BX</t>
  </si>
  <si>
    <t>LT-021614-19/BX</t>
  </si>
  <si>
    <t>LT-026967-19/BX</t>
  </si>
  <si>
    <t>LT-805823-19/BX</t>
  </si>
  <si>
    <t>LT-22616-19/BX</t>
  </si>
  <si>
    <t>LT-028652-19/BX</t>
  </si>
  <si>
    <t>LT-031017-19/BX</t>
  </si>
  <si>
    <t>LT-019073-19/BX</t>
  </si>
  <si>
    <t>LT-026354-19/BX</t>
  </si>
  <si>
    <t>LT-030119-19/BX</t>
  </si>
  <si>
    <t>LT-029220-19/BX</t>
  </si>
  <si>
    <t>LT-027996-19/BX</t>
  </si>
  <si>
    <t>LT-028420-19/BX</t>
  </si>
  <si>
    <t>LT-010673-19/BX</t>
  </si>
  <si>
    <t>LT-031577-19/BX</t>
  </si>
  <si>
    <t>LT-027080-19/BX</t>
  </si>
  <si>
    <t>LT-031171-19/BX</t>
  </si>
  <si>
    <t>LT-031033-19/BX</t>
  </si>
  <si>
    <t>LT-026248-19/BX</t>
  </si>
  <si>
    <t>LT-028446-19/BX</t>
  </si>
  <si>
    <t>LT-027755-19/BX</t>
  </si>
  <si>
    <t>LT-028026-19/BX</t>
  </si>
  <si>
    <t>LT-030469-19/BX</t>
  </si>
  <si>
    <t>LT-031894-19/BX</t>
  </si>
  <si>
    <t>LT-023949-19/BX</t>
  </si>
  <si>
    <t>LT-026250-19/BX</t>
  </si>
  <si>
    <t>LT-803018-19/BX</t>
  </si>
  <si>
    <t>LT-024939-19/BX</t>
  </si>
  <si>
    <t>LT-026976-19/BX</t>
  </si>
  <si>
    <t>LT-020245-19/BX</t>
  </si>
  <si>
    <t>30407-19/BX</t>
  </si>
  <si>
    <t>LT-021330-19/BX</t>
  </si>
  <si>
    <t>LT-064844-18/BX</t>
  </si>
  <si>
    <t>NYCHA Housing Termination</t>
  </si>
  <si>
    <t>Article 78</t>
  </si>
  <si>
    <t>Ejectment Action</t>
  </si>
  <si>
    <t>On for Trial</t>
  </si>
  <si>
    <t>Elected Official</t>
  </si>
  <si>
    <t>Home base</t>
  </si>
  <si>
    <t>HRA ELS Part F Brooklyn</t>
  </si>
  <si>
    <t>04/21/1977</t>
  </si>
  <si>
    <t>11/30/1982</t>
  </si>
  <si>
    <t>02/19/1983</t>
  </si>
  <si>
    <t>10/03/1962</t>
  </si>
  <si>
    <t>05/06/1959</t>
  </si>
  <si>
    <t>05/04/1999</t>
  </si>
  <si>
    <t>09/04/1967</t>
  </si>
  <si>
    <t>06/27/1953</t>
  </si>
  <si>
    <t>01/12/1983</t>
  </si>
  <si>
    <t>01/14/1959</t>
  </si>
  <si>
    <t>12/18/1934</t>
  </si>
  <si>
    <t>09/24/1981</t>
  </si>
  <si>
    <t>01/09/1952</t>
  </si>
  <si>
    <t>04/16/1951</t>
  </si>
  <si>
    <t>01/26/1995</t>
  </si>
  <si>
    <t>12/31/1975</t>
  </si>
  <si>
    <t>04/29/1971</t>
  </si>
  <si>
    <t>05/10/1995</t>
  </si>
  <si>
    <t>04/21/1994</t>
  </si>
  <si>
    <t>11/22/1974</t>
  </si>
  <si>
    <t>12/29/1953</t>
  </si>
  <si>
    <t>10/23/1980</t>
  </si>
  <si>
    <t>12/17/1972</t>
  </si>
  <si>
    <t>12/18/1988</t>
  </si>
  <si>
    <t>08/27/1979</t>
  </si>
  <si>
    <t>05/12/1990</t>
  </si>
  <si>
    <t>12/06/1964</t>
  </si>
  <si>
    <t>05/05/1967</t>
  </si>
  <si>
    <t>06/04/1973</t>
  </si>
  <si>
    <t>02/19/1963</t>
  </si>
  <si>
    <t>09/01/1968</t>
  </si>
  <si>
    <t>03/15/1964</t>
  </si>
  <si>
    <t>09/21/1959</t>
  </si>
  <si>
    <t>01/08/1982</t>
  </si>
  <si>
    <t>08/16/1979</t>
  </si>
  <si>
    <t>09/29/1993</t>
  </si>
  <si>
    <t>04/27/1987</t>
  </si>
  <si>
    <t>01/21/1944</t>
  </si>
  <si>
    <t>01/27/1951</t>
  </si>
  <si>
    <t>10/08/1983</t>
  </si>
  <si>
    <t>04/10/1963</t>
  </si>
  <si>
    <t>11/19/1966</t>
  </si>
  <si>
    <t>03/10/1979</t>
  </si>
  <si>
    <t>04/15/1942</t>
  </si>
  <si>
    <t>09/10/1987</t>
  </si>
  <si>
    <t>01/14/1985</t>
  </si>
  <si>
    <t>12/03/1966</t>
  </si>
  <si>
    <t>11/07/1989</t>
  </si>
  <si>
    <t>03/04/1971</t>
  </si>
  <si>
    <t>01/16/1992</t>
  </si>
  <si>
    <t>01/07/1970</t>
  </si>
  <si>
    <t>10/29/1970</t>
  </si>
  <si>
    <t>07/18/1989</t>
  </si>
  <si>
    <t>10/01/1976</t>
  </si>
  <si>
    <t>07/22/1990</t>
  </si>
  <si>
    <t>04/18/1962</t>
  </si>
  <si>
    <t>12/28/1959</t>
  </si>
  <si>
    <t>03/18/1989</t>
  </si>
  <si>
    <t>01/04/1988</t>
  </si>
  <si>
    <t>07/17/1969</t>
  </si>
  <si>
    <t>02/02/1981</t>
  </si>
  <si>
    <t>09/30/1964</t>
  </si>
  <si>
    <t>12/08/1963</t>
  </si>
  <si>
    <t>03/07/1991</t>
  </si>
  <si>
    <t>12/05/1971</t>
  </si>
  <si>
    <t>08/21/1959</t>
  </si>
  <si>
    <t>05/13/1950</t>
  </si>
  <si>
    <t>10/31/1979</t>
  </si>
  <si>
    <t>03/16/1969</t>
  </si>
  <si>
    <t>01/22/1965</t>
  </si>
  <si>
    <t>08/11/1979</t>
  </si>
  <si>
    <t>12/18/1968</t>
  </si>
  <si>
    <t>12/27/1971</t>
  </si>
  <si>
    <t>05/22/1985</t>
  </si>
  <si>
    <t>01/01/1989</t>
  </si>
  <si>
    <t>10/15/1971</t>
  </si>
  <si>
    <t>04/26/1981</t>
  </si>
  <si>
    <t>02/10/1978</t>
  </si>
  <si>
    <t>11/13/1955</t>
  </si>
  <si>
    <t>01/15/1950</t>
  </si>
  <si>
    <t>01/10/1987</t>
  </si>
  <si>
    <t>06/19/1951</t>
  </si>
  <si>
    <t>09/18/1962</t>
  </si>
  <si>
    <t>02/23/1967</t>
  </si>
  <si>
    <t>10/31/1946</t>
  </si>
  <si>
    <t>10/14/1982</t>
  </si>
  <si>
    <t>07/05/1981</t>
  </si>
  <si>
    <t>06/07/1993</t>
  </si>
  <si>
    <t>08/05/1991</t>
  </si>
  <si>
    <t>04/30/1965</t>
  </si>
  <si>
    <t>10/08/1940</t>
  </si>
  <si>
    <t>03/31/1971</t>
  </si>
  <si>
    <t>07/24/1963</t>
  </si>
  <si>
    <t>05/17/1993</t>
  </si>
  <si>
    <t>11/04/1968</t>
  </si>
  <si>
    <t>02/17/1953</t>
  </si>
  <si>
    <t>07/23/1982</t>
  </si>
  <si>
    <t>10/19/1958</t>
  </si>
  <si>
    <t>11/04/1954</t>
  </si>
  <si>
    <t>05/13/1970</t>
  </si>
  <si>
    <t>10/21/1973</t>
  </si>
  <si>
    <t>11/03/1968</t>
  </si>
  <si>
    <t>01/27/1954</t>
  </si>
  <si>
    <t>10/03/1990</t>
  </si>
  <si>
    <t>03/08/1971</t>
  </si>
  <si>
    <t>06/30/1960</t>
  </si>
  <si>
    <t>01/29/1963</t>
  </si>
  <si>
    <t>03/14/1996</t>
  </si>
  <si>
    <t>02/13/1976</t>
  </si>
  <si>
    <t>11/21/1954</t>
  </si>
  <si>
    <t>11/20/1990</t>
  </si>
  <si>
    <t>09/23/1949</t>
  </si>
  <si>
    <t>07/01/1979</t>
  </si>
  <si>
    <t>11/11/1991</t>
  </si>
  <si>
    <t>12/14/1976</t>
  </si>
  <si>
    <t>06/20/1983</t>
  </si>
  <si>
    <t>07/09/1953</t>
  </si>
  <si>
    <t>01/22/1960</t>
  </si>
  <si>
    <t>11/20/1957</t>
  </si>
  <si>
    <t>10/20/1975</t>
  </si>
  <si>
    <t>01/19/1979</t>
  </si>
  <si>
    <t>06/23/1980</t>
  </si>
  <si>
    <t>08/25/1988</t>
  </si>
  <si>
    <t>04/15/1980</t>
  </si>
  <si>
    <t>08/14/1975</t>
  </si>
  <si>
    <t>04/08/1940</t>
  </si>
  <si>
    <t>06/11/1972</t>
  </si>
  <si>
    <t>08/28/1982</t>
  </si>
  <si>
    <t>02/01/1985</t>
  </si>
  <si>
    <t>08/27/1943</t>
  </si>
  <si>
    <t>04/01/1998</t>
  </si>
  <si>
    <t>12/29/1963</t>
  </si>
  <si>
    <t>06/09/1951</t>
  </si>
  <si>
    <t>02/27/1984</t>
  </si>
  <si>
    <t>11/29/1980</t>
  </si>
  <si>
    <t>05/23/1944</t>
  </si>
  <si>
    <t>02/20/1967</t>
  </si>
  <si>
    <t>12/04/1957</t>
  </si>
  <si>
    <t>02/21/1980</t>
  </si>
  <si>
    <t>12/09/1986</t>
  </si>
  <si>
    <t>07/23/1954</t>
  </si>
  <si>
    <t>12/01/1963</t>
  </si>
  <si>
    <t>04/27/1980</t>
  </si>
  <si>
    <t>05/07/1974</t>
  </si>
  <si>
    <t>12/25/1958</t>
  </si>
  <si>
    <t>07/10/1971</t>
  </si>
  <si>
    <t>10/18/1987</t>
  </si>
  <si>
    <t>04/11/1991</t>
  </si>
  <si>
    <t>01/12/1941</t>
  </si>
  <si>
    <t>07/24/1981</t>
  </si>
  <si>
    <t>01/10/1961</t>
  </si>
  <si>
    <t>03/28/1985</t>
  </si>
  <si>
    <t>07/08/1983</t>
  </si>
  <si>
    <t>09/20/1942</t>
  </si>
  <si>
    <t>01/22/1970</t>
  </si>
  <si>
    <t>10/26/1984</t>
  </si>
  <si>
    <t>10/01/1971</t>
  </si>
  <si>
    <t>07/15/1957</t>
  </si>
  <si>
    <t>05/14/1955</t>
  </si>
  <si>
    <t>11/08/1947</t>
  </si>
  <si>
    <t>01/21/1988</t>
  </si>
  <si>
    <t>06/28/1961</t>
  </si>
  <si>
    <t>07/30/1968</t>
  </si>
  <si>
    <t>05/16/1972</t>
  </si>
  <si>
    <t>05/23/1968</t>
  </si>
  <si>
    <t>10/02/1979</t>
  </si>
  <si>
    <t>06/21/1930</t>
  </si>
  <si>
    <t>05/25/1987</t>
  </si>
  <si>
    <t>11/14/1946</t>
  </si>
  <si>
    <t>10/03/1963</t>
  </si>
  <si>
    <t>06/09/1976</t>
  </si>
  <si>
    <t>08/17/1979</t>
  </si>
  <si>
    <t>09/26/1962</t>
  </si>
  <si>
    <t>09/19/1961</t>
  </si>
  <si>
    <t>04/12/1969</t>
  </si>
  <si>
    <t>11/20/1983</t>
  </si>
  <si>
    <t>09/10/1965</t>
  </si>
  <si>
    <t>01/03/1959</t>
  </si>
  <si>
    <t>12/25/1986</t>
  </si>
  <si>
    <t>10/01/1990</t>
  </si>
  <si>
    <t>06/30/1986</t>
  </si>
  <si>
    <t>03/29/1954</t>
  </si>
  <si>
    <t>06/06/1995</t>
  </si>
  <si>
    <t>02/08/1984</t>
  </si>
  <si>
    <t>09/06/1954</t>
  </si>
  <si>
    <t>09/22/1975</t>
  </si>
  <si>
    <t>09/15/1991</t>
  </si>
  <si>
    <t>06/22/1973</t>
  </si>
  <si>
    <t>10/27/1991</t>
  </si>
  <si>
    <t>04/05/1985</t>
  </si>
  <si>
    <t>04/22/1956</t>
  </si>
  <si>
    <t>05/30/1976</t>
  </si>
  <si>
    <t>02/15/1988</t>
  </si>
  <si>
    <t>04/24/1964</t>
  </si>
  <si>
    <t>03/10/1987</t>
  </si>
  <si>
    <t>04/27/1940</t>
  </si>
  <si>
    <t>01/28/1971</t>
  </si>
  <si>
    <t>12/30/1956</t>
  </si>
  <si>
    <t>02/25/1966</t>
  </si>
  <si>
    <t>08/27/1982</t>
  </si>
  <si>
    <t>10/13/1980</t>
  </si>
  <si>
    <t>02/26/1984</t>
  </si>
  <si>
    <t>03/14/1960</t>
  </si>
  <si>
    <t>11/29/1979</t>
  </si>
  <si>
    <t>07/22/1950</t>
  </si>
  <si>
    <t>06/16/1980</t>
  </si>
  <si>
    <t>12/19/1980</t>
  </si>
  <si>
    <t>06/04/1991</t>
  </si>
  <si>
    <t>11/13/1979</t>
  </si>
  <si>
    <t>09/27/1982</t>
  </si>
  <si>
    <t>02/15/1966</t>
  </si>
  <si>
    <t>01/25/1963</t>
  </si>
  <si>
    <t>01/31/1983</t>
  </si>
  <si>
    <t>10/24/1948</t>
  </si>
  <si>
    <t>05/17/1952</t>
  </si>
  <si>
    <t>08/09/1991</t>
  </si>
  <si>
    <t>02/28/1955</t>
  </si>
  <si>
    <t>11/24/1984</t>
  </si>
  <si>
    <t>11/26/1959</t>
  </si>
  <si>
    <t>06/22/1974</t>
  </si>
  <si>
    <t>07/18/1987</t>
  </si>
  <si>
    <t>10/08/1970</t>
  </si>
  <si>
    <t>09/15/1960</t>
  </si>
  <si>
    <t>04/23/1983</t>
  </si>
  <si>
    <t>03/19/1958</t>
  </si>
  <si>
    <t>11/06/1961</t>
  </si>
  <si>
    <t>12/27/1968</t>
  </si>
  <si>
    <t>12/26/1953</t>
  </si>
  <si>
    <t>01/14/1974</t>
  </si>
  <si>
    <t>05/20/1974</t>
  </si>
  <si>
    <t>09/13/1954</t>
  </si>
  <si>
    <t>10/20/1961</t>
  </si>
  <si>
    <t>06/11/1988</t>
  </si>
  <si>
    <t>08/10/1959</t>
  </si>
  <si>
    <t>05/27/1995</t>
  </si>
  <si>
    <t>04/30/1989</t>
  </si>
  <si>
    <t>12/17/1979</t>
  </si>
  <si>
    <t>05/13/1992</t>
  </si>
  <si>
    <t>11/08/1995</t>
  </si>
  <si>
    <t>04/06/1986</t>
  </si>
  <si>
    <t>10/03/1960</t>
  </si>
  <si>
    <t>04/02/1986</t>
  </si>
  <si>
    <t>06/04/1985</t>
  </si>
  <si>
    <t>08/10/1988</t>
  </si>
  <si>
    <t>05/17/1977</t>
  </si>
  <si>
    <t>04/04/1990</t>
  </si>
  <si>
    <t>02/18/1960</t>
  </si>
  <si>
    <t>05/31/1976</t>
  </si>
  <si>
    <t>12/16/1973</t>
  </si>
  <si>
    <t>12/12/1960</t>
  </si>
  <si>
    <t>09/06/1977</t>
  </si>
  <si>
    <t>05/18/1988</t>
  </si>
  <si>
    <t>01/02/1979</t>
  </si>
  <si>
    <t>09/06/1960</t>
  </si>
  <si>
    <t>03/26/2019</t>
  </si>
  <si>
    <t>03/13/1950</t>
  </si>
  <si>
    <t>06/09/1961</t>
  </si>
  <si>
    <t>10/06/1948</t>
  </si>
  <si>
    <t>03/15/1983</t>
  </si>
  <si>
    <t>07/30/1971</t>
  </si>
  <si>
    <t>05/05/1996</t>
  </si>
  <si>
    <t>06/03/1971</t>
  </si>
  <si>
    <t>09/13/1983</t>
  </si>
  <si>
    <t>09/14/1962</t>
  </si>
  <si>
    <t>04/03/1994</t>
  </si>
  <si>
    <t>10/20/1981</t>
  </si>
  <si>
    <t>08/01/1975</t>
  </si>
  <si>
    <t>07/18/1981</t>
  </si>
  <si>
    <t>02/09/1954</t>
  </si>
  <si>
    <t>05/07/1988</t>
  </si>
  <si>
    <t>06/25/1956</t>
  </si>
  <si>
    <t>03/24/1956</t>
  </si>
  <si>
    <t>07/02/1981</t>
  </si>
  <si>
    <t>12/08/1975</t>
  </si>
  <si>
    <t>11/20/1993</t>
  </si>
  <si>
    <t>07/03/1970</t>
  </si>
  <si>
    <t>06/18/1992</t>
  </si>
  <si>
    <t>11/18/1975</t>
  </si>
  <si>
    <t>03/22/1984</t>
  </si>
  <si>
    <t>01/12/1979</t>
  </si>
  <si>
    <t>02/18/1942</t>
  </si>
  <si>
    <t>11/26/1964</t>
  </si>
  <si>
    <t>03/23/1959</t>
  </si>
  <si>
    <t>08/02/1976</t>
  </si>
  <si>
    <t>09/23/1987</t>
  </si>
  <si>
    <t>03/07/1962</t>
  </si>
  <si>
    <t>11/21/1985</t>
  </si>
  <si>
    <t>07/03/1964</t>
  </si>
  <si>
    <t>08/21/1991</t>
  </si>
  <si>
    <t>01/31/1984</t>
  </si>
  <si>
    <t>06/16/1955</t>
  </si>
  <si>
    <t>06/17/1965</t>
  </si>
  <si>
    <t>05/12/1988</t>
  </si>
  <si>
    <t>09/21/1981</t>
  </si>
  <si>
    <t>10/18/1993</t>
  </si>
  <si>
    <t>09/14/1958</t>
  </si>
  <si>
    <t>05/11/1991</t>
  </si>
  <si>
    <t>01/15/1963</t>
  </si>
  <si>
    <t>01/24/1969</t>
  </si>
  <si>
    <t>03/01/1982</t>
  </si>
  <si>
    <t>07/14/1981</t>
  </si>
  <si>
    <t>05/08/1979</t>
  </si>
  <si>
    <t>01/30/1986</t>
  </si>
  <si>
    <t>08/14/2000</t>
  </si>
  <si>
    <t>005506277C</t>
  </si>
  <si>
    <t>00037676536I</t>
  </si>
  <si>
    <t>007277807J</t>
  </si>
  <si>
    <t>4394307-1</t>
  </si>
  <si>
    <t>00298543A</t>
  </si>
  <si>
    <t>01862562E</t>
  </si>
  <si>
    <t>033616576G</t>
  </si>
  <si>
    <t>00003560981H</t>
  </si>
  <si>
    <t>8371332B</t>
  </si>
  <si>
    <t>016237119J</t>
  </si>
  <si>
    <t>037545882F</t>
  </si>
  <si>
    <t>007814302B</t>
  </si>
  <si>
    <t>035334200J</t>
  </si>
  <si>
    <t>013632455F</t>
  </si>
  <si>
    <t>006652190H</t>
  </si>
  <si>
    <t>018380468B</t>
  </si>
  <si>
    <t>00037375805B</t>
  </si>
  <si>
    <t>00037678647B</t>
  </si>
  <si>
    <t>011943221J</t>
  </si>
  <si>
    <t>037406577J</t>
  </si>
  <si>
    <t>016026457I</t>
  </si>
  <si>
    <t>030063256J</t>
  </si>
  <si>
    <t>003040946A</t>
  </si>
  <si>
    <t>unknown</t>
  </si>
  <si>
    <t>037553977C</t>
  </si>
  <si>
    <t>00037032380A</t>
  </si>
  <si>
    <t>37389573J</t>
  </si>
  <si>
    <t>018809496F</t>
  </si>
  <si>
    <t>009634504G</t>
  </si>
  <si>
    <t>006563880B</t>
  </si>
  <si>
    <t>036787492C</t>
  </si>
  <si>
    <t>36737827A</t>
  </si>
  <si>
    <t>008432996A</t>
  </si>
  <si>
    <t>005767929C</t>
  </si>
  <si>
    <t>036768450D</t>
  </si>
  <si>
    <t>012432355B</t>
  </si>
  <si>
    <t>036496246E</t>
  </si>
  <si>
    <t>013477107A</t>
  </si>
  <si>
    <t>011203634I</t>
  </si>
  <si>
    <t>36389900G</t>
  </si>
  <si>
    <t>007953647A</t>
  </si>
  <si>
    <t>001909521F</t>
  </si>
  <si>
    <t>017730026G</t>
  </si>
  <si>
    <t>014361959B</t>
  </si>
  <si>
    <t>012395272D</t>
  </si>
  <si>
    <t>009476987E</t>
  </si>
  <si>
    <t>37439104D</t>
  </si>
  <si>
    <t>001955280B</t>
  </si>
  <si>
    <t>012479728D</t>
  </si>
  <si>
    <t>008560810H</t>
  </si>
  <si>
    <t>006538139E</t>
  </si>
  <si>
    <t>037556496A</t>
  </si>
  <si>
    <t>035155121D</t>
  </si>
  <si>
    <t>00037582869G</t>
  </si>
  <si>
    <t>005592861I</t>
  </si>
  <si>
    <t>012452283A</t>
  </si>
  <si>
    <t>00014570871F</t>
  </si>
  <si>
    <t>008288738B</t>
  </si>
  <si>
    <t>8922173037900</t>
  </si>
  <si>
    <t>123-50-3271</t>
  </si>
  <si>
    <t>000-00-3581</t>
  </si>
  <si>
    <t>000-00-6034</t>
  </si>
  <si>
    <t>000-00-6242</t>
  </si>
  <si>
    <t>080-54-5004</t>
  </si>
  <si>
    <t>094-52-5487</t>
  </si>
  <si>
    <t>099-88-6051</t>
  </si>
  <si>
    <t>122-86-6587</t>
  </si>
  <si>
    <t>125-44-6827</t>
  </si>
  <si>
    <t>127-66-4955</t>
  </si>
  <si>
    <t>581-15-4631</t>
  </si>
  <si>
    <t>051-94-0414</t>
  </si>
  <si>
    <t>074-58-4288</t>
  </si>
  <si>
    <t>097-56-8499</t>
  </si>
  <si>
    <t>097-84-4415</t>
  </si>
  <si>
    <t>109-82-8688</t>
  </si>
  <si>
    <t>120-74-2691</t>
  </si>
  <si>
    <t>567-85-2359</t>
  </si>
  <si>
    <t>580-21-5253</t>
  </si>
  <si>
    <t>584-92-3882</t>
  </si>
  <si>
    <t>505-99-3087</t>
  </si>
  <si>
    <t>000-00-9183</t>
  </si>
  <si>
    <t>093-62-2465</t>
  </si>
  <si>
    <t>000-00-2794</t>
  </si>
  <si>
    <t>051-76-5947</t>
  </si>
  <si>
    <t>064-70-0299</t>
  </si>
  <si>
    <t>066-64-1544</t>
  </si>
  <si>
    <t>075-82-2160</t>
  </si>
  <si>
    <t>083-72-8238</t>
  </si>
  <si>
    <t>086-84-1753</t>
  </si>
  <si>
    <t>087-44-5703</t>
  </si>
  <si>
    <t>095-70-8672</t>
  </si>
  <si>
    <t>098-58-4620</t>
  </si>
  <si>
    <t>107-76-4249</t>
  </si>
  <si>
    <t>125-96-7291</t>
  </si>
  <si>
    <t>126-76-4099</t>
  </si>
  <si>
    <t>128-72-3784</t>
  </si>
  <si>
    <t>130-68-2575</t>
  </si>
  <si>
    <t>582-85-6599</t>
  </si>
  <si>
    <t>769-12-3085</t>
  </si>
  <si>
    <t>055-82-2415</t>
  </si>
  <si>
    <t>000-00-2203</t>
  </si>
  <si>
    <t>051-60-6297</t>
  </si>
  <si>
    <t>058-78-1774</t>
  </si>
  <si>
    <t>073-62-7535</t>
  </si>
  <si>
    <t>085-50-3133</t>
  </si>
  <si>
    <t>086-76-2933</t>
  </si>
  <si>
    <t>088-74-8465</t>
  </si>
  <si>
    <t>100-64-8971</t>
  </si>
  <si>
    <t>106-90-6324</t>
  </si>
  <si>
    <t>111-64-7008</t>
  </si>
  <si>
    <t>118-90-9089</t>
  </si>
  <si>
    <t>134-76-5607</t>
  </si>
  <si>
    <t>170-65-5423</t>
  </si>
  <si>
    <t>562-71-5766</t>
  </si>
  <si>
    <t>582-13-7594</t>
  </si>
  <si>
    <t>584-26-5149</t>
  </si>
  <si>
    <t>584-85-7908</t>
  </si>
  <si>
    <t>592-03-6507</t>
  </si>
  <si>
    <t>598-18-4717</t>
  </si>
  <si>
    <t>000-00-0425</t>
  </si>
  <si>
    <t>000-00-1480</t>
  </si>
  <si>
    <t>000-00-4588</t>
  </si>
  <si>
    <t>000-00-8534</t>
  </si>
  <si>
    <t>066-68-3825</t>
  </si>
  <si>
    <t>071-50-3473</t>
  </si>
  <si>
    <t>078-86-9083</t>
  </si>
  <si>
    <t>087-54-5688</t>
  </si>
  <si>
    <t>093-72-6874</t>
  </si>
  <si>
    <t>094-42-6399</t>
  </si>
  <si>
    <t>096-56-7923</t>
  </si>
  <si>
    <t>096-58-1670</t>
  </si>
  <si>
    <t>132-68-3499</t>
  </si>
  <si>
    <t>145-74-6242</t>
  </si>
  <si>
    <t>581-31-8733</t>
  </si>
  <si>
    <t>051-32-3199</t>
  </si>
  <si>
    <t>119-56-0859</t>
  </si>
  <si>
    <t>071-50-3108</t>
  </si>
  <si>
    <t>063-82-7448</t>
  </si>
  <si>
    <t>089-58-8648</t>
  </si>
  <si>
    <t>117-72-2566</t>
  </si>
  <si>
    <t>181-72-5360</t>
  </si>
  <si>
    <t>194-17-9869</t>
  </si>
  <si>
    <t>584-46-9617</t>
  </si>
  <si>
    <t>077-58-9468</t>
  </si>
  <si>
    <t>029-78-5176</t>
  </si>
  <si>
    <t>075-46-6790</t>
  </si>
  <si>
    <t>102-48-6868</t>
  </si>
  <si>
    <t>083-54-2573</t>
  </si>
  <si>
    <t>071-58-4459</t>
  </si>
  <si>
    <t>000-00-2308</t>
  </si>
  <si>
    <t>014-55-9067</t>
  </si>
  <si>
    <t>039-38-5770</t>
  </si>
  <si>
    <t>071-78-2731</t>
  </si>
  <si>
    <t>073-42-1573</t>
  </si>
  <si>
    <t>073-64-0580</t>
  </si>
  <si>
    <t>075-80-2033</t>
  </si>
  <si>
    <t>080-60-2956</t>
  </si>
  <si>
    <t>090-88-2906</t>
  </si>
  <si>
    <t>094-44-4993</t>
  </si>
  <si>
    <t>100-58-2434</t>
  </si>
  <si>
    <t>101-54-0211</t>
  </si>
  <si>
    <t>110-60-9790</t>
  </si>
  <si>
    <t>120-62-3859</t>
  </si>
  <si>
    <t>121-74-6469</t>
  </si>
  <si>
    <t>121-80-2464</t>
  </si>
  <si>
    <t>127-86-7212</t>
  </si>
  <si>
    <t>135-17-7891</t>
  </si>
  <si>
    <t>230-48-1487</t>
  </si>
  <si>
    <t>584-81-2185</t>
  </si>
  <si>
    <t>595-18-2903</t>
  </si>
  <si>
    <t>052-88-6592</t>
  </si>
  <si>
    <t>063-70-2565</t>
  </si>
  <si>
    <t>079-66-0182</t>
  </si>
  <si>
    <t>083-84-6488</t>
  </si>
  <si>
    <t>220-19-2909</t>
  </si>
  <si>
    <t>078-36-1539</t>
  </si>
  <si>
    <t>102-80-1013</t>
  </si>
  <si>
    <t>105-50-1547</t>
  </si>
  <si>
    <t>110-64-5103</t>
  </si>
  <si>
    <t>000-00-3766</t>
  </si>
  <si>
    <t>057-56-1449</t>
  </si>
  <si>
    <t>083-64-7130</t>
  </si>
  <si>
    <t>096-68-1376</t>
  </si>
  <si>
    <t>105-50-3098</t>
  </si>
  <si>
    <t>112-86-9975</t>
  </si>
  <si>
    <t>129-72-2639</t>
  </si>
  <si>
    <t>134-16-5687</t>
  </si>
  <si>
    <t>219-51-3612</t>
  </si>
  <si>
    <t>582-68-5015</t>
  </si>
  <si>
    <t>582-83-5451</t>
  </si>
  <si>
    <t>930-72-6024</t>
  </si>
  <si>
    <t>068-70-6426</t>
  </si>
  <si>
    <t>089-68-1455</t>
  </si>
  <si>
    <t>118-58-0924</t>
  </si>
  <si>
    <t>581-76-9215</t>
  </si>
  <si>
    <t>064-78-2546</t>
  </si>
  <si>
    <t>085-64-7245</t>
  </si>
  <si>
    <t>103-41-3073</t>
  </si>
  <si>
    <t>582-05-4419</t>
  </si>
  <si>
    <t>110-92-8258</t>
  </si>
  <si>
    <t>213-29-2210</t>
  </si>
  <si>
    <t>055-62-6665</t>
  </si>
  <si>
    <t>111-86-9254</t>
  </si>
  <si>
    <t>180-35-6195</t>
  </si>
  <si>
    <t>581-48-1962</t>
  </si>
  <si>
    <t>112-72-4156</t>
  </si>
  <si>
    <t>000-00-1181</t>
  </si>
  <si>
    <t>055-82-5789</t>
  </si>
  <si>
    <t>065-62-0359</t>
  </si>
  <si>
    <t>070-64-0613</t>
  </si>
  <si>
    <t>080-60-0471</t>
  </si>
  <si>
    <t>093-60-9056</t>
  </si>
  <si>
    <t>095-02-7209</t>
  </si>
  <si>
    <t>109-82-9461</t>
  </si>
  <si>
    <t>113-54-4869</t>
  </si>
  <si>
    <t>115-54-5886</t>
  </si>
  <si>
    <t>312-96-1071</t>
  </si>
  <si>
    <t>705-43-4033</t>
  </si>
  <si>
    <t>030-78-7768</t>
  </si>
  <si>
    <t>050-84-5305</t>
  </si>
  <si>
    <t>055-48-0967</t>
  </si>
  <si>
    <t>055-78-9634</t>
  </si>
  <si>
    <t>055-82-4760</t>
  </si>
  <si>
    <t>056-60-2573</t>
  </si>
  <si>
    <t>061-80-0568</t>
  </si>
  <si>
    <t>063-70-5899</t>
  </si>
  <si>
    <t>067-50-3055</t>
  </si>
  <si>
    <t>076-60-1894</t>
  </si>
  <si>
    <t>077-74-4992</t>
  </si>
  <si>
    <t>078-98-6891</t>
  </si>
  <si>
    <t>081-72-8126</t>
  </si>
  <si>
    <t>083-30-0620</t>
  </si>
  <si>
    <t>087-70-8364</t>
  </si>
  <si>
    <t>088-52-8890</t>
  </si>
  <si>
    <t>092-52-2746</t>
  </si>
  <si>
    <t>095-66-5143</t>
  </si>
  <si>
    <t>096-64-6767</t>
  </si>
  <si>
    <t>097-70-6306</t>
  </si>
  <si>
    <t>100-78-2236</t>
  </si>
  <si>
    <t>101-64-5796</t>
  </si>
  <si>
    <t>101-84-4161</t>
  </si>
  <si>
    <t>107-66-1652</t>
  </si>
  <si>
    <t>107-70-9992</t>
  </si>
  <si>
    <t>108-96-7840</t>
  </si>
  <si>
    <t>110-66-4764</t>
  </si>
  <si>
    <t>115-98-4810</t>
  </si>
  <si>
    <t>117-56-0206</t>
  </si>
  <si>
    <t>117-56-5788</t>
  </si>
  <si>
    <t>117-68-4511</t>
  </si>
  <si>
    <t>119-44-9027</t>
  </si>
  <si>
    <t>119-50-9701</t>
  </si>
  <si>
    <t>119-78-0480</t>
  </si>
  <si>
    <t>122-48-5672</t>
  </si>
  <si>
    <t>122-68-0446</t>
  </si>
  <si>
    <t>122-70-8852</t>
  </si>
  <si>
    <t>123-70-6600</t>
  </si>
  <si>
    <t>123-90-7418</t>
  </si>
  <si>
    <t>126-78-4296</t>
  </si>
  <si>
    <t>128-54-3729</t>
  </si>
  <si>
    <t>128-66-9299</t>
  </si>
  <si>
    <t>129-78-7129</t>
  </si>
  <si>
    <t>132-48-7895</t>
  </si>
  <si>
    <t>132-56-2258</t>
  </si>
  <si>
    <t>172-56-5379</t>
  </si>
  <si>
    <t>219-57-1660</t>
  </si>
  <si>
    <t>230-74-6181</t>
  </si>
  <si>
    <t>401-95-8741</t>
  </si>
  <si>
    <t>580-13-4649</t>
  </si>
  <si>
    <t>581-39-2641</t>
  </si>
  <si>
    <t>582-99-6147</t>
  </si>
  <si>
    <t>584-15-5600</t>
  </si>
  <si>
    <t>593-84-1799</t>
  </si>
  <si>
    <t>598-52-6327</t>
  </si>
  <si>
    <t>598-84-4152</t>
  </si>
  <si>
    <t>599-20-9601</t>
  </si>
  <si>
    <t>724-30-4399</t>
  </si>
  <si>
    <t>891-17-6430</t>
  </si>
  <si>
    <t>896-62-9819</t>
  </si>
  <si>
    <t>000-00-5216</t>
  </si>
  <si>
    <t>050-66-6016</t>
  </si>
  <si>
    <t>035-74-9104</t>
  </si>
  <si>
    <t>051-74-6689</t>
  </si>
  <si>
    <t>057-58-2207</t>
  </si>
  <si>
    <t>068-76-5145</t>
  </si>
  <si>
    <t>094-42-6133</t>
  </si>
  <si>
    <t>105-56-7048</t>
  </si>
  <si>
    <t>110-40-3500</t>
  </si>
  <si>
    <t>119-66-8939</t>
  </si>
  <si>
    <t>124-68-9282</t>
  </si>
  <si>
    <t>132-84-1470</t>
  </si>
  <si>
    <t>055-54-2888</t>
  </si>
  <si>
    <t>055-86-4252</t>
  </si>
  <si>
    <t>060-70-8432</t>
  </si>
  <si>
    <t>063-64-9253</t>
  </si>
  <si>
    <t>066-68-3070</t>
  </si>
  <si>
    <t>066-76-3782</t>
  </si>
  <si>
    <t>068-84-0742</t>
  </si>
  <si>
    <t>069-60-8106</t>
  </si>
  <si>
    <t>071-86-3667</t>
  </si>
  <si>
    <t>076-66-1094</t>
  </si>
  <si>
    <t>080-82-9202</t>
  </si>
  <si>
    <t>082-82-2767</t>
  </si>
  <si>
    <t>085-55-2555</t>
  </si>
  <si>
    <t>087-80-9706</t>
  </si>
  <si>
    <t>088-60-7430</t>
  </si>
  <si>
    <t>090-68-1966</t>
  </si>
  <si>
    <t>091-70-4358</t>
  </si>
  <si>
    <t>095-32-7059</t>
  </si>
  <si>
    <t>095-56-9243</t>
  </si>
  <si>
    <t>098-76-1064</t>
  </si>
  <si>
    <t>104-53-2317</t>
  </si>
  <si>
    <t>104-62-5480</t>
  </si>
  <si>
    <t>106-72-1625</t>
  </si>
  <si>
    <t>111-56-7396</t>
  </si>
  <si>
    <t>118-70-4731</t>
  </si>
  <si>
    <t>124-56-9596</t>
  </si>
  <si>
    <t>128-78-1259</t>
  </si>
  <si>
    <t>137-08-6530</t>
  </si>
  <si>
    <t>255-13-9166</t>
  </si>
  <si>
    <t>582-57-9260</t>
  </si>
  <si>
    <t>599-13-4161</t>
  </si>
  <si>
    <t>053-80-5615</t>
  </si>
  <si>
    <t>059-84-4964</t>
  </si>
  <si>
    <t>070-90-4131</t>
  </si>
  <si>
    <t>085-50-5508</t>
  </si>
  <si>
    <t>Public Housing</t>
  </si>
  <si>
    <t>LINC</t>
  </si>
  <si>
    <t>HOMETBRA</t>
  </si>
  <si>
    <t>French</t>
  </si>
  <si>
    <t>6.28.19: Advice call back assigned</t>
  </si>
  <si>
    <t>DHCI form needed</t>
  </si>
  <si>
    <t>advice call-back</t>
  </si>
  <si>
    <t>5/10 - need DHCI uploaded; if none, can't report under HPLP</t>
  </si>
  <si>
    <t>&gt;200% advice, court referral</t>
  </si>
  <si>
    <t>late to report</t>
  </si>
  <si>
    <t>5/13 - DHCI?</t>
  </si>
  <si>
    <t>5.29.19: Advice call back case assigned</t>
  </si>
  <si>
    <t>Advice call back assigned on 6.4.19.</t>
  </si>
  <si>
    <t>6.21.19: Advice call back assigned</t>
  </si>
  <si>
    <t>advice callback</t>
  </si>
  <si>
    <t>no contact as of 6/27/2019 advice call back case</t>
  </si>
  <si>
    <t>verbal consent needed</t>
  </si>
  <si>
    <t>&gt;200% advice only</t>
  </si>
  <si>
    <t>5.31.19: Advice call back assigned</t>
  </si>
  <si>
    <t>Advice call back case - assigned on 5.28.19.</t>
  </si>
  <si>
    <t>5/10 - need advice notes</t>
  </si>
  <si>
    <t>advice call back case</t>
  </si>
  <si>
    <t>4/23 - need call-back advice notes</t>
  </si>
  <si>
    <t>HRA referral advice call-back</t>
  </si>
  <si>
    <t>6.25.19: Advice call back assigned.</t>
  </si>
  <si>
    <t>6.28.19.: Advice call back assigned</t>
  </si>
  <si>
    <t>6.7.19: Advice only case assigned - NOT TO REPORT TO HRA (clt didn't call us back)</t>
  </si>
  <si>
    <t>Advice call back assigned on 6.3.19.</t>
  </si>
  <si>
    <t>need advice notes</t>
  </si>
  <si>
    <t>Changed to HPLP b/c this is a NYCHA reasonable accommodation case</t>
  </si>
  <si>
    <t>5/10 - need consent uploaded; case status?</t>
  </si>
  <si>
    <t>4/23 - need consent + DHCI or active CA/SNAP # entered</t>
  </si>
  <si>
    <t>5/10 - need consent uploaded + DHCI or PA/SNAP # entered</t>
  </si>
  <si>
    <t>7/11/2019 advice callback need index #</t>
  </si>
  <si>
    <t>intake scheduled 5/29</t>
  </si>
  <si>
    <t>5/10 - need billing consent</t>
  </si>
  <si>
    <t>Advice call  back assigned on 6.5.19.</t>
  </si>
  <si>
    <t>5/10 - no show to reschedule intake; close?</t>
  </si>
  <si>
    <t>if full rep needs waiver &gt;200%</t>
  </si>
  <si>
    <t>&gt; 200% 5/16 - need to pull index # from OCA computer</t>
  </si>
  <si>
    <t>5/13 - confirm case status; cannot report under HRA grant  if advice only, but could maybe report under TRC?</t>
  </si>
  <si>
    <t>all compliance forms are uploaded</t>
  </si>
  <si>
    <t>5/10 - index #, case type, forms?</t>
  </si>
  <si>
    <t>needs income waiver</t>
  </si>
  <si>
    <t>5/13 - need billing consent uploaded + signed DHCI or active CA/SNAP # entered</t>
  </si>
  <si>
    <t>5/10 - case type &amp; status? need consent &amp; DHCI or CA/SNAP</t>
  </si>
  <si>
    <t>needs waiver if full rep</t>
  </si>
  <si>
    <t>5/9 - need DHCI uploaded or active PA/SNAP # entered</t>
  </si>
  <si>
    <t>5/13 -  no notes, confirm rep</t>
  </si>
  <si>
    <t>5/10 - case status?</t>
  </si>
  <si>
    <t>need waiver if full rep &gt;200%</t>
  </si>
  <si>
    <t>refused to sign billing consent</t>
  </si>
  <si>
    <t>Filed/Argued/Supplemented Dispositive or other Substantive Motion</t>
  </si>
  <si>
    <t>Filed for an Emergency Order to Show Cause</t>
  </si>
  <si>
    <t>Case Discontinued/Dismissed/Landlord Fails to Prosecute, Case Resolved without Judgment of Eviction Against Client, Obtained Succession Rights to Residence</t>
  </si>
  <si>
    <t>Case Discontinued/Dismissed/Landlord Fails to Prosecute, Other</t>
  </si>
  <si>
    <t>Case Discontinued/Dismissed/Landlord Fails to Prosecute, Case Resolved without Judgment of Eviction Against Client, Obtain Ongoing Rent Subsidy</t>
  </si>
  <si>
    <t>2019-06-03</t>
  </si>
  <si>
    <t>2019-07-26</t>
  </si>
  <si>
    <t>2019-07-12</t>
  </si>
  <si>
    <t>2019-07-01</t>
  </si>
  <si>
    <t>2019-05-23</t>
  </si>
  <si>
    <t>2019-05-10</t>
  </si>
  <si>
    <t>04/24/2019</t>
  </si>
  <si>
    <t>04/17/2019</t>
  </si>
  <si>
    <t>06/14/2019</t>
  </si>
  <si>
    <t>06/11/2019</t>
  </si>
  <si>
    <t>Castellanos, Rachel</t>
  </si>
  <si>
    <t>Bateman, Steven</t>
  </si>
  <si>
    <t>04/16/2019</t>
  </si>
  <si>
    <t>06/09/2019</t>
  </si>
  <si>
    <t>04/19/2019</t>
  </si>
  <si>
    <t>3114 HRA-HPLP-Homelessness Prevention Law Project</t>
  </si>
  <si>
    <t>3122 Universal Access to Counsel – (UAC)</t>
  </si>
  <si>
    <t>Housing Key</t>
  </si>
  <si>
    <t>Unnamed: 1</t>
  </si>
  <si>
    <t>missing data</t>
  </si>
  <si>
    <t>error</t>
  </si>
  <si>
    <t>mandatory fields for HPLP &amp; TRC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</si>
</sst>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180"/>
  <sheetViews>
    <sheetView tabSelected="1"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HYPERLINK("https://lsnyc.legalserver.org/matter/dynamic-profile/view/1904232","19-1904232")</f>
        <v>0</v>
      </c>
      <c r="B2" t="s">
        <v>49</v>
      </c>
      <c r="C2" t="s">
        <v>107</v>
      </c>
      <c r="D2" t="s">
        <v>264</v>
      </c>
      <c r="E2" t="s">
        <v>421</v>
      </c>
      <c r="F2" t="s">
        <v>593</v>
      </c>
      <c r="G2" t="s">
        <v>677</v>
      </c>
      <c r="H2">
        <v>10460</v>
      </c>
      <c r="I2" t="s">
        <v>682</v>
      </c>
      <c r="J2" t="s">
        <v>685</v>
      </c>
      <c r="K2" t="s">
        <v>729</v>
      </c>
      <c r="L2" t="s">
        <v>738</v>
      </c>
      <c r="M2" t="s">
        <v>743</v>
      </c>
      <c r="O2">
        <v>1700</v>
      </c>
      <c r="P2" t="s">
        <v>747</v>
      </c>
      <c r="Q2" t="s">
        <v>758</v>
      </c>
      <c r="R2" t="s">
        <v>764</v>
      </c>
      <c r="S2" t="s">
        <v>940</v>
      </c>
      <c r="T2" t="s">
        <v>949</v>
      </c>
      <c r="U2">
        <v>169</v>
      </c>
      <c r="V2" t="s">
        <v>1101</v>
      </c>
      <c r="W2" t="s">
        <v>1115</v>
      </c>
      <c r="X2">
        <v>4</v>
      </c>
      <c r="Y2">
        <v>1</v>
      </c>
      <c r="Z2">
        <v>2</v>
      </c>
      <c r="AA2">
        <v>23.65</v>
      </c>
      <c r="AD2" t="s">
        <v>1122</v>
      </c>
      <c r="AE2">
        <v>5044</v>
      </c>
      <c r="AK2">
        <v>0.3</v>
      </c>
      <c r="AL2" t="s">
        <v>1157</v>
      </c>
      <c r="AM2" t="s">
        <v>49</v>
      </c>
      <c r="AN2" t="s">
        <v>1233</v>
      </c>
      <c r="AO2" t="s">
        <v>1235</v>
      </c>
      <c r="AP2" t="s">
        <v>1157</v>
      </c>
      <c r="AQ2" t="s">
        <v>1157</v>
      </c>
      <c r="AR2" t="s">
        <v>683</v>
      </c>
      <c r="AS2" t="s">
        <v>1257</v>
      </c>
      <c r="AT2" t="s">
        <v>1262</v>
      </c>
      <c r="AU2" t="s">
        <v>684</v>
      </c>
      <c r="AW2" t="s">
        <v>1278</v>
      </c>
    </row>
    <row r="3" spans="1:49">
      <c r="A3" s="1">
        <f>HYPERLINK("https://lsnyc.legalserver.org/matter/dynamic-profile/view/1898721","19-1898721")</f>
        <v>0</v>
      </c>
      <c r="B3" t="s">
        <v>50</v>
      </c>
      <c r="C3" t="s">
        <v>108</v>
      </c>
      <c r="D3" t="s">
        <v>265</v>
      </c>
      <c r="E3" t="s">
        <v>422</v>
      </c>
      <c r="G3" t="s">
        <v>677</v>
      </c>
      <c r="H3">
        <v>10458</v>
      </c>
      <c r="I3" t="s">
        <v>683</v>
      </c>
      <c r="O3">
        <v>0</v>
      </c>
      <c r="Q3" t="s">
        <v>758</v>
      </c>
      <c r="R3" t="s">
        <v>765</v>
      </c>
      <c r="T3" t="s">
        <v>950</v>
      </c>
      <c r="U3">
        <v>0</v>
      </c>
      <c r="X3">
        <v>0</v>
      </c>
      <c r="Y3">
        <v>2</v>
      </c>
      <c r="Z3">
        <v>2</v>
      </c>
      <c r="AA3">
        <v>174.76</v>
      </c>
      <c r="AD3" t="s">
        <v>1122</v>
      </c>
      <c r="AE3">
        <v>45000</v>
      </c>
      <c r="AK3">
        <v>4</v>
      </c>
      <c r="AL3" t="s">
        <v>1158</v>
      </c>
      <c r="AM3" t="s">
        <v>54</v>
      </c>
      <c r="AO3" t="s">
        <v>1235</v>
      </c>
      <c r="AP3" t="s">
        <v>1192</v>
      </c>
      <c r="AQ3" t="s">
        <v>1206</v>
      </c>
      <c r="AR3" t="s">
        <v>683</v>
      </c>
      <c r="AS3" t="s">
        <v>1257</v>
      </c>
      <c r="AT3" t="s">
        <v>1263</v>
      </c>
      <c r="AW3" t="s">
        <v>1279</v>
      </c>
    </row>
    <row r="4" spans="1:49">
      <c r="A4" s="1">
        <f>HYPERLINK("https://lsnyc.legalserver.org/matter/dynamic-profile/view/1897389","19-1897389")</f>
        <v>0</v>
      </c>
      <c r="B4" t="s">
        <v>51</v>
      </c>
      <c r="C4" t="s">
        <v>109</v>
      </c>
      <c r="D4" t="s">
        <v>266</v>
      </c>
      <c r="E4" t="s">
        <v>423</v>
      </c>
      <c r="G4" t="s">
        <v>677</v>
      </c>
      <c r="H4">
        <v>10473</v>
      </c>
      <c r="I4" t="s">
        <v>683</v>
      </c>
      <c r="O4">
        <v>0</v>
      </c>
      <c r="Q4" t="s">
        <v>759</v>
      </c>
      <c r="R4" t="s">
        <v>766</v>
      </c>
      <c r="T4" t="s">
        <v>951</v>
      </c>
      <c r="U4">
        <v>0</v>
      </c>
      <c r="X4">
        <v>0</v>
      </c>
      <c r="Y4">
        <v>2</v>
      </c>
      <c r="Z4">
        <v>0</v>
      </c>
      <c r="AA4">
        <v>264.7</v>
      </c>
      <c r="AD4" t="s">
        <v>1122</v>
      </c>
      <c r="AE4">
        <v>44760</v>
      </c>
      <c r="AK4">
        <v>7</v>
      </c>
      <c r="AL4" t="s">
        <v>1159</v>
      </c>
      <c r="AM4" t="s">
        <v>54</v>
      </c>
      <c r="AO4" t="s">
        <v>1235</v>
      </c>
      <c r="AP4" t="s">
        <v>1237</v>
      </c>
      <c r="AQ4" t="s">
        <v>1160</v>
      </c>
      <c r="AR4" t="s">
        <v>683</v>
      </c>
      <c r="AS4" t="s">
        <v>1258</v>
      </c>
      <c r="AT4" t="s">
        <v>1263</v>
      </c>
      <c r="AW4" t="s">
        <v>1279</v>
      </c>
    </row>
    <row r="5" spans="1:49">
      <c r="A5" s="1">
        <f>HYPERLINK("https://lsnyc.legalserver.org/matter/dynamic-profile/view/1898661","19-1898661")</f>
        <v>0</v>
      </c>
      <c r="B5" t="s">
        <v>50</v>
      </c>
      <c r="C5" t="s">
        <v>110</v>
      </c>
      <c r="D5" t="s">
        <v>267</v>
      </c>
      <c r="E5" t="s">
        <v>424</v>
      </c>
      <c r="F5" t="s">
        <v>594</v>
      </c>
      <c r="G5" t="s">
        <v>677</v>
      </c>
      <c r="H5">
        <v>10462</v>
      </c>
      <c r="I5" t="s">
        <v>683</v>
      </c>
      <c r="O5">
        <v>0</v>
      </c>
      <c r="Q5" t="s">
        <v>759</v>
      </c>
      <c r="R5" t="s">
        <v>767</v>
      </c>
      <c r="T5" t="s">
        <v>952</v>
      </c>
      <c r="U5">
        <v>0</v>
      </c>
      <c r="X5">
        <v>0</v>
      </c>
      <c r="Y5">
        <v>1</v>
      </c>
      <c r="Z5">
        <v>0</v>
      </c>
      <c r="AA5">
        <v>128.84</v>
      </c>
      <c r="AD5" t="s">
        <v>1122</v>
      </c>
      <c r="AE5">
        <v>16092</v>
      </c>
      <c r="AK5">
        <v>7</v>
      </c>
      <c r="AL5" t="s">
        <v>1160</v>
      </c>
      <c r="AM5" t="s">
        <v>54</v>
      </c>
      <c r="AO5" t="s">
        <v>1235</v>
      </c>
      <c r="AP5" t="s">
        <v>1192</v>
      </c>
      <c r="AQ5" t="s">
        <v>1160</v>
      </c>
      <c r="AR5" t="s">
        <v>683</v>
      </c>
      <c r="AS5" t="s">
        <v>1258</v>
      </c>
      <c r="AT5" t="s">
        <v>1263</v>
      </c>
      <c r="AW5" t="s">
        <v>1280</v>
      </c>
    </row>
    <row r="6" spans="1:49">
      <c r="A6" s="1">
        <f>HYPERLINK("https://lsnyc.legalserver.org/matter/dynamic-profile/view/1900537","19-1900537")</f>
        <v>0</v>
      </c>
      <c r="B6" t="s">
        <v>51</v>
      </c>
      <c r="C6" t="s">
        <v>111</v>
      </c>
      <c r="D6" t="s">
        <v>268</v>
      </c>
      <c r="E6" t="s">
        <v>425</v>
      </c>
      <c r="F6" t="s">
        <v>595</v>
      </c>
      <c r="G6" t="s">
        <v>677</v>
      </c>
      <c r="H6">
        <v>10462</v>
      </c>
      <c r="I6" t="s">
        <v>683</v>
      </c>
      <c r="O6">
        <v>0</v>
      </c>
      <c r="Q6" t="s">
        <v>760</v>
      </c>
      <c r="R6" t="s">
        <v>768</v>
      </c>
      <c r="T6" t="s">
        <v>953</v>
      </c>
      <c r="U6">
        <v>0</v>
      </c>
      <c r="X6">
        <v>0</v>
      </c>
      <c r="Y6">
        <v>2</v>
      </c>
      <c r="Z6">
        <v>1</v>
      </c>
      <c r="AA6">
        <v>399.91</v>
      </c>
      <c r="AD6" t="s">
        <v>1122</v>
      </c>
      <c r="AE6">
        <v>85300</v>
      </c>
      <c r="AK6">
        <v>4.5</v>
      </c>
      <c r="AL6" t="s">
        <v>1161</v>
      </c>
      <c r="AM6" t="s">
        <v>54</v>
      </c>
      <c r="AO6" t="s">
        <v>1235</v>
      </c>
      <c r="AP6" t="s">
        <v>1238</v>
      </c>
      <c r="AQ6" t="s">
        <v>1175</v>
      </c>
      <c r="AR6" t="s">
        <v>683</v>
      </c>
      <c r="AS6" t="s">
        <v>1259</v>
      </c>
      <c r="AT6" t="s">
        <v>1263</v>
      </c>
      <c r="AW6" t="s">
        <v>1280</v>
      </c>
    </row>
    <row r="7" spans="1:49">
      <c r="A7" s="1">
        <f>HYPERLINK("https://lsnyc.legalserver.org/matter/dynamic-profile/view/1901102","19-1901102")</f>
        <v>0</v>
      </c>
      <c r="B7" t="s">
        <v>50</v>
      </c>
      <c r="C7" t="s">
        <v>112</v>
      </c>
      <c r="D7" t="s">
        <v>269</v>
      </c>
      <c r="E7" t="s">
        <v>426</v>
      </c>
      <c r="F7">
        <v>1</v>
      </c>
      <c r="G7" t="s">
        <v>677</v>
      </c>
      <c r="H7">
        <v>10467</v>
      </c>
      <c r="I7" t="s">
        <v>683</v>
      </c>
      <c r="O7">
        <v>0</v>
      </c>
      <c r="R7" t="s">
        <v>769</v>
      </c>
      <c r="T7" t="s">
        <v>954</v>
      </c>
      <c r="U7">
        <v>0</v>
      </c>
      <c r="X7">
        <v>0</v>
      </c>
      <c r="Y7">
        <v>2</v>
      </c>
      <c r="Z7">
        <v>4</v>
      </c>
      <c r="AA7">
        <v>171.96</v>
      </c>
      <c r="AD7" t="s">
        <v>1122</v>
      </c>
      <c r="AE7">
        <v>59480</v>
      </c>
      <c r="AK7">
        <v>4.5</v>
      </c>
      <c r="AL7" t="s">
        <v>1162</v>
      </c>
      <c r="AM7" t="s">
        <v>54</v>
      </c>
      <c r="AO7" t="s">
        <v>1236</v>
      </c>
      <c r="AP7" t="s">
        <v>1185</v>
      </c>
      <c r="AR7" t="s">
        <v>683</v>
      </c>
      <c r="AT7" t="s">
        <v>1263</v>
      </c>
      <c r="AW7" t="s">
        <v>1280</v>
      </c>
    </row>
    <row r="8" spans="1:49">
      <c r="A8" s="1">
        <f>HYPERLINK("https://lsnyc.legalserver.org/matter/dynamic-profile/view/1900035","19-1900035")</f>
        <v>0</v>
      </c>
      <c r="B8" t="s">
        <v>50</v>
      </c>
      <c r="C8" t="s">
        <v>113</v>
      </c>
      <c r="D8" t="s">
        <v>270</v>
      </c>
      <c r="E8" t="s">
        <v>427</v>
      </c>
      <c r="G8" t="s">
        <v>677</v>
      </c>
      <c r="H8">
        <v>10466</v>
      </c>
      <c r="I8" t="s">
        <v>683</v>
      </c>
      <c r="O8">
        <v>0</v>
      </c>
      <c r="R8" t="s">
        <v>770</v>
      </c>
      <c r="T8" t="s">
        <v>955</v>
      </c>
      <c r="U8">
        <v>0</v>
      </c>
      <c r="X8">
        <v>0</v>
      </c>
      <c r="Y8">
        <v>4</v>
      </c>
      <c r="Z8">
        <v>0</v>
      </c>
      <c r="AA8">
        <v>138.45</v>
      </c>
      <c r="AD8" t="s">
        <v>1122</v>
      </c>
      <c r="AE8">
        <v>35652</v>
      </c>
      <c r="AK8">
        <v>5</v>
      </c>
      <c r="AL8" t="s">
        <v>1162</v>
      </c>
      <c r="AM8" t="s">
        <v>54</v>
      </c>
      <c r="AO8" t="s">
        <v>1236</v>
      </c>
      <c r="AP8" t="s">
        <v>1183</v>
      </c>
      <c r="AR8" t="s">
        <v>683</v>
      </c>
      <c r="AT8" t="s">
        <v>1263</v>
      </c>
      <c r="AW8" t="s">
        <v>1279</v>
      </c>
    </row>
    <row r="9" spans="1:49">
      <c r="A9" s="1">
        <f>HYPERLINK("https://lsnyc.legalserver.org/matter/dynamic-profile/view/1900049","19-1900049")</f>
        <v>0</v>
      </c>
      <c r="B9" t="s">
        <v>52</v>
      </c>
      <c r="C9" t="s">
        <v>114</v>
      </c>
      <c r="D9" t="s">
        <v>271</v>
      </c>
      <c r="E9" t="s">
        <v>428</v>
      </c>
      <c r="G9" t="s">
        <v>677</v>
      </c>
      <c r="H9">
        <v>10469</v>
      </c>
      <c r="I9" t="s">
        <v>683</v>
      </c>
      <c r="O9">
        <v>0</v>
      </c>
      <c r="R9" t="s">
        <v>771</v>
      </c>
      <c r="T9" t="s">
        <v>956</v>
      </c>
      <c r="U9">
        <v>0</v>
      </c>
      <c r="X9">
        <v>0</v>
      </c>
      <c r="Y9">
        <v>1</v>
      </c>
      <c r="Z9">
        <v>0</v>
      </c>
      <c r="AA9">
        <v>0</v>
      </c>
      <c r="AD9" t="s">
        <v>1122</v>
      </c>
      <c r="AE9">
        <v>0</v>
      </c>
      <c r="AK9">
        <v>15</v>
      </c>
      <c r="AL9" t="s">
        <v>1160</v>
      </c>
      <c r="AM9" t="s">
        <v>54</v>
      </c>
      <c r="AO9" t="s">
        <v>1236</v>
      </c>
      <c r="AP9" t="s">
        <v>1183</v>
      </c>
      <c r="AR9" t="s">
        <v>683</v>
      </c>
      <c r="AT9" t="s">
        <v>1263</v>
      </c>
      <c r="AW9" t="s">
        <v>1279</v>
      </c>
    </row>
    <row r="10" spans="1:49">
      <c r="A10" s="1">
        <f>HYPERLINK("https://lsnyc.legalserver.org/matter/dynamic-profile/view/1902889","19-1902889")</f>
        <v>0</v>
      </c>
      <c r="B10" t="s">
        <v>50</v>
      </c>
      <c r="C10" t="s">
        <v>115</v>
      </c>
      <c r="D10" t="s">
        <v>272</v>
      </c>
      <c r="E10" t="s">
        <v>429</v>
      </c>
      <c r="G10" t="s">
        <v>677</v>
      </c>
      <c r="H10">
        <v>10469</v>
      </c>
      <c r="I10" t="s">
        <v>683</v>
      </c>
      <c r="O10">
        <v>0</v>
      </c>
      <c r="R10" t="s">
        <v>772</v>
      </c>
      <c r="T10" t="s">
        <v>957</v>
      </c>
      <c r="U10">
        <v>0</v>
      </c>
      <c r="X10">
        <v>0</v>
      </c>
      <c r="Y10">
        <v>4</v>
      </c>
      <c r="Z10">
        <v>0</v>
      </c>
      <c r="AA10">
        <v>480</v>
      </c>
      <c r="AD10" t="s">
        <v>1122</v>
      </c>
      <c r="AE10">
        <v>123600</v>
      </c>
      <c r="AK10">
        <v>4</v>
      </c>
      <c r="AL10" t="s">
        <v>1163</v>
      </c>
      <c r="AM10" t="s">
        <v>54</v>
      </c>
      <c r="AO10" t="s">
        <v>1236</v>
      </c>
      <c r="AP10" t="s">
        <v>1178</v>
      </c>
      <c r="AR10" t="s">
        <v>683</v>
      </c>
      <c r="AT10" t="s">
        <v>1263</v>
      </c>
      <c r="AW10" t="s">
        <v>1279</v>
      </c>
    </row>
    <row r="11" spans="1:49">
      <c r="A11" s="1">
        <f>HYPERLINK("https://lsnyc.legalserver.org/matter/dynamic-profile/view/1901815","19-1901815")</f>
        <v>0</v>
      </c>
      <c r="B11" t="s">
        <v>50</v>
      </c>
      <c r="C11" t="s">
        <v>116</v>
      </c>
      <c r="D11" t="s">
        <v>273</v>
      </c>
      <c r="E11" t="s">
        <v>430</v>
      </c>
      <c r="G11" t="s">
        <v>677</v>
      </c>
      <c r="H11">
        <v>10460</v>
      </c>
      <c r="I11" t="s">
        <v>683</v>
      </c>
      <c r="O11">
        <v>0</v>
      </c>
      <c r="R11" t="s">
        <v>773</v>
      </c>
      <c r="T11" t="s">
        <v>958</v>
      </c>
      <c r="U11">
        <v>0</v>
      </c>
      <c r="X11">
        <v>0</v>
      </c>
      <c r="Y11">
        <v>5</v>
      </c>
      <c r="Z11">
        <v>1</v>
      </c>
      <c r="AA11">
        <v>70.42</v>
      </c>
      <c r="AD11" t="s">
        <v>1122</v>
      </c>
      <c r="AE11">
        <v>24360</v>
      </c>
      <c r="AK11">
        <v>2.5</v>
      </c>
      <c r="AL11" t="s">
        <v>1162</v>
      </c>
      <c r="AM11" t="s">
        <v>54</v>
      </c>
      <c r="AO11" t="s">
        <v>1236</v>
      </c>
      <c r="AP11" t="s">
        <v>1177</v>
      </c>
      <c r="AR11" t="s">
        <v>683</v>
      </c>
      <c r="AT11" t="s">
        <v>1263</v>
      </c>
      <c r="AW11" t="s">
        <v>1279</v>
      </c>
    </row>
    <row r="12" spans="1:49">
      <c r="A12" s="1">
        <f>HYPERLINK("https://lsnyc.legalserver.org/matter/dynamic-profile/view/1899970","19-1899970")</f>
        <v>0</v>
      </c>
      <c r="B12" t="s">
        <v>50</v>
      </c>
      <c r="C12" t="s">
        <v>117</v>
      </c>
      <c r="D12" t="s">
        <v>274</v>
      </c>
      <c r="E12" t="s">
        <v>431</v>
      </c>
      <c r="G12" t="s">
        <v>677</v>
      </c>
      <c r="H12">
        <v>10457</v>
      </c>
      <c r="I12" t="s">
        <v>683</v>
      </c>
      <c r="O12">
        <v>0</v>
      </c>
      <c r="R12" t="s">
        <v>774</v>
      </c>
      <c r="T12" t="s">
        <v>959</v>
      </c>
      <c r="U12">
        <v>0</v>
      </c>
      <c r="X12">
        <v>0</v>
      </c>
      <c r="Y12">
        <v>2</v>
      </c>
      <c r="Z12">
        <v>3</v>
      </c>
      <c r="AA12">
        <v>159.1</v>
      </c>
      <c r="AD12" t="s">
        <v>1122</v>
      </c>
      <c r="AE12">
        <v>48000</v>
      </c>
      <c r="AK12">
        <v>3.5</v>
      </c>
      <c r="AL12" t="s">
        <v>1164</v>
      </c>
      <c r="AM12" t="s">
        <v>54</v>
      </c>
      <c r="AO12" t="s">
        <v>1236</v>
      </c>
      <c r="AP12" t="s">
        <v>1183</v>
      </c>
      <c r="AR12" t="s">
        <v>683</v>
      </c>
      <c r="AT12" t="s">
        <v>1263</v>
      </c>
      <c r="AW12" t="s">
        <v>1280</v>
      </c>
    </row>
    <row r="13" spans="1:49">
      <c r="A13" s="1">
        <f>HYPERLINK("https://lsnyc.legalserver.org/matter/dynamic-profile/view/1898674","19-1898674")</f>
        <v>0</v>
      </c>
      <c r="B13" t="s">
        <v>50</v>
      </c>
      <c r="C13" t="s">
        <v>118</v>
      </c>
      <c r="D13" t="s">
        <v>275</v>
      </c>
      <c r="E13" t="s">
        <v>432</v>
      </c>
      <c r="F13" t="s">
        <v>596</v>
      </c>
      <c r="G13" t="s">
        <v>677</v>
      </c>
      <c r="H13">
        <v>10473</v>
      </c>
      <c r="I13" t="s">
        <v>683</v>
      </c>
      <c r="O13">
        <v>0</v>
      </c>
      <c r="R13" t="s">
        <v>775</v>
      </c>
      <c r="T13" t="s">
        <v>960</v>
      </c>
      <c r="U13">
        <v>0</v>
      </c>
      <c r="X13">
        <v>0</v>
      </c>
      <c r="Y13">
        <v>2</v>
      </c>
      <c r="Z13">
        <v>0</v>
      </c>
      <c r="AA13">
        <v>299.23</v>
      </c>
      <c r="AD13" t="s">
        <v>1122</v>
      </c>
      <c r="AE13">
        <v>50600</v>
      </c>
      <c r="AK13">
        <v>5</v>
      </c>
      <c r="AL13" t="s">
        <v>1158</v>
      </c>
      <c r="AM13" t="s">
        <v>54</v>
      </c>
      <c r="AO13" t="s">
        <v>1236</v>
      </c>
      <c r="AP13" t="s">
        <v>1192</v>
      </c>
      <c r="AR13" t="s">
        <v>683</v>
      </c>
      <c r="AT13" t="s">
        <v>1263</v>
      </c>
      <c r="AW13" t="s">
        <v>1279</v>
      </c>
    </row>
    <row r="14" spans="1:49">
      <c r="A14" s="1">
        <f>HYPERLINK("https://lsnyc.legalserver.org/matter/dynamic-profile/view/1902752","19-1902752")</f>
        <v>0</v>
      </c>
      <c r="B14" t="s">
        <v>50</v>
      </c>
      <c r="C14" t="s">
        <v>119</v>
      </c>
      <c r="D14" t="s">
        <v>276</v>
      </c>
      <c r="E14" t="s">
        <v>433</v>
      </c>
      <c r="G14" t="s">
        <v>677</v>
      </c>
      <c r="H14">
        <v>10469</v>
      </c>
      <c r="I14" t="s">
        <v>683</v>
      </c>
      <c r="O14">
        <v>0</v>
      </c>
      <c r="R14" t="s">
        <v>776</v>
      </c>
      <c r="T14" t="s">
        <v>961</v>
      </c>
      <c r="U14">
        <v>0</v>
      </c>
      <c r="X14">
        <v>0</v>
      </c>
      <c r="Y14">
        <v>1</v>
      </c>
      <c r="Z14">
        <v>0</v>
      </c>
      <c r="AA14">
        <v>520.42</v>
      </c>
      <c r="AE14">
        <v>65000</v>
      </c>
      <c r="AK14">
        <v>17</v>
      </c>
      <c r="AL14" t="s">
        <v>1165</v>
      </c>
      <c r="AM14" t="s">
        <v>54</v>
      </c>
      <c r="AO14" t="s">
        <v>1236</v>
      </c>
      <c r="AP14" t="s">
        <v>1239</v>
      </c>
      <c r="AR14" t="s">
        <v>683</v>
      </c>
      <c r="AT14" t="s">
        <v>1263</v>
      </c>
      <c r="AW14" t="s">
        <v>1280</v>
      </c>
    </row>
    <row r="15" spans="1:49">
      <c r="A15" s="1">
        <f>HYPERLINK("https://lsnyc.legalserver.org/matter/dynamic-profile/view/1904587","19-1904587")</f>
        <v>0</v>
      </c>
      <c r="B15" t="s">
        <v>50</v>
      </c>
      <c r="C15" t="s">
        <v>120</v>
      </c>
      <c r="D15" t="s">
        <v>277</v>
      </c>
      <c r="E15" t="s">
        <v>434</v>
      </c>
      <c r="F15">
        <v>1</v>
      </c>
      <c r="G15" t="s">
        <v>677</v>
      </c>
      <c r="H15">
        <v>10454</v>
      </c>
      <c r="I15" t="s">
        <v>683</v>
      </c>
      <c r="O15">
        <v>0</v>
      </c>
      <c r="R15" t="s">
        <v>777</v>
      </c>
      <c r="T15" t="s">
        <v>962</v>
      </c>
      <c r="U15">
        <v>0</v>
      </c>
      <c r="X15">
        <v>0</v>
      </c>
      <c r="Y15">
        <v>2</v>
      </c>
      <c r="Z15">
        <v>0</v>
      </c>
      <c r="AA15">
        <v>98.5</v>
      </c>
      <c r="AD15" t="s">
        <v>1122</v>
      </c>
      <c r="AE15">
        <v>16656</v>
      </c>
      <c r="AK15">
        <v>2.25</v>
      </c>
      <c r="AL15" t="s">
        <v>1161</v>
      </c>
      <c r="AM15" t="s">
        <v>54</v>
      </c>
      <c r="AO15" t="s">
        <v>1236</v>
      </c>
      <c r="AP15" t="s">
        <v>1176</v>
      </c>
      <c r="AR15" t="s">
        <v>683</v>
      </c>
      <c r="AT15" t="s">
        <v>1263</v>
      </c>
      <c r="AW15" t="s">
        <v>1280</v>
      </c>
    </row>
    <row r="16" spans="1:49">
      <c r="A16" s="1">
        <f>HYPERLINK("https://lsnyc.legalserver.org/matter/dynamic-profile/view/1902857","19-1902857")</f>
        <v>0</v>
      </c>
      <c r="B16" t="s">
        <v>50</v>
      </c>
      <c r="C16" t="s">
        <v>121</v>
      </c>
      <c r="D16" t="s">
        <v>278</v>
      </c>
      <c r="E16" t="s">
        <v>435</v>
      </c>
      <c r="G16" t="s">
        <v>677</v>
      </c>
      <c r="H16">
        <v>10466</v>
      </c>
      <c r="I16" t="s">
        <v>683</v>
      </c>
      <c r="O16">
        <v>0</v>
      </c>
      <c r="R16" t="s">
        <v>778</v>
      </c>
      <c r="T16" t="s">
        <v>963</v>
      </c>
      <c r="U16">
        <v>0</v>
      </c>
      <c r="X16">
        <v>0</v>
      </c>
      <c r="Y16">
        <v>5</v>
      </c>
      <c r="Z16">
        <v>0</v>
      </c>
      <c r="AA16">
        <v>165.73</v>
      </c>
      <c r="AD16" t="s">
        <v>1123</v>
      </c>
      <c r="AE16">
        <v>50000</v>
      </c>
      <c r="AK16">
        <v>4</v>
      </c>
      <c r="AL16" t="s">
        <v>1166</v>
      </c>
      <c r="AM16" t="s">
        <v>54</v>
      </c>
      <c r="AO16" t="s">
        <v>1236</v>
      </c>
      <c r="AP16" t="s">
        <v>1178</v>
      </c>
      <c r="AR16" t="s">
        <v>683</v>
      </c>
      <c r="AT16" t="s">
        <v>1263</v>
      </c>
      <c r="AW16" t="s">
        <v>1279</v>
      </c>
    </row>
    <row r="17" spans="1:49">
      <c r="A17" s="1">
        <f>HYPERLINK("https://lsnyc.legalserver.org/matter/dynamic-profile/view/1900566","19-1900566")</f>
        <v>0</v>
      </c>
      <c r="B17" t="s">
        <v>51</v>
      </c>
      <c r="C17" t="s">
        <v>122</v>
      </c>
      <c r="D17" t="s">
        <v>279</v>
      </c>
      <c r="E17" t="s">
        <v>436</v>
      </c>
      <c r="F17" t="s">
        <v>597</v>
      </c>
      <c r="G17" t="s">
        <v>677</v>
      </c>
      <c r="H17">
        <v>10465</v>
      </c>
      <c r="I17" t="s">
        <v>683</v>
      </c>
      <c r="O17">
        <v>0</v>
      </c>
      <c r="R17" t="s">
        <v>779</v>
      </c>
      <c r="T17" t="s">
        <v>964</v>
      </c>
      <c r="U17">
        <v>0</v>
      </c>
      <c r="X17">
        <v>0</v>
      </c>
      <c r="Y17">
        <v>2</v>
      </c>
      <c r="Z17">
        <v>2</v>
      </c>
      <c r="AA17">
        <v>694.37</v>
      </c>
      <c r="AD17" t="s">
        <v>1122</v>
      </c>
      <c r="AE17">
        <v>178800</v>
      </c>
      <c r="AK17">
        <v>3.5</v>
      </c>
      <c r="AL17" t="s">
        <v>1167</v>
      </c>
      <c r="AM17" t="s">
        <v>54</v>
      </c>
      <c r="AO17" t="s">
        <v>1236</v>
      </c>
      <c r="AP17" t="s">
        <v>1238</v>
      </c>
      <c r="AR17" t="s">
        <v>683</v>
      </c>
      <c r="AT17" t="s">
        <v>1263</v>
      </c>
      <c r="AW17" t="s">
        <v>1279</v>
      </c>
    </row>
    <row r="18" spans="1:49">
      <c r="A18" s="1">
        <f>HYPERLINK("https://lsnyc.legalserver.org/matter/dynamic-profile/view/1901138","19-1901138")</f>
        <v>0</v>
      </c>
      <c r="B18" t="s">
        <v>51</v>
      </c>
      <c r="C18" t="s">
        <v>123</v>
      </c>
      <c r="D18" t="s">
        <v>280</v>
      </c>
      <c r="E18" t="s">
        <v>437</v>
      </c>
      <c r="F18" t="s">
        <v>598</v>
      </c>
      <c r="G18" t="s">
        <v>677</v>
      </c>
      <c r="H18">
        <v>10466</v>
      </c>
      <c r="I18" t="s">
        <v>683</v>
      </c>
      <c r="O18">
        <v>0</v>
      </c>
      <c r="R18" t="s">
        <v>780</v>
      </c>
      <c r="T18" t="s">
        <v>965</v>
      </c>
      <c r="U18">
        <v>0</v>
      </c>
      <c r="X18">
        <v>0</v>
      </c>
      <c r="Y18">
        <v>2</v>
      </c>
      <c r="Z18">
        <v>0</v>
      </c>
      <c r="AA18">
        <v>799.53</v>
      </c>
      <c r="AD18" t="s">
        <v>1122</v>
      </c>
      <c r="AE18">
        <v>135200</v>
      </c>
      <c r="AK18">
        <v>10.74</v>
      </c>
      <c r="AL18" t="s">
        <v>1168</v>
      </c>
      <c r="AM18" t="s">
        <v>54</v>
      </c>
      <c r="AO18" t="s">
        <v>1236</v>
      </c>
      <c r="AP18" t="s">
        <v>1185</v>
      </c>
      <c r="AR18" t="s">
        <v>683</v>
      </c>
      <c r="AT18" t="s">
        <v>1263</v>
      </c>
      <c r="AW18" t="s">
        <v>1279</v>
      </c>
    </row>
    <row r="19" spans="1:49">
      <c r="A19" s="1">
        <f>HYPERLINK("https://lsnyc.legalserver.org/matter/dynamic-profile/view/1905181","19-1905181")</f>
        <v>0</v>
      </c>
      <c r="B19" t="s">
        <v>50</v>
      </c>
      <c r="C19" t="s">
        <v>124</v>
      </c>
      <c r="D19" t="s">
        <v>281</v>
      </c>
      <c r="E19" t="s">
        <v>438</v>
      </c>
      <c r="G19" t="s">
        <v>677</v>
      </c>
      <c r="H19">
        <v>10463</v>
      </c>
      <c r="I19" t="s">
        <v>683</v>
      </c>
      <c r="O19">
        <v>0</v>
      </c>
      <c r="R19" t="s">
        <v>781</v>
      </c>
      <c r="T19" t="s">
        <v>966</v>
      </c>
      <c r="U19">
        <v>0</v>
      </c>
      <c r="X19">
        <v>0</v>
      </c>
      <c r="Y19">
        <v>2</v>
      </c>
      <c r="Z19">
        <v>0</v>
      </c>
      <c r="AA19">
        <v>59.61</v>
      </c>
      <c r="AD19" t="s">
        <v>1122</v>
      </c>
      <c r="AE19">
        <v>10080</v>
      </c>
      <c r="AK19">
        <v>3.75</v>
      </c>
      <c r="AL19" t="s">
        <v>1169</v>
      </c>
      <c r="AM19" t="s">
        <v>54</v>
      </c>
      <c r="AO19" t="s">
        <v>1236</v>
      </c>
      <c r="AP19" t="s">
        <v>1166</v>
      </c>
      <c r="AR19" t="s">
        <v>683</v>
      </c>
      <c r="AT19" t="s">
        <v>1263</v>
      </c>
      <c r="AW19" t="s">
        <v>1279</v>
      </c>
    </row>
    <row r="20" spans="1:49">
      <c r="A20" s="1">
        <f>HYPERLINK("https://lsnyc.legalserver.org/matter/dynamic-profile/view/1902311","19-1902311")</f>
        <v>0</v>
      </c>
      <c r="B20" t="s">
        <v>50</v>
      </c>
      <c r="C20" t="s">
        <v>125</v>
      </c>
      <c r="D20" t="s">
        <v>282</v>
      </c>
      <c r="E20" t="s">
        <v>439</v>
      </c>
      <c r="F20" t="s">
        <v>599</v>
      </c>
      <c r="G20" t="s">
        <v>677</v>
      </c>
      <c r="H20">
        <v>10472</v>
      </c>
      <c r="I20" t="s">
        <v>683</v>
      </c>
      <c r="O20">
        <v>0</v>
      </c>
      <c r="R20" t="s">
        <v>782</v>
      </c>
      <c r="T20" t="s">
        <v>967</v>
      </c>
      <c r="U20">
        <v>0</v>
      </c>
      <c r="X20">
        <v>0</v>
      </c>
      <c r="Y20">
        <v>4</v>
      </c>
      <c r="Z20">
        <v>2</v>
      </c>
      <c r="AA20">
        <v>257.59</v>
      </c>
      <c r="AD20" t="s">
        <v>1123</v>
      </c>
      <c r="AE20">
        <v>89100</v>
      </c>
      <c r="AK20">
        <v>4.5</v>
      </c>
      <c r="AL20" t="s">
        <v>1162</v>
      </c>
      <c r="AM20" t="s">
        <v>54</v>
      </c>
      <c r="AO20" t="s">
        <v>1236</v>
      </c>
      <c r="AP20" t="s">
        <v>1194</v>
      </c>
      <c r="AR20" t="s">
        <v>683</v>
      </c>
      <c r="AT20" t="s">
        <v>1263</v>
      </c>
      <c r="AW20" t="s">
        <v>1279</v>
      </c>
    </row>
    <row r="21" spans="1:49">
      <c r="A21" s="1">
        <f>HYPERLINK("https://lsnyc.legalserver.org/matter/dynamic-profile/view/1905828","19-1905828")</f>
        <v>0</v>
      </c>
      <c r="B21" t="s">
        <v>50</v>
      </c>
      <c r="C21" t="s">
        <v>126</v>
      </c>
      <c r="D21" t="s">
        <v>283</v>
      </c>
      <c r="E21" t="s">
        <v>440</v>
      </c>
      <c r="G21" t="s">
        <v>677</v>
      </c>
      <c r="H21">
        <v>10469</v>
      </c>
      <c r="I21" t="s">
        <v>683</v>
      </c>
      <c r="O21">
        <v>0</v>
      </c>
      <c r="R21" t="s">
        <v>783</v>
      </c>
      <c r="T21" t="s">
        <v>968</v>
      </c>
      <c r="U21">
        <v>0</v>
      </c>
      <c r="X21">
        <v>0</v>
      </c>
      <c r="Y21">
        <v>1</v>
      </c>
      <c r="Z21">
        <v>0</v>
      </c>
      <c r="AA21">
        <v>330.58</v>
      </c>
      <c r="AD21" t="s">
        <v>1122</v>
      </c>
      <c r="AE21">
        <v>41289.6</v>
      </c>
      <c r="AK21">
        <v>3</v>
      </c>
      <c r="AL21" t="s">
        <v>1170</v>
      </c>
      <c r="AM21" t="s">
        <v>54</v>
      </c>
      <c r="AO21" t="s">
        <v>1236</v>
      </c>
      <c r="AP21" t="s">
        <v>1179</v>
      </c>
      <c r="AR21" t="s">
        <v>683</v>
      </c>
      <c r="AT21" t="s">
        <v>1263</v>
      </c>
      <c r="AW21" t="s">
        <v>1279</v>
      </c>
    </row>
    <row r="22" spans="1:49">
      <c r="A22" s="1">
        <f>HYPERLINK("https://lsnyc.legalserver.org/matter/dynamic-profile/view/1900660","19-1900660")</f>
        <v>0</v>
      </c>
      <c r="B22" t="s">
        <v>50</v>
      </c>
      <c r="C22" t="s">
        <v>127</v>
      </c>
      <c r="D22" t="s">
        <v>284</v>
      </c>
      <c r="E22" t="s">
        <v>441</v>
      </c>
      <c r="G22" t="s">
        <v>677</v>
      </c>
      <c r="H22">
        <v>10473</v>
      </c>
      <c r="I22" t="s">
        <v>683</v>
      </c>
      <c r="O22">
        <v>0</v>
      </c>
      <c r="R22" t="s">
        <v>784</v>
      </c>
      <c r="T22" t="s">
        <v>969</v>
      </c>
      <c r="U22">
        <v>0</v>
      </c>
      <c r="X22">
        <v>0</v>
      </c>
      <c r="Y22">
        <v>1</v>
      </c>
      <c r="Z22">
        <v>0</v>
      </c>
      <c r="AA22">
        <v>880.7</v>
      </c>
      <c r="AD22" t="s">
        <v>1122</v>
      </c>
      <c r="AE22">
        <v>110000</v>
      </c>
      <c r="AK22">
        <v>3</v>
      </c>
      <c r="AL22" t="s">
        <v>1171</v>
      </c>
      <c r="AM22" t="s">
        <v>54</v>
      </c>
      <c r="AO22" t="s">
        <v>1236</v>
      </c>
      <c r="AP22" t="s">
        <v>1238</v>
      </c>
      <c r="AR22" t="s">
        <v>683</v>
      </c>
      <c r="AT22" t="s">
        <v>1263</v>
      </c>
      <c r="AW22" t="s">
        <v>1279</v>
      </c>
    </row>
    <row r="23" spans="1:49">
      <c r="A23" s="1">
        <f>HYPERLINK("https://lsnyc.legalserver.org/matter/dynamic-profile/view/1903526","19-1903526")</f>
        <v>0</v>
      </c>
      <c r="B23" t="s">
        <v>50</v>
      </c>
      <c r="C23" t="s">
        <v>112</v>
      </c>
      <c r="D23" t="s">
        <v>285</v>
      </c>
      <c r="E23" t="s">
        <v>442</v>
      </c>
      <c r="G23" t="s">
        <v>677</v>
      </c>
      <c r="H23">
        <v>10473</v>
      </c>
      <c r="I23" t="s">
        <v>683</v>
      </c>
      <c r="O23">
        <v>0</v>
      </c>
      <c r="R23" t="s">
        <v>785</v>
      </c>
      <c r="T23" t="s">
        <v>970</v>
      </c>
      <c r="U23">
        <v>0</v>
      </c>
      <c r="X23">
        <v>0</v>
      </c>
      <c r="Y23">
        <v>1</v>
      </c>
      <c r="Z23">
        <v>2</v>
      </c>
      <c r="AA23">
        <v>539.15</v>
      </c>
      <c r="AD23" t="s">
        <v>1122</v>
      </c>
      <c r="AE23">
        <v>115000</v>
      </c>
      <c r="AK23">
        <v>2.5</v>
      </c>
      <c r="AL23" t="s">
        <v>1172</v>
      </c>
      <c r="AM23" t="s">
        <v>50</v>
      </c>
      <c r="AO23" t="s">
        <v>1236</v>
      </c>
      <c r="AP23" t="s">
        <v>1199</v>
      </c>
      <c r="AR23" t="s">
        <v>683</v>
      </c>
      <c r="AT23" t="s">
        <v>1263</v>
      </c>
      <c r="AW23" t="s">
        <v>1280</v>
      </c>
    </row>
    <row r="24" spans="1:49">
      <c r="A24" s="1">
        <f>HYPERLINK("https://lsnyc.legalserver.org/matter/dynamic-profile/view/1904572","19-1904572")</f>
        <v>0</v>
      </c>
      <c r="B24" t="s">
        <v>50</v>
      </c>
      <c r="C24" t="s">
        <v>128</v>
      </c>
      <c r="D24" t="s">
        <v>286</v>
      </c>
      <c r="E24" t="s">
        <v>443</v>
      </c>
      <c r="G24" t="s">
        <v>677</v>
      </c>
      <c r="H24">
        <v>10466</v>
      </c>
      <c r="I24" t="s">
        <v>683</v>
      </c>
      <c r="O24">
        <v>0</v>
      </c>
      <c r="R24" t="s">
        <v>786</v>
      </c>
      <c r="T24" t="s">
        <v>971</v>
      </c>
      <c r="U24">
        <v>0</v>
      </c>
      <c r="X24">
        <v>0</v>
      </c>
      <c r="Y24">
        <v>2</v>
      </c>
      <c r="Z24">
        <v>2</v>
      </c>
      <c r="AA24">
        <v>0</v>
      </c>
      <c r="AD24" t="s">
        <v>1122</v>
      </c>
      <c r="AE24">
        <v>0</v>
      </c>
      <c r="AK24">
        <v>3.5</v>
      </c>
      <c r="AL24" t="s">
        <v>1173</v>
      </c>
      <c r="AM24" t="s">
        <v>54</v>
      </c>
      <c r="AO24" t="s">
        <v>1236</v>
      </c>
      <c r="AP24" t="s">
        <v>1176</v>
      </c>
      <c r="AR24" t="s">
        <v>683</v>
      </c>
      <c r="AT24" t="s">
        <v>1263</v>
      </c>
      <c r="AW24" t="s">
        <v>1279</v>
      </c>
    </row>
    <row r="25" spans="1:49">
      <c r="A25" s="1">
        <f>HYPERLINK("https://lsnyc.legalserver.org/matter/dynamic-profile/view/1905223","19-1905223")</f>
        <v>0</v>
      </c>
      <c r="B25" t="s">
        <v>50</v>
      </c>
      <c r="C25" t="s">
        <v>129</v>
      </c>
      <c r="D25" t="s">
        <v>287</v>
      </c>
      <c r="E25" t="s">
        <v>444</v>
      </c>
      <c r="G25" t="s">
        <v>677</v>
      </c>
      <c r="H25">
        <v>10469</v>
      </c>
      <c r="I25" t="s">
        <v>683</v>
      </c>
      <c r="O25">
        <v>0</v>
      </c>
      <c r="R25" t="s">
        <v>787</v>
      </c>
      <c r="T25" t="s">
        <v>972</v>
      </c>
      <c r="U25">
        <v>0</v>
      </c>
      <c r="X25">
        <v>0</v>
      </c>
      <c r="Y25">
        <v>3</v>
      </c>
      <c r="Z25">
        <v>0</v>
      </c>
      <c r="AA25">
        <v>291.14</v>
      </c>
      <c r="AD25" t="s">
        <v>1122</v>
      </c>
      <c r="AE25">
        <v>62100</v>
      </c>
      <c r="AK25">
        <v>4</v>
      </c>
      <c r="AL25" t="s">
        <v>1160</v>
      </c>
      <c r="AM25" t="s">
        <v>54</v>
      </c>
      <c r="AO25" t="s">
        <v>1236</v>
      </c>
      <c r="AP25" t="s">
        <v>1166</v>
      </c>
      <c r="AR25" t="s">
        <v>683</v>
      </c>
      <c r="AT25" t="s">
        <v>1263</v>
      </c>
      <c r="AW25" t="s">
        <v>1279</v>
      </c>
    </row>
    <row r="26" spans="1:49">
      <c r="A26" s="1">
        <f>HYPERLINK("https://lsnyc.legalserver.org/matter/dynamic-profile/view/1904548","19-1904548")</f>
        <v>0</v>
      </c>
      <c r="B26" t="s">
        <v>50</v>
      </c>
      <c r="C26" t="s">
        <v>130</v>
      </c>
      <c r="D26" t="s">
        <v>288</v>
      </c>
      <c r="E26" t="s">
        <v>445</v>
      </c>
      <c r="F26" t="s">
        <v>600</v>
      </c>
      <c r="G26" t="s">
        <v>677</v>
      </c>
      <c r="H26">
        <v>10467</v>
      </c>
      <c r="I26" t="s">
        <v>683</v>
      </c>
      <c r="O26">
        <v>0</v>
      </c>
      <c r="R26" t="s">
        <v>788</v>
      </c>
      <c r="T26" t="s">
        <v>973</v>
      </c>
      <c r="U26">
        <v>0</v>
      </c>
      <c r="X26">
        <v>0</v>
      </c>
      <c r="Y26">
        <v>1</v>
      </c>
      <c r="Z26">
        <v>0</v>
      </c>
      <c r="AA26">
        <v>8.01</v>
      </c>
      <c r="AE26">
        <v>1000</v>
      </c>
      <c r="AK26">
        <v>0</v>
      </c>
      <c r="AM26" t="s">
        <v>54</v>
      </c>
      <c r="AO26" t="s">
        <v>1236</v>
      </c>
      <c r="AP26" t="s">
        <v>1176</v>
      </c>
      <c r="AR26" t="s">
        <v>683</v>
      </c>
      <c r="AT26" t="s">
        <v>1263</v>
      </c>
      <c r="AW26" t="s">
        <v>1279</v>
      </c>
    </row>
    <row r="27" spans="1:49">
      <c r="A27" s="1">
        <f>HYPERLINK("https://lsnyc.legalserver.org/matter/dynamic-profile/view/1898770","19-1898770")</f>
        <v>0</v>
      </c>
      <c r="B27" t="s">
        <v>50</v>
      </c>
      <c r="C27" t="s">
        <v>131</v>
      </c>
      <c r="D27" t="s">
        <v>289</v>
      </c>
      <c r="E27" t="s">
        <v>446</v>
      </c>
      <c r="F27">
        <v>1</v>
      </c>
      <c r="G27" t="s">
        <v>677</v>
      </c>
      <c r="H27">
        <v>10473</v>
      </c>
      <c r="I27" t="s">
        <v>683</v>
      </c>
      <c r="O27">
        <v>0</v>
      </c>
      <c r="R27" t="s">
        <v>789</v>
      </c>
      <c r="T27" t="s">
        <v>974</v>
      </c>
      <c r="U27">
        <v>0</v>
      </c>
      <c r="X27">
        <v>0</v>
      </c>
      <c r="Y27">
        <v>5</v>
      </c>
      <c r="Z27">
        <v>0</v>
      </c>
      <c r="AA27">
        <v>263.04</v>
      </c>
      <c r="AD27" t="s">
        <v>1123</v>
      </c>
      <c r="AE27">
        <v>79360</v>
      </c>
      <c r="AK27">
        <v>4</v>
      </c>
      <c r="AL27" t="s">
        <v>1174</v>
      </c>
      <c r="AM27" t="s">
        <v>54</v>
      </c>
      <c r="AO27" t="s">
        <v>1236</v>
      </c>
      <c r="AP27" t="s">
        <v>1192</v>
      </c>
      <c r="AR27" t="s">
        <v>683</v>
      </c>
      <c r="AT27" t="s">
        <v>1263</v>
      </c>
      <c r="AW27" t="s">
        <v>1279</v>
      </c>
    </row>
    <row r="28" spans="1:49">
      <c r="A28" s="1">
        <f>HYPERLINK("https://lsnyc.legalserver.org/matter/dynamic-profile/view/1902874","19-1902874")</f>
        <v>0</v>
      </c>
      <c r="B28" t="s">
        <v>50</v>
      </c>
      <c r="C28" t="s">
        <v>132</v>
      </c>
      <c r="D28" t="s">
        <v>290</v>
      </c>
      <c r="E28" t="s">
        <v>447</v>
      </c>
      <c r="G28" t="s">
        <v>677</v>
      </c>
      <c r="H28">
        <v>10475</v>
      </c>
      <c r="I28" t="s">
        <v>683</v>
      </c>
      <c r="O28">
        <v>0</v>
      </c>
      <c r="R28" t="s">
        <v>790</v>
      </c>
      <c r="T28" t="s">
        <v>975</v>
      </c>
      <c r="U28">
        <v>0</v>
      </c>
      <c r="X28">
        <v>0</v>
      </c>
      <c r="Y28">
        <v>2</v>
      </c>
      <c r="Z28">
        <v>0</v>
      </c>
      <c r="AA28">
        <v>312.24</v>
      </c>
      <c r="AE28">
        <v>52800</v>
      </c>
      <c r="AK28">
        <v>2</v>
      </c>
      <c r="AL28" t="s">
        <v>1163</v>
      </c>
      <c r="AM28" t="s">
        <v>54</v>
      </c>
      <c r="AO28" t="s">
        <v>1236</v>
      </c>
      <c r="AP28" t="s">
        <v>1178</v>
      </c>
      <c r="AR28" t="s">
        <v>683</v>
      </c>
      <c r="AT28" t="s">
        <v>1263</v>
      </c>
      <c r="AW28" t="s">
        <v>1279</v>
      </c>
    </row>
    <row r="29" spans="1:49">
      <c r="A29" s="1">
        <f>HYPERLINK("https://lsnyc.legalserver.org/matter/dynamic-profile/view/1901075","19-1901075")</f>
        <v>0</v>
      </c>
      <c r="B29" t="s">
        <v>51</v>
      </c>
      <c r="C29" t="s">
        <v>133</v>
      </c>
      <c r="D29" t="s">
        <v>291</v>
      </c>
      <c r="E29" t="s">
        <v>448</v>
      </c>
      <c r="F29" t="s">
        <v>601</v>
      </c>
      <c r="G29" t="s">
        <v>677</v>
      </c>
      <c r="H29">
        <v>10462</v>
      </c>
      <c r="I29" t="s">
        <v>683</v>
      </c>
      <c r="O29">
        <v>0</v>
      </c>
      <c r="R29" t="s">
        <v>791</v>
      </c>
      <c r="T29" t="s">
        <v>976</v>
      </c>
      <c r="U29">
        <v>0</v>
      </c>
      <c r="X29">
        <v>0</v>
      </c>
      <c r="Y29">
        <v>2</v>
      </c>
      <c r="Z29">
        <v>0</v>
      </c>
      <c r="AA29">
        <v>92.81999999999999</v>
      </c>
      <c r="AD29" t="s">
        <v>1122</v>
      </c>
      <c r="AE29">
        <v>15696</v>
      </c>
      <c r="AK29">
        <v>3.5</v>
      </c>
      <c r="AL29" t="s">
        <v>1158</v>
      </c>
      <c r="AM29" t="s">
        <v>54</v>
      </c>
      <c r="AO29" t="s">
        <v>1236</v>
      </c>
      <c r="AP29" t="s">
        <v>1185</v>
      </c>
      <c r="AR29" t="s">
        <v>683</v>
      </c>
      <c r="AT29" t="s">
        <v>1263</v>
      </c>
      <c r="AW29" t="s">
        <v>1279</v>
      </c>
    </row>
    <row r="30" spans="1:49">
      <c r="A30" s="1">
        <f>HYPERLINK("https://lsnyc.legalserver.org/matter/dynamic-profile/view/1901081","19-1901081")</f>
        <v>0</v>
      </c>
      <c r="B30" t="s">
        <v>51</v>
      </c>
      <c r="C30" t="s">
        <v>134</v>
      </c>
      <c r="D30" t="s">
        <v>292</v>
      </c>
      <c r="E30" t="s">
        <v>449</v>
      </c>
      <c r="F30" t="s">
        <v>602</v>
      </c>
      <c r="G30" t="s">
        <v>677</v>
      </c>
      <c r="H30">
        <v>10469</v>
      </c>
      <c r="I30" t="s">
        <v>683</v>
      </c>
      <c r="O30">
        <v>0</v>
      </c>
      <c r="R30" t="s">
        <v>792</v>
      </c>
      <c r="T30" t="s">
        <v>977</v>
      </c>
      <c r="U30">
        <v>0</v>
      </c>
      <c r="X30">
        <v>0</v>
      </c>
      <c r="Y30">
        <v>2</v>
      </c>
      <c r="Z30">
        <v>2</v>
      </c>
      <c r="AA30">
        <v>120.89</v>
      </c>
      <c r="AD30" t="s">
        <v>1122</v>
      </c>
      <c r="AE30">
        <v>31128</v>
      </c>
      <c r="AK30">
        <v>4.5</v>
      </c>
      <c r="AL30" t="s">
        <v>1173</v>
      </c>
      <c r="AM30" t="s">
        <v>54</v>
      </c>
      <c r="AO30" t="s">
        <v>1236</v>
      </c>
      <c r="AP30" t="s">
        <v>1185</v>
      </c>
      <c r="AR30" t="s">
        <v>683</v>
      </c>
      <c r="AT30" t="s">
        <v>1263</v>
      </c>
      <c r="AW30" t="s">
        <v>1279</v>
      </c>
    </row>
    <row r="31" spans="1:49">
      <c r="A31" s="1">
        <f>HYPERLINK("https://lsnyc.legalserver.org/matter/dynamic-profile/view/1902840","19-1902840")</f>
        <v>0</v>
      </c>
      <c r="B31" t="s">
        <v>53</v>
      </c>
      <c r="C31" t="s">
        <v>135</v>
      </c>
      <c r="D31" t="s">
        <v>293</v>
      </c>
      <c r="E31" t="s">
        <v>450</v>
      </c>
      <c r="G31" t="s">
        <v>677</v>
      </c>
      <c r="H31">
        <v>10456</v>
      </c>
      <c r="I31" t="s">
        <v>683</v>
      </c>
      <c r="O31">
        <v>0</v>
      </c>
      <c r="R31" t="s">
        <v>793</v>
      </c>
      <c r="T31" t="s">
        <v>978</v>
      </c>
      <c r="U31">
        <v>0</v>
      </c>
      <c r="X31">
        <v>0</v>
      </c>
      <c r="Y31">
        <v>2</v>
      </c>
      <c r="Z31">
        <v>0</v>
      </c>
      <c r="AA31">
        <v>211.76</v>
      </c>
      <c r="AD31" t="s">
        <v>1122</v>
      </c>
      <c r="AE31">
        <v>35808</v>
      </c>
      <c r="AK31">
        <v>5.75</v>
      </c>
      <c r="AL31" t="s">
        <v>1166</v>
      </c>
      <c r="AM31" t="s">
        <v>54</v>
      </c>
      <c r="AO31" t="s">
        <v>1236</v>
      </c>
      <c r="AP31" t="s">
        <v>1178</v>
      </c>
      <c r="AR31" t="s">
        <v>683</v>
      </c>
      <c r="AT31" t="s">
        <v>1263</v>
      </c>
      <c r="AW31" t="s">
        <v>1280</v>
      </c>
    </row>
    <row r="32" spans="1:49">
      <c r="A32" s="1">
        <f>HYPERLINK("https://lsnyc.legalserver.org/matter/dynamic-profile/view/1903564","19-1903564")</f>
        <v>0</v>
      </c>
      <c r="B32" t="s">
        <v>50</v>
      </c>
      <c r="C32" t="s">
        <v>136</v>
      </c>
      <c r="D32" t="s">
        <v>294</v>
      </c>
      <c r="E32" t="s">
        <v>451</v>
      </c>
      <c r="G32" t="s">
        <v>677</v>
      </c>
      <c r="H32">
        <v>10473</v>
      </c>
      <c r="I32" t="s">
        <v>683</v>
      </c>
      <c r="O32">
        <v>0</v>
      </c>
      <c r="R32" t="s">
        <v>794</v>
      </c>
      <c r="T32" t="s">
        <v>979</v>
      </c>
      <c r="U32">
        <v>0</v>
      </c>
      <c r="X32">
        <v>0</v>
      </c>
      <c r="Y32">
        <v>3</v>
      </c>
      <c r="Z32">
        <v>2</v>
      </c>
      <c r="AA32">
        <v>183.71</v>
      </c>
      <c r="AD32" t="s">
        <v>1122</v>
      </c>
      <c r="AE32">
        <v>55424</v>
      </c>
      <c r="AK32">
        <v>2.5</v>
      </c>
      <c r="AL32" t="s">
        <v>1172</v>
      </c>
      <c r="AM32" t="s">
        <v>50</v>
      </c>
      <c r="AO32" t="s">
        <v>1236</v>
      </c>
      <c r="AP32" t="s">
        <v>1199</v>
      </c>
      <c r="AR32" t="s">
        <v>683</v>
      </c>
      <c r="AT32" t="s">
        <v>1263</v>
      </c>
      <c r="AW32" t="s">
        <v>1279</v>
      </c>
    </row>
    <row r="33" spans="1:49">
      <c r="A33" s="1">
        <f>HYPERLINK("https://lsnyc.legalserver.org/matter/dynamic-profile/view/1904511","19-1904511")</f>
        <v>0</v>
      </c>
      <c r="B33" t="s">
        <v>51</v>
      </c>
      <c r="C33" t="s">
        <v>137</v>
      </c>
      <c r="D33" t="s">
        <v>295</v>
      </c>
      <c r="E33" t="s">
        <v>452</v>
      </c>
      <c r="F33" t="s">
        <v>603</v>
      </c>
      <c r="G33" t="s">
        <v>677</v>
      </c>
      <c r="H33">
        <v>10461</v>
      </c>
      <c r="I33" t="s">
        <v>683</v>
      </c>
      <c r="O33">
        <v>0</v>
      </c>
      <c r="R33" t="s">
        <v>795</v>
      </c>
      <c r="T33" t="s">
        <v>980</v>
      </c>
      <c r="U33">
        <v>0</v>
      </c>
      <c r="X33">
        <v>0</v>
      </c>
      <c r="Y33">
        <v>1</v>
      </c>
      <c r="Z33">
        <v>0</v>
      </c>
      <c r="AA33">
        <v>228.7</v>
      </c>
      <c r="AE33">
        <v>28564.08</v>
      </c>
      <c r="AK33">
        <v>8.5</v>
      </c>
      <c r="AL33" t="s">
        <v>1175</v>
      </c>
      <c r="AM33" t="s">
        <v>54</v>
      </c>
      <c r="AO33" t="s">
        <v>1236</v>
      </c>
      <c r="AP33" t="s">
        <v>1176</v>
      </c>
      <c r="AR33" t="s">
        <v>683</v>
      </c>
      <c r="AT33" t="s">
        <v>1263</v>
      </c>
      <c r="AW33" t="s">
        <v>1279</v>
      </c>
    </row>
    <row r="34" spans="1:49">
      <c r="A34" s="1">
        <f>HYPERLINK("https://lsnyc.legalserver.org/matter/dynamic-profile/view/1902287","19-1902287")</f>
        <v>0</v>
      </c>
      <c r="B34" t="s">
        <v>50</v>
      </c>
      <c r="C34" t="s">
        <v>138</v>
      </c>
      <c r="D34" t="s">
        <v>296</v>
      </c>
      <c r="E34" t="s">
        <v>453</v>
      </c>
      <c r="F34" t="s">
        <v>604</v>
      </c>
      <c r="G34" t="s">
        <v>677</v>
      </c>
      <c r="H34">
        <v>10472</v>
      </c>
      <c r="I34" t="s">
        <v>683</v>
      </c>
      <c r="O34">
        <v>0</v>
      </c>
      <c r="R34" t="s">
        <v>796</v>
      </c>
      <c r="T34" t="s">
        <v>981</v>
      </c>
      <c r="U34">
        <v>0</v>
      </c>
      <c r="X34">
        <v>0</v>
      </c>
      <c r="Y34">
        <v>2</v>
      </c>
      <c r="Z34">
        <v>0</v>
      </c>
      <c r="AA34">
        <v>0</v>
      </c>
      <c r="AD34" t="s">
        <v>1122</v>
      </c>
      <c r="AE34">
        <v>0</v>
      </c>
      <c r="AK34">
        <v>4.5</v>
      </c>
      <c r="AL34" t="s">
        <v>1162</v>
      </c>
      <c r="AM34" t="s">
        <v>54</v>
      </c>
      <c r="AO34" t="s">
        <v>1236</v>
      </c>
      <c r="AP34" t="s">
        <v>1194</v>
      </c>
      <c r="AR34" t="s">
        <v>683</v>
      </c>
      <c r="AT34" t="s">
        <v>1263</v>
      </c>
      <c r="AW34" t="s">
        <v>1279</v>
      </c>
    </row>
    <row r="35" spans="1:49">
      <c r="A35" s="1">
        <f>HYPERLINK("https://lsnyc.legalserver.org/matter/dynamic-profile/view/1905216","19-1905216")</f>
        <v>0</v>
      </c>
      <c r="B35" t="s">
        <v>50</v>
      </c>
      <c r="C35" t="s">
        <v>139</v>
      </c>
      <c r="D35" t="s">
        <v>297</v>
      </c>
      <c r="E35" t="s">
        <v>454</v>
      </c>
      <c r="F35" t="s">
        <v>605</v>
      </c>
      <c r="G35" t="s">
        <v>677</v>
      </c>
      <c r="H35">
        <v>10473</v>
      </c>
      <c r="I35" t="s">
        <v>683</v>
      </c>
      <c r="O35">
        <v>0</v>
      </c>
      <c r="R35" t="s">
        <v>797</v>
      </c>
      <c r="T35" t="s">
        <v>982</v>
      </c>
      <c r="U35">
        <v>0</v>
      </c>
      <c r="X35">
        <v>0</v>
      </c>
      <c r="Y35">
        <v>1</v>
      </c>
      <c r="Z35">
        <v>1</v>
      </c>
      <c r="AA35">
        <v>172.21</v>
      </c>
      <c r="AD35" t="s">
        <v>1122</v>
      </c>
      <c r="AE35">
        <v>29120</v>
      </c>
      <c r="AK35">
        <v>4</v>
      </c>
      <c r="AL35" t="s">
        <v>1169</v>
      </c>
      <c r="AM35" t="s">
        <v>54</v>
      </c>
      <c r="AO35" t="s">
        <v>1236</v>
      </c>
      <c r="AP35" t="s">
        <v>1166</v>
      </c>
      <c r="AR35" t="s">
        <v>683</v>
      </c>
      <c r="AT35" t="s">
        <v>1263</v>
      </c>
      <c r="AW35" t="s">
        <v>1279</v>
      </c>
    </row>
    <row r="36" spans="1:49">
      <c r="A36" s="1">
        <f>HYPERLINK("https://lsnyc.legalserver.org/matter/dynamic-profile/view/1902341","19-1902341")</f>
        <v>0</v>
      </c>
      <c r="B36" t="s">
        <v>52</v>
      </c>
      <c r="C36" t="s">
        <v>140</v>
      </c>
      <c r="D36" t="s">
        <v>298</v>
      </c>
      <c r="E36" t="s">
        <v>455</v>
      </c>
      <c r="F36" t="s">
        <v>606</v>
      </c>
      <c r="G36" t="s">
        <v>677</v>
      </c>
      <c r="H36">
        <v>10462</v>
      </c>
      <c r="I36" t="s">
        <v>683</v>
      </c>
      <c r="O36">
        <v>0</v>
      </c>
      <c r="R36" t="s">
        <v>798</v>
      </c>
      <c r="T36" t="s">
        <v>983</v>
      </c>
      <c r="U36">
        <v>0</v>
      </c>
      <c r="X36">
        <v>0</v>
      </c>
      <c r="Y36">
        <v>1</v>
      </c>
      <c r="Z36">
        <v>2</v>
      </c>
      <c r="AA36">
        <v>234.41</v>
      </c>
      <c r="AD36" t="s">
        <v>1122</v>
      </c>
      <c r="AE36">
        <v>50000</v>
      </c>
      <c r="AK36">
        <v>13.5</v>
      </c>
      <c r="AL36" t="s">
        <v>1160</v>
      </c>
      <c r="AM36" t="s">
        <v>54</v>
      </c>
      <c r="AO36" t="s">
        <v>1236</v>
      </c>
      <c r="AP36" t="s">
        <v>1194</v>
      </c>
      <c r="AR36" t="s">
        <v>683</v>
      </c>
      <c r="AT36" t="s">
        <v>1263</v>
      </c>
      <c r="AW36" t="s">
        <v>1279</v>
      </c>
    </row>
    <row r="37" spans="1:49">
      <c r="A37" s="1">
        <f>HYPERLINK("https://lsnyc.legalserver.org/matter/dynamic-profile/view/1899393","19-1899393")</f>
        <v>0</v>
      </c>
      <c r="B37" t="s">
        <v>50</v>
      </c>
      <c r="C37" t="s">
        <v>141</v>
      </c>
      <c r="D37" t="s">
        <v>299</v>
      </c>
      <c r="E37" t="s">
        <v>456</v>
      </c>
      <c r="F37" t="s">
        <v>607</v>
      </c>
      <c r="G37" t="s">
        <v>677</v>
      </c>
      <c r="H37">
        <v>10462</v>
      </c>
      <c r="I37" t="s">
        <v>683</v>
      </c>
      <c r="O37">
        <v>0</v>
      </c>
      <c r="R37" t="s">
        <v>799</v>
      </c>
      <c r="T37" t="s">
        <v>984</v>
      </c>
      <c r="U37">
        <v>0</v>
      </c>
      <c r="X37">
        <v>0</v>
      </c>
      <c r="Y37">
        <v>1</v>
      </c>
      <c r="Z37">
        <v>0</v>
      </c>
      <c r="AA37">
        <v>113.82</v>
      </c>
      <c r="AD37" t="s">
        <v>1122</v>
      </c>
      <c r="AE37">
        <v>14216.02</v>
      </c>
      <c r="AK37">
        <v>4</v>
      </c>
      <c r="AL37" t="s">
        <v>1176</v>
      </c>
      <c r="AM37" t="s">
        <v>54</v>
      </c>
      <c r="AO37" t="s">
        <v>1236</v>
      </c>
      <c r="AP37" t="s">
        <v>1200</v>
      </c>
      <c r="AR37" t="s">
        <v>683</v>
      </c>
      <c r="AT37" t="s">
        <v>1263</v>
      </c>
      <c r="AW37" t="s">
        <v>1279</v>
      </c>
    </row>
    <row r="38" spans="1:49">
      <c r="A38" s="1">
        <f>HYPERLINK("https://lsnyc.legalserver.org/matter/dynamic-profile/view/1897991","19-1897991")</f>
        <v>0</v>
      </c>
      <c r="B38" t="s">
        <v>53</v>
      </c>
      <c r="C38" t="s">
        <v>142</v>
      </c>
      <c r="D38" t="s">
        <v>300</v>
      </c>
      <c r="E38" t="s">
        <v>457</v>
      </c>
      <c r="G38" t="s">
        <v>677</v>
      </c>
      <c r="H38">
        <v>10469</v>
      </c>
      <c r="I38" t="s">
        <v>683</v>
      </c>
      <c r="O38">
        <v>0</v>
      </c>
      <c r="R38" t="s">
        <v>800</v>
      </c>
      <c r="T38" t="s">
        <v>985</v>
      </c>
      <c r="U38">
        <v>0</v>
      </c>
      <c r="X38">
        <v>0</v>
      </c>
      <c r="Y38">
        <v>6</v>
      </c>
      <c r="Z38">
        <v>0</v>
      </c>
      <c r="AA38">
        <v>138.77</v>
      </c>
      <c r="AD38" t="s">
        <v>1122</v>
      </c>
      <c r="AE38">
        <v>48000</v>
      </c>
      <c r="AK38">
        <v>4.25</v>
      </c>
      <c r="AL38" t="s">
        <v>1158</v>
      </c>
      <c r="AM38" t="s">
        <v>54</v>
      </c>
      <c r="AO38" t="s">
        <v>1236</v>
      </c>
      <c r="AP38" t="s">
        <v>1202</v>
      </c>
      <c r="AR38" t="s">
        <v>683</v>
      </c>
      <c r="AT38" t="s">
        <v>1263</v>
      </c>
      <c r="AW38" t="s">
        <v>1279</v>
      </c>
    </row>
    <row r="39" spans="1:49">
      <c r="A39" s="1">
        <f>HYPERLINK("https://lsnyc.legalserver.org/matter/dynamic-profile/view/1900556","19-1900556")</f>
        <v>0</v>
      </c>
      <c r="B39" t="s">
        <v>53</v>
      </c>
      <c r="C39" t="s">
        <v>143</v>
      </c>
      <c r="D39" t="s">
        <v>301</v>
      </c>
      <c r="E39" t="s">
        <v>458</v>
      </c>
      <c r="F39" t="s">
        <v>608</v>
      </c>
      <c r="G39" t="s">
        <v>677</v>
      </c>
      <c r="H39">
        <v>10462</v>
      </c>
      <c r="I39" t="s">
        <v>683</v>
      </c>
      <c r="O39">
        <v>0</v>
      </c>
      <c r="R39" t="s">
        <v>801</v>
      </c>
      <c r="T39" t="s">
        <v>986</v>
      </c>
      <c r="U39">
        <v>0</v>
      </c>
      <c r="X39">
        <v>0</v>
      </c>
      <c r="Y39">
        <v>2</v>
      </c>
      <c r="Z39">
        <v>2</v>
      </c>
      <c r="AA39">
        <v>119.69</v>
      </c>
      <c r="AD39" t="s">
        <v>1122</v>
      </c>
      <c r="AE39">
        <v>30820</v>
      </c>
      <c r="AK39">
        <v>6.25</v>
      </c>
      <c r="AL39" t="s">
        <v>1169</v>
      </c>
      <c r="AM39" t="s">
        <v>1215</v>
      </c>
      <c r="AO39" t="s">
        <v>1236</v>
      </c>
      <c r="AP39" t="s">
        <v>1158</v>
      </c>
      <c r="AR39" t="s">
        <v>683</v>
      </c>
      <c r="AT39" t="s">
        <v>1263</v>
      </c>
      <c r="AW39" t="s">
        <v>1279</v>
      </c>
    </row>
    <row r="40" spans="1:49">
      <c r="A40" s="1">
        <f>HYPERLINK("https://lsnyc.legalserver.org/matter/dynamic-profile/view/1904529","19-1904529")</f>
        <v>0</v>
      </c>
      <c r="B40" t="s">
        <v>50</v>
      </c>
      <c r="C40" t="s">
        <v>144</v>
      </c>
      <c r="D40" t="s">
        <v>302</v>
      </c>
      <c r="E40" t="s">
        <v>459</v>
      </c>
      <c r="F40">
        <v>1</v>
      </c>
      <c r="G40" t="s">
        <v>677</v>
      </c>
      <c r="H40">
        <v>10466</v>
      </c>
      <c r="I40" t="s">
        <v>683</v>
      </c>
      <c r="O40">
        <v>0</v>
      </c>
      <c r="R40" t="s">
        <v>802</v>
      </c>
      <c r="T40" t="s">
        <v>987</v>
      </c>
      <c r="U40">
        <v>0</v>
      </c>
      <c r="X40">
        <v>0</v>
      </c>
      <c r="Y40">
        <v>1</v>
      </c>
      <c r="Z40">
        <v>0</v>
      </c>
      <c r="AA40">
        <v>803.84</v>
      </c>
      <c r="AD40" t="s">
        <v>1122</v>
      </c>
      <c r="AE40">
        <v>100400</v>
      </c>
      <c r="AK40">
        <v>4.5</v>
      </c>
      <c r="AL40" t="s">
        <v>1173</v>
      </c>
      <c r="AM40" t="s">
        <v>54</v>
      </c>
      <c r="AO40" t="s">
        <v>1236</v>
      </c>
      <c r="AP40" t="s">
        <v>1176</v>
      </c>
      <c r="AR40" t="s">
        <v>683</v>
      </c>
      <c r="AT40" t="s">
        <v>1263</v>
      </c>
      <c r="AW40" t="s">
        <v>1279</v>
      </c>
    </row>
    <row r="41" spans="1:49">
      <c r="A41" s="1">
        <f>HYPERLINK("https://lsnyc.legalserver.org/matter/dynamic-profile/view/1898788","19-1898788")</f>
        <v>0</v>
      </c>
      <c r="B41" t="s">
        <v>50</v>
      </c>
      <c r="C41" t="s">
        <v>145</v>
      </c>
      <c r="D41" t="s">
        <v>303</v>
      </c>
      <c r="E41" t="s">
        <v>460</v>
      </c>
      <c r="F41" t="s">
        <v>609</v>
      </c>
      <c r="G41" t="s">
        <v>677</v>
      </c>
      <c r="H41">
        <v>10462</v>
      </c>
      <c r="I41" t="s">
        <v>683</v>
      </c>
      <c r="O41">
        <v>0</v>
      </c>
      <c r="R41" t="s">
        <v>803</v>
      </c>
      <c r="T41" t="s">
        <v>988</v>
      </c>
      <c r="U41">
        <v>0</v>
      </c>
      <c r="X41">
        <v>0</v>
      </c>
      <c r="Y41">
        <v>2</v>
      </c>
      <c r="Z41">
        <v>0</v>
      </c>
      <c r="AA41">
        <v>354.82</v>
      </c>
      <c r="AD41" t="s">
        <v>1122</v>
      </c>
      <c r="AE41">
        <v>60000</v>
      </c>
      <c r="AK41">
        <v>4.5</v>
      </c>
      <c r="AL41" t="s">
        <v>1174</v>
      </c>
      <c r="AM41" t="s">
        <v>54</v>
      </c>
      <c r="AO41" t="s">
        <v>1236</v>
      </c>
      <c r="AP41" t="s">
        <v>1192</v>
      </c>
      <c r="AR41" t="s">
        <v>683</v>
      </c>
      <c r="AT41" t="s">
        <v>1263</v>
      </c>
      <c r="AW41" t="s">
        <v>1280</v>
      </c>
    </row>
    <row r="42" spans="1:49">
      <c r="A42" s="1">
        <f>HYPERLINK("https://lsnyc.legalserver.org/matter/dynamic-profile/view/1899320","19-1899320")</f>
        <v>0</v>
      </c>
      <c r="B42" t="s">
        <v>52</v>
      </c>
      <c r="C42" t="s">
        <v>120</v>
      </c>
      <c r="D42" t="s">
        <v>304</v>
      </c>
      <c r="E42" t="s">
        <v>461</v>
      </c>
      <c r="G42" t="s">
        <v>677</v>
      </c>
      <c r="H42">
        <v>10469</v>
      </c>
      <c r="I42" t="s">
        <v>683</v>
      </c>
      <c r="O42">
        <v>0</v>
      </c>
      <c r="R42" t="s">
        <v>804</v>
      </c>
      <c r="T42" t="s">
        <v>989</v>
      </c>
      <c r="U42">
        <v>0</v>
      </c>
      <c r="X42">
        <v>0</v>
      </c>
      <c r="Y42">
        <v>1</v>
      </c>
      <c r="Z42">
        <v>0</v>
      </c>
      <c r="AA42">
        <v>380.11</v>
      </c>
      <c r="AD42" t="s">
        <v>1122</v>
      </c>
      <c r="AE42">
        <v>47476</v>
      </c>
      <c r="AK42">
        <v>21.25</v>
      </c>
      <c r="AL42" t="s">
        <v>1166</v>
      </c>
      <c r="AM42" t="s">
        <v>54</v>
      </c>
      <c r="AO42" t="s">
        <v>1236</v>
      </c>
      <c r="AP42" t="s">
        <v>1200</v>
      </c>
      <c r="AR42" t="s">
        <v>683</v>
      </c>
      <c r="AT42" t="s">
        <v>1263</v>
      </c>
      <c r="AW42" t="s">
        <v>1279</v>
      </c>
    </row>
    <row r="43" spans="1:49">
      <c r="A43" s="1">
        <f>HYPERLINK("https://lsnyc.legalserver.org/matter/dynamic-profile/view/1899957","19-1899957")</f>
        <v>0</v>
      </c>
      <c r="B43" t="s">
        <v>50</v>
      </c>
      <c r="C43" t="s">
        <v>146</v>
      </c>
      <c r="D43" t="s">
        <v>305</v>
      </c>
      <c r="E43" t="s">
        <v>462</v>
      </c>
      <c r="F43" t="s">
        <v>610</v>
      </c>
      <c r="G43" t="s">
        <v>677</v>
      </c>
      <c r="H43">
        <v>10456</v>
      </c>
      <c r="I43" t="s">
        <v>683</v>
      </c>
      <c r="O43">
        <v>0</v>
      </c>
      <c r="R43" t="s">
        <v>805</v>
      </c>
      <c r="T43" t="s">
        <v>990</v>
      </c>
      <c r="U43">
        <v>0</v>
      </c>
      <c r="X43">
        <v>0</v>
      </c>
      <c r="Y43">
        <v>3</v>
      </c>
      <c r="Z43">
        <v>0</v>
      </c>
      <c r="AA43">
        <v>118.91</v>
      </c>
      <c r="AD43" t="s">
        <v>1122</v>
      </c>
      <c r="AE43">
        <v>25363.2</v>
      </c>
      <c r="AK43">
        <v>7.5</v>
      </c>
      <c r="AL43" t="s">
        <v>1177</v>
      </c>
      <c r="AM43" t="s">
        <v>54</v>
      </c>
      <c r="AO43" t="s">
        <v>1236</v>
      </c>
      <c r="AP43" t="s">
        <v>1183</v>
      </c>
      <c r="AR43" t="s">
        <v>683</v>
      </c>
      <c r="AT43" t="s">
        <v>1263</v>
      </c>
      <c r="AW43" t="s">
        <v>1280</v>
      </c>
    </row>
    <row r="44" spans="1:49">
      <c r="A44" s="1">
        <f>HYPERLINK("https://lsnyc.legalserver.org/matter/dynamic-profile/view/1904492","19-1904492")</f>
        <v>0</v>
      </c>
      <c r="B44" t="s">
        <v>50</v>
      </c>
      <c r="C44" t="s">
        <v>147</v>
      </c>
      <c r="D44" t="s">
        <v>306</v>
      </c>
      <c r="E44" t="s">
        <v>463</v>
      </c>
      <c r="F44">
        <v>1</v>
      </c>
      <c r="G44" t="s">
        <v>677</v>
      </c>
      <c r="H44">
        <v>10467</v>
      </c>
      <c r="I44" t="s">
        <v>683</v>
      </c>
      <c r="O44">
        <v>0</v>
      </c>
      <c r="R44" t="s">
        <v>806</v>
      </c>
      <c r="T44" t="s">
        <v>991</v>
      </c>
      <c r="U44">
        <v>0</v>
      </c>
      <c r="X44">
        <v>0</v>
      </c>
      <c r="Y44">
        <v>1</v>
      </c>
      <c r="Z44">
        <v>0</v>
      </c>
      <c r="AA44">
        <v>886.89</v>
      </c>
      <c r="AD44" t="s">
        <v>1122</v>
      </c>
      <c r="AE44">
        <v>110772</v>
      </c>
      <c r="AK44">
        <v>5.5</v>
      </c>
      <c r="AL44" t="s">
        <v>1173</v>
      </c>
      <c r="AM44" t="s">
        <v>54</v>
      </c>
      <c r="AO44" t="s">
        <v>1236</v>
      </c>
      <c r="AP44" t="s">
        <v>1176</v>
      </c>
      <c r="AR44" t="s">
        <v>683</v>
      </c>
      <c r="AT44" t="s">
        <v>1263</v>
      </c>
      <c r="AW44" t="s">
        <v>1280</v>
      </c>
    </row>
    <row r="45" spans="1:49">
      <c r="A45" s="1">
        <f>HYPERLINK("https://lsnyc.legalserver.org/matter/dynamic-profile/view/1896936","19-1896936")</f>
        <v>0</v>
      </c>
      <c r="B45" t="s">
        <v>54</v>
      </c>
      <c r="C45" t="s">
        <v>148</v>
      </c>
      <c r="D45" t="s">
        <v>307</v>
      </c>
      <c r="E45" t="s">
        <v>464</v>
      </c>
      <c r="G45" t="s">
        <v>677</v>
      </c>
      <c r="H45">
        <v>10469</v>
      </c>
      <c r="I45" t="s">
        <v>683</v>
      </c>
      <c r="O45">
        <v>0</v>
      </c>
      <c r="R45" t="s">
        <v>807</v>
      </c>
      <c r="T45" t="s">
        <v>992</v>
      </c>
      <c r="U45">
        <v>0</v>
      </c>
      <c r="X45">
        <v>0</v>
      </c>
      <c r="Y45">
        <v>1</v>
      </c>
      <c r="Z45">
        <v>0</v>
      </c>
      <c r="AA45">
        <v>240.19</v>
      </c>
      <c r="AD45" t="s">
        <v>1122</v>
      </c>
      <c r="AE45">
        <v>30000</v>
      </c>
      <c r="AK45">
        <v>6</v>
      </c>
      <c r="AL45" t="s">
        <v>1178</v>
      </c>
      <c r="AM45" t="s">
        <v>1216</v>
      </c>
      <c r="AO45" t="s">
        <v>1236</v>
      </c>
      <c r="AP45" t="s">
        <v>1240</v>
      </c>
      <c r="AR45" t="s">
        <v>683</v>
      </c>
      <c r="AT45" t="s">
        <v>1263</v>
      </c>
      <c r="AW45" t="s">
        <v>1279</v>
      </c>
    </row>
    <row r="46" spans="1:49">
      <c r="A46" s="1">
        <f>HYPERLINK("https://lsnyc.legalserver.org/matter/dynamic-profile/view/1902884","19-1902884")</f>
        <v>0</v>
      </c>
      <c r="B46" t="s">
        <v>50</v>
      </c>
      <c r="C46" t="s">
        <v>149</v>
      </c>
      <c r="D46" t="s">
        <v>308</v>
      </c>
      <c r="E46" t="s">
        <v>465</v>
      </c>
      <c r="G46" t="s">
        <v>677</v>
      </c>
      <c r="H46">
        <v>10452</v>
      </c>
      <c r="I46" t="s">
        <v>683</v>
      </c>
      <c r="O46">
        <v>0</v>
      </c>
      <c r="R46" t="s">
        <v>808</v>
      </c>
      <c r="T46" t="s">
        <v>993</v>
      </c>
      <c r="U46">
        <v>0</v>
      </c>
      <c r="X46">
        <v>0</v>
      </c>
      <c r="Y46">
        <v>1</v>
      </c>
      <c r="Z46">
        <v>0</v>
      </c>
      <c r="AA46">
        <v>220.98</v>
      </c>
      <c r="AD46" t="s">
        <v>1122</v>
      </c>
      <c r="AE46">
        <v>27600</v>
      </c>
      <c r="AK46">
        <v>4</v>
      </c>
      <c r="AL46" t="s">
        <v>1162</v>
      </c>
      <c r="AM46" t="s">
        <v>54</v>
      </c>
      <c r="AO46" t="s">
        <v>1236</v>
      </c>
      <c r="AP46" t="s">
        <v>1178</v>
      </c>
      <c r="AR46" t="s">
        <v>683</v>
      </c>
      <c r="AT46" t="s">
        <v>1263</v>
      </c>
      <c r="AW46" t="s">
        <v>1280</v>
      </c>
    </row>
    <row r="47" spans="1:49">
      <c r="A47" s="1">
        <f>HYPERLINK("https://lsnyc.legalserver.org/matter/dynamic-profile/view/1905870","19-1905870")</f>
        <v>0</v>
      </c>
      <c r="B47" t="s">
        <v>50</v>
      </c>
      <c r="C47" t="s">
        <v>150</v>
      </c>
      <c r="D47" t="s">
        <v>309</v>
      </c>
      <c r="E47" t="s">
        <v>466</v>
      </c>
      <c r="G47" t="s">
        <v>677</v>
      </c>
      <c r="H47">
        <v>10469</v>
      </c>
      <c r="I47" t="s">
        <v>683</v>
      </c>
      <c r="O47">
        <v>0</v>
      </c>
      <c r="R47" t="s">
        <v>809</v>
      </c>
      <c r="T47" t="s">
        <v>994</v>
      </c>
      <c r="U47">
        <v>0</v>
      </c>
      <c r="X47">
        <v>0</v>
      </c>
      <c r="Y47">
        <v>6</v>
      </c>
      <c r="Z47">
        <v>0</v>
      </c>
      <c r="AA47">
        <v>225.5</v>
      </c>
      <c r="AD47" t="s">
        <v>1122</v>
      </c>
      <c r="AE47">
        <v>78000</v>
      </c>
      <c r="AK47">
        <v>2</v>
      </c>
      <c r="AL47" t="s">
        <v>1179</v>
      </c>
      <c r="AM47" t="s">
        <v>54</v>
      </c>
      <c r="AO47" t="s">
        <v>1236</v>
      </c>
      <c r="AP47" t="s">
        <v>1179</v>
      </c>
      <c r="AR47" t="s">
        <v>683</v>
      </c>
      <c r="AT47" t="s">
        <v>1263</v>
      </c>
      <c r="AW47" t="s">
        <v>1279</v>
      </c>
    </row>
    <row r="48" spans="1:49">
      <c r="A48" s="1">
        <f>HYPERLINK("https://lsnyc.legalserver.org/matter/dynamic-profile/view/1905841","19-1905841")</f>
        <v>0</v>
      </c>
      <c r="B48" t="s">
        <v>50</v>
      </c>
      <c r="C48" t="s">
        <v>151</v>
      </c>
      <c r="D48" t="s">
        <v>310</v>
      </c>
      <c r="E48" t="s">
        <v>467</v>
      </c>
      <c r="G48" t="s">
        <v>677</v>
      </c>
      <c r="H48">
        <v>10466</v>
      </c>
      <c r="I48" t="s">
        <v>683</v>
      </c>
      <c r="O48">
        <v>0</v>
      </c>
      <c r="R48" t="s">
        <v>810</v>
      </c>
      <c r="T48" t="s">
        <v>995</v>
      </c>
      <c r="U48">
        <v>0</v>
      </c>
      <c r="X48">
        <v>0</v>
      </c>
      <c r="Y48">
        <v>1</v>
      </c>
      <c r="Z48">
        <v>0</v>
      </c>
      <c r="AA48">
        <v>334.35</v>
      </c>
      <c r="AD48" t="s">
        <v>1122</v>
      </c>
      <c r="AE48">
        <v>41760</v>
      </c>
      <c r="AK48">
        <v>2.8</v>
      </c>
      <c r="AL48" t="s">
        <v>1170</v>
      </c>
      <c r="AM48" t="s">
        <v>54</v>
      </c>
      <c r="AO48" t="s">
        <v>1236</v>
      </c>
      <c r="AP48" t="s">
        <v>1179</v>
      </c>
      <c r="AR48" t="s">
        <v>683</v>
      </c>
      <c r="AT48" t="s">
        <v>1263</v>
      </c>
      <c r="AW48" t="s">
        <v>1279</v>
      </c>
    </row>
    <row r="49" spans="1:49">
      <c r="A49" s="1">
        <f>HYPERLINK("https://lsnyc.legalserver.org/matter/dynamic-profile/view/1901739","19-1901739")</f>
        <v>0</v>
      </c>
      <c r="B49" t="s">
        <v>52</v>
      </c>
      <c r="C49" t="s">
        <v>152</v>
      </c>
      <c r="D49" t="s">
        <v>311</v>
      </c>
      <c r="E49" t="s">
        <v>468</v>
      </c>
      <c r="G49" t="s">
        <v>677</v>
      </c>
      <c r="H49">
        <v>10466</v>
      </c>
      <c r="I49" t="s">
        <v>683</v>
      </c>
      <c r="O49">
        <v>0</v>
      </c>
      <c r="R49" t="s">
        <v>811</v>
      </c>
      <c r="T49" t="s">
        <v>996</v>
      </c>
      <c r="U49">
        <v>0</v>
      </c>
      <c r="X49">
        <v>0</v>
      </c>
      <c r="Y49">
        <v>2</v>
      </c>
      <c r="Z49">
        <v>0</v>
      </c>
      <c r="AA49">
        <v>199.48</v>
      </c>
      <c r="AD49" t="s">
        <v>1123</v>
      </c>
      <c r="AE49">
        <v>33732</v>
      </c>
      <c r="AK49">
        <v>7</v>
      </c>
      <c r="AL49" t="s">
        <v>1160</v>
      </c>
      <c r="AM49" t="s">
        <v>54</v>
      </c>
      <c r="AO49" t="s">
        <v>1236</v>
      </c>
      <c r="AP49" t="s">
        <v>1177</v>
      </c>
      <c r="AR49" t="s">
        <v>683</v>
      </c>
      <c r="AT49" t="s">
        <v>1263</v>
      </c>
      <c r="AW49" t="s">
        <v>1279</v>
      </c>
    </row>
    <row r="50" spans="1:49">
      <c r="A50" s="1">
        <f>HYPERLINK("https://lsnyc.legalserver.org/matter/dynamic-profile/view/1900056","19-1900056")</f>
        <v>0</v>
      </c>
      <c r="B50" t="s">
        <v>50</v>
      </c>
      <c r="C50" t="s">
        <v>153</v>
      </c>
      <c r="D50" t="s">
        <v>312</v>
      </c>
      <c r="E50" t="s">
        <v>469</v>
      </c>
      <c r="F50" t="s">
        <v>611</v>
      </c>
      <c r="G50" t="s">
        <v>677</v>
      </c>
      <c r="H50">
        <v>10451</v>
      </c>
      <c r="I50" t="s">
        <v>683</v>
      </c>
      <c r="O50">
        <v>0</v>
      </c>
      <c r="R50" t="s">
        <v>812</v>
      </c>
      <c r="U50">
        <v>0</v>
      </c>
      <c r="X50">
        <v>0</v>
      </c>
      <c r="Y50">
        <v>1</v>
      </c>
      <c r="Z50">
        <v>0</v>
      </c>
      <c r="AA50">
        <v>0</v>
      </c>
      <c r="AD50" t="s">
        <v>1122</v>
      </c>
      <c r="AE50">
        <v>0</v>
      </c>
      <c r="AK50">
        <v>2.5</v>
      </c>
      <c r="AL50" t="s">
        <v>1162</v>
      </c>
      <c r="AM50" t="s">
        <v>54</v>
      </c>
      <c r="AO50" t="s">
        <v>1236</v>
      </c>
      <c r="AP50" t="s">
        <v>1183</v>
      </c>
      <c r="AR50" t="s">
        <v>683</v>
      </c>
      <c r="AT50" t="s">
        <v>1263</v>
      </c>
      <c r="AW50" t="s">
        <v>1280</v>
      </c>
    </row>
    <row r="51" spans="1:49">
      <c r="A51" s="1">
        <f>HYPERLINK("https://lsnyc.legalserver.org/matter/dynamic-profile/view/1895589","19-1895589")</f>
        <v>0</v>
      </c>
      <c r="B51" t="s">
        <v>55</v>
      </c>
      <c r="C51" t="s">
        <v>154</v>
      </c>
      <c r="D51" t="s">
        <v>313</v>
      </c>
      <c r="E51" t="s">
        <v>470</v>
      </c>
      <c r="G51" t="s">
        <v>677</v>
      </c>
      <c r="H51">
        <v>10462</v>
      </c>
      <c r="I51" t="s">
        <v>683</v>
      </c>
      <c r="J51" t="s">
        <v>686</v>
      </c>
      <c r="K51" t="s">
        <v>730</v>
      </c>
      <c r="L51" t="s">
        <v>738</v>
      </c>
      <c r="O51">
        <v>2500</v>
      </c>
      <c r="P51" t="s">
        <v>748</v>
      </c>
      <c r="Q51" t="s">
        <v>758</v>
      </c>
      <c r="R51" t="s">
        <v>813</v>
      </c>
      <c r="T51" t="s">
        <v>997</v>
      </c>
      <c r="U51">
        <v>0</v>
      </c>
      <c r="W51" t="s">
        <v>1115</v>
      </c>
      <c r="X51">
        <v>3</v>
      </c>
      <c r="Y51">
        <v>1</v>
      </c>
      <c r="Z51">
        <v>5</v>
      </c>
      <c r="AA51">
        <v>86.29000000000001</v>
      </c>
      <c r="AD51" t="s">
        <v>1122</v>
      </c>
      <c r="AE51">
        <v>29848</v>
      </c>
      <c r="AF51" t="s">
        <v>1127</v>
      </c>
      <c r="AK51">
        <v>1</v>
      </c>
      <c r="AL51" t="s">
        <v>1180</v>
      </c>
      <c r="AM51" t="s">
        <v>1217</v>
      </c>
      <c r="AO51" t="s">
        <v>1235</v>
      </c>
      <c r="AP51" t="s">
        <v>1180</v>
      </c>
      <c r="AQ51" t="s">
        <v>1244</v>
      </c>
      <c r="AR51" t="s">
        <v>683</v>
      </c>
      <c r="AS51" t="s">
        <v>1257</v>
      </c>
      <c r="AT51" t="s">
        <v>1264</v>
      </c>
      <c r="AW51" t="s">
        <v>1281</v>
      </c>
    </row>
    <row r="52" spans="1:49">
      <c r="A52" s="1">
        <f>HYPERLINK("https://lsnyc.legalserver.org/matter/dynamic-profile/view/1897554","19-1897554")</f>
        <v>0</v>
      </c>
      <c r="B52" t="s">
        <v>56</v>
      </c>
      <c r="C52" t="s">
        <v>155</v>
      </c>
      <c r="D52" t="s">
        <v>314</v>
      </c>
      <c r="E52" t="s">
        <v>471</v>
      </c>
      <c r="F52" t="s">
        <v>612</v>
      </c>
      <c r="G52" t="s">
        <v>677</v>
      </c>
      <c r="H52">
        <v>10452</v>
      </c>
      <c r="I52" t="s">
        <v>684</v>
      </c>
      <c r="K52" t="s">
        <v>730</v>
      </c>
      <c r="L52" t="s">
        <v>738</v>
      </c>
      <c r="O52">
        <v>1000</v>
      </c>
      <c r="Q52" t="s">
        <v>758</v>
      </c>
      <c r="R52" t="s">
        <v>814</v>
      </c>
      <c r="T52" t="s">
        <v>998</v>
      </c>
      <c r="U52">
        <v>0</v>
      </c>
      <c r="V52" t="s">
        <v>1102</v>
      </c>
      <c r="W52" t="s">
        <v>1116</v>
      </c>
      <c r="X52">
        <v>26</v>
      </c>
      <c r="Y52">
        <v>1</v>
      </c>
      <c r="Z52">
        <v>0</v>
      </c>
      <c r="AA52">
        <v>192.15</v>
      </c>
      <c r="AD52" t="s">
        <v>1122</v>
      </c>
      <c r="AE52">
        <v>24000</v>
      </c>
      <c r="AF52" t="s">
        <v>1128</v>
      </c>
      <c r="AK52">
        <v>1.4</v>
      </c>
      <c r="AL52" t="s">
        <v>1181</v>
      </c>
      <c r="AM52" t="s">
        <v>1218</v>
      </c>
      <c r="AO52" t="s">
        <v>1235</v>
      </c>
      <c r="AP52" t="s">
        <v>1188</v>
      </c>
      <c r="AQ52" t="s">
        <v>1181</v>
      </c>
      <c r="AR52" t="s">
        <v>684</v>
      </c>
      <c r="AS52" t="s">
        <v>1257</v>
      </c>
      <c r="AT52" t="s">
        <v>1264</v>
      </c>
      <c r="AW52" t="s">
        <v>1282</v>
      </c>
    </row>
    <row r="53" spans="1:49">
      <c r="A53" s="1">
        <f>HYPERLINK("https://lsnyc.legalserver.org/matter/dynamic-profile/view/1900161","19-1900161")</f>
        <v>0</v>
      </c>
      <c r="B53" t="s">
        <v>57</v>
      </c>
      <c r="C53" t="s">
        <v>156</v>
      </c>
      <c r="D53" t="s">
        <v>315</v>
      </c>
      <c r="E53" t="s">
        <v>472</v>
      </c>
      <c r="F53" t="s">
        <v>613</v>
      </c>
      <c r="G53" t="s">
        <v>677</v>
      </c>
      <c r="H53">
        <v>10456</v>
      </c>
      <c r="I53" t="s">
        <v>684</v>
      </c>
      <c r="K53" t="s">
        <v>731</v>
      </c>
      <c r="L53" t="s">
        <v>738</v>
      </c>
      <c r="O53">
        <v>1050</v>
      </c>
      <c r="P53" t="s">
        <v>749</v>
      </c>
      <c r="Q53" t="s">
        <v>758</v>
      </c>
      <c r="R53" t="s">
        <v>815</v>
      </c>
      <c r="U53">
        <v>0</v>
      </c>
      <c r="V53" t="s">
        <v>1102</v>
      </c>
      <c r="W53" t="s">
        <v>1116</v>
      </c>
      <c r="X53">
        <v>8</v>
      </c>
      <c r="Y53">
        <v>1</v>
      </c>
      <c r="Z53">
        <v>3</v>
      </c>
      <c r="AA53">
        <v>76.89</v>
      </c>
      <c r="AD53" t="s">
        <v>748</v>
      </c>
      <c r="AE53">
        <v>19800</v>
      </c>
      <c r="AF53" t="s">
        <v>1129</v>
      </c>
      <c r="AK53">
        <v>0.6</v>
      </c>
      <c r="AL53" t="s">
        <v>1182</v>
      </c>
      <c r="AM53" t="s">
        <v>57</v>
      </c>
      <c r="AN53" t="s">
        <v>1233</v>
      </c>
      <c r="AO53" t="s">
        <v>1235</v>
      </c>
      <c r="AP53" t="s">
        <v>1237</v>
      </c>
      <c r="AQ53" t="s">
        <v>1182</v>
      </c>
      <c r="AR53" t="s">
        <v>683</v>
      </c>
      <c r="AS53" t="s">
        <v>1257</v>
      </c>
      <c r="AT53" t="s">
        <v>1264</v>
      </c>
      <c r="AU53" t="s">
        <v>684</v>
      </c>
      <c r="AW53" t="s">
        <v>1282</v>
      </c>
    </row>
    <row r="54" spans="1:49">
      <c r="A54" s="1">
        <f>HYPERLINK("https://lsnyc.legalserver.org/matter/dynamic-profile/view/1901911","19-1901911")</f>
        <v>0</v>
      </c>
      <c r="B54" t="s">
        <v>58</v>
      </c>
      <c r="C54" t="s">
        <v>132</v>
      </c>
      <c r="D54" t="s">
        <v>316</v>
      </c>
      <c r="E54" t="s">
        <v>473</v>
      </c>
      <c r="F54" t="s">
        <v>614</v>
      </c>
      <c r="G54" t="s">
        <v>677</v>
      </c>
      <c r="H54">
        <v>10453</v>
      </c>
      <c r="I54" t="s">
        <v>684</v>
      </c>
      <c r="J54" t="s">
        <v>687</v>
      </c>
      <c r="K54" t="s">
        <v>732</v>
      </c>
      <c r="L54" t="s">
        <v>738</v>
      </c>
      <c r="M54" t="s">
        <v>744</v>
      </c>
      <c r="O54">
        <v>1503.44</v>
      </c>
      <c r="Q54" t="s">
        <v>758</v>
      </c>
      <c r="R54" t="s">
        <v>816</v>
      </c>
      <c r="U54">
        <v>0</v>
      </c>
      <c r="V54" t="s">
        <v>1102</v>
      </c>
      <c r="W54" t="s">
        <v>1115</v>
      </c>
      <c r="X54">
        <v>17</v>
      </c>
      <c r="Y54">
        <v>2</v>
      </c>
      <c r="Z54">
        <v>1</v>
      </c>
      <c r="AA54">
        <v>15</v>
      </c>
      <c r="AD54" t="s">
        <v>1122</v>
      </c>
      <c r="AE54">
        <v>3200</v>
      </c>
      <c r="AF54" t="s">
        <v>1130</v>
      </c>
      <c r="AK54">
        <v>1.7</v>
      </c>
      <c r="AL54" t="s">
        <v>1160</v>
      </c>
      <c r="AM54" t="s">
        <v>77</v>
      </c>
      <c r="AN54" t="s">
        <v>1116</v>
      </c>
      <c r="AO54" t="s">
        <v>1235</v>
      </c>
      <c r="AP54" t="s">
        <v>1241</v>
      </c>
      <c r="AQ54" t="s">
        <v>1160</v>
      </c>
      <c r="AR54" t="s">
        <v>683</v>
      </c>
      <c r="AS54" t="s">
        <v>1257</v>
      </c>
      <c r="AT54" t="s">
        <v>1264</v>
      </c>
      <c r="AU54" t="s">
        <v>684</v>
      </c>
      <c r="AV54" t="s">
        <v>1264</v>
      </c>
      <c r="AW54" t="s">
        <v>1282</v>
      </c>
    </row>
    <row r="55" spans="1:49">
      <c r="A55" s="1">
        <f>HYPERLINK("https://lsnyc.legalserver.org/matter/dynamic-profile/view/1899903","19-1899903")</f>
        <v>0</v>
      </c>
      <c r="B55" t="s">
        <v>59</v>
      </c>
      <c r="C55" t="s">
        <v>157</v>
      </c>
      <c r="D55" t="s">
        <v>317</v>
      </c>
      <c r="E55" t="s">
        <v>474</v>
      </c>
      <c r="F55" t="s">
        <v>615</v>
      </c>
      <c r="G55" t="s">
        <v>677</v>
      </c>
      <c r="H55">
        <v>10452</v>
      </c>
      <c r="I55" t="s">
        <v>684</v>
      </c>
      <c r="J55" t="s">
        <v>688</v>
      </c>
      <c r="K55" t="s">
        <v>732</v>
      </c>
      <c r="L55" t="s">
        <v>738</v>
      </c>
      <c r="O55">
        <v>1183</v>
      </c>
      <c r="Q55" t="s">
        <v>758</v>
      </c>
      <c r="R55" t="s">
        <v>817</v>
      </c>
      <c r="U55">
        <v>60</v>
      </c>
      <c r="V55" t="s">
        <v>1103</v>
      </c>
      <c r="W55" t="s">
        <v>1116</v>
      </c>
      <c r="X55">
        <v>18</v>
      </c>
      <c r="Y55">
        <v>2</v>
      </c>
      <c r="Z55">
        <v>2</v>
      </c>
      <c r="AA55">
        <v>181.75</v>
      </c>
      <c r="AD55" t="s">
        <v>1122</v>
      </c>
      <c r="AE55">
        <v>46800</v>
      </c>
      <c r="AF55" t="s">
        <v>1131</v>
      </c>
      <c r="AK55">
        <v>1.35</v>
      </c>
      <c r="AL55" t="s">
        <v>1183</v>
      </c>
      <c r="AM55" t="s">
        <v>1219</v>
      </c>
      <c r="AN55" t="s">
        <v>1116</v>
      </c>
      <c r="AO55" t="s">
        <v>1235</v>
      </c>
      <c r="AP55" t="s">
        <v>1210</v>
      </c>
      <c r="AQ55" t="s">
        <v>1185</v>
      </c>
      <c r="AR55" t="s">
        <v>683</v>
      </c>
      <c r="AS55" t="s">
        <v>1257</v>
      </c>
      <c r="AT55" t="s">
        <v>1264</v>
      </c>
      <c r="AU55" t="s">
        <v>684</v>
      </c>
      <c r="AW55" t="s">
        <v>1282</v>
      </c>
    </row>
    <row r="56" spans="1:49">
      <c r="A56" s="1">
        <f>HYPERLINK("https://lsnyc.legalserver.org/matter/dynamic-profile/view/1898984","19-1898984")</f>
        <v>0</v>
      </c>
      <c r="B56" t="s">
        <v>59</v>
      </c>
      <c r="C56" t="s">
        <v>158</v>
      </c>
      <c r="D56" t="s">
        <v>318</v>
      </c>
      <c r="E56" t="s">
        <v>475</v>
      </c>
      <c r="F56">
        <v>804</v>
      </c>
      <c r="G56" t="s">
        <v>677</v>
      </c>
      <c r="H56">
        <v>10457</v>
      </c>
      <c r="I56" t="s">
        <v>683</v>
      </c>
      <c r="L56" t="s">
        <v>738</v>
      </c>
      <c r="O56">
        <v>1058</v>
      </c>
      <c r="Q56" t="s">
        <v>758</v>
      </c>
      <c r="R56" t="s">
        <v>818</v>
      </c>
      <c r="T56" t="s">
        <v>999</v>
      </c>
      <c r="U56">
        <v>152</v>
      </c>
      <c r="X56">
        <v>7</v>
      </c>
      <c r="Y56">
        <v>1</v>
      </c>
      <c r="Z56">
        <v>1</v>
      </c>
      <c r="AA56">
        <v>183.32</v>
      </c>
      <c r="AD56" t="s">
        <v>1122</v>
      </c>
      <c r="AE56">
        <v>31000</v>
      </c>
      <c r="AF56" t="s">
        <v>1132</v>
      </c>
      <c r="AK56">
        <v>1</v>
      </c>
      <c r="AL56" t="s">
        <v>1184</v>
      </c>
      <c r="AM56" t="s">
        <v>1220</v>
      </c>
      <c r="AO56" t="s">
        <v>1235</v>
      </c>
      <c r="AP56" t="s">
        <v>1184</v>
      </c>
      <c r="AQ56" t="s">
        <v>1185</v>
      </c>
      <c r="AR56" t="s">
        <v>683</v>
      </c>
      <c r="AS56" t="s">
        <v>1257</v>
      </c>
      <c r="AT56" t="s">
        <v>1264</v>
      </c>
      <c r="AW56" t="s">
        <v>1282</v>
      </c>
    </row>
    <row r="57" spans="1:49">
      <c r="A57" s="1">
        <f>HYPERLINK("https://lsnyc.legalserver.org/matter/dynamic-profile/view/1900481","19-1900481")</f>
        <v>0</v>
      </c>
      <c r="B57" t="s">
        <v>60</v>
      </c>
      <c r="C57" t="s">
        <v>159</v>
      </c>
      <c r="D57" t="s">
        <v>319</v>
      </c>
      <c r="E57" t="s">
        <v>476</v>
      </c>
      <c r="F57" t="s">
        <v>616</v>
      </c>
      <c r="G57" t="s">
        <v>677</v>
      </c>
      <c r="H57">
        <v>10463</v>
      </c>
      <c r="I57" t="s">
        <v>683</v>
      </c>
      <c r="L57" t="s">
        <v>738</v>
      </c>
      <c r="O57">
        <v>1404.97</v>
      </c>
      <c r="P57" t="s">
        <v>750</v>
      </c>
      <c r="Q57" t="s">
        <v>758</v>
      </c>
      <c r="R57" t="s">
        <v>819</v>
      </c>
      <c r="T57" t="s">
        <v>1000</v>
      </c>
      <c r="U57">
        <v>0</v>
      </c>
      <c r="V57" t="s">
        <v>1102</v>
      </c>
      <c r="W57" t="s">
        <v>1115</v>
      </c>
      <c r="X57">
        <v>15</v>
      </c>
      <c r="Y57">
        <v>1</v>
      </c>
      <c r="Z57">
        <v>0</v>
      </c>
      <c r="AA57">
        <v>26.9</v>
      </c>
      <c r="AD57" t="s">
        <v>1122</v>
      </c>
      <c r="AE57">
        <v>3360</v>
      </c>
      <c r="AK57">
        <v>2</v>
      </c>
      <c r="AL57" t="s">
        <v>1185</v>
      </c>
      <c r="AM57" t="s">
        <v>1221</v>
      </c>
      <c r="AO57" t="s">
        <v>1235</v>
      </c>
      <c r="AP57" t="s">
        <v>1242</v>
      </c>
      <c r="AQ57" t="s">
        <v>1160</v>
      </c>
      <c r="AR57" t="s">
        <v>683</v>
      </c>
      <c r="AS57" t="s">
        <v>1257</v>
      </c>
      <c r="AT57" t="s">
        <v>1264</v>
      </c>
      <c r="AW57" t="s">
        <v>1282</v>
      </c>
    </row>
    <row r="58" spans="1:49">
      <c r="A58" s="1">
        <f>HYPERLINK("https://lsnyc.legalserver.org/matter/dynamic-profile/view/1895436","19-1895436")</f>
        <v>0</v>
      </c>
      <c r="B58" t="s">
        <v>61</v>
      </c>
      <c r="C58" t="s">
        <v>160</v>
      </c>
      <c r="D58" t="s">
        <v>320</v>
      </c>
      <c r="E58" t="s">
        <v>477</v>
      </c>
      <c r="F58" t="s">
        <v>617</v>
      </c>
      <c r="G58" t="s">
        <v>677</v>
      </c>
      <c r="H58">
        <v>10462</v>
      </c>
      <c r="I58" t="s">
        <v>683</v>
      </c>
      <c r="J58" t="s">
        <v>689</v>
      </c>
      <c r="K58" t="s">
        <v>730</v>
      </c>
      <c r="O58">
        <v>1300</v>
      </c>
      <c r="Q58" t="s">
        <v>758</v>
      </c>
      <c r="R58" t="s">
        <v>820</v>
      </c>
      <c r="T58" t="s">
        <v>1001</v>
      </c>
      <c r="U58">
        <v>0</v>
      </c>
      <c r="V58" t="s">
        <v>1104</v>
      </c>
      <c r="W58" t="s">
        <v>1116</v>
      </c>
      <c r="X58">
        <v>6</v>
      </c>
      <c r="Y58">
        <v>1</v>
      </c>
      <c r="Z58">
        <v>1</v>
      </c>
      <c r="AA58">
        <v>20.01</v>
      </c>
      <c r="AD58" t="s">
        <v>1122</v>
      </c>
      <c r="AE58">
        <v>3384</v>
      </c>
      <c r="AK58">
        <v>1</v>
      </c>
      <c r="AL58" t="s">
        <v>1186</v>
      </c>
      <c r="AM58" t="s">
        <v>1218</v>
      </c>
      <c r="AO58" t="s">
        <v>1235</v>
      </c>
      <c r="AP58" t="s">
        <v>1186</v>
      </c>
      <c r="AQ58" t="s">
        <v>1247</v>
      </c>
      <c r="AR58" t="s">
        <v>683</v>
      </c>
      <c r="AS58" t="s">
        <v>1257</v>
      </c>
      <c r="AT58" t="s">
        <v>1264</v>
      </c>
      <c r="AW58" t="s">
        <v>1282</v>
      </c>
    </row>
    <row r="59" spans="1:49">
      <c r="A59" s="1">
        <f>HYPERLINK("https://lsnyc.legalserver.org/matter/dynamic-profile/view/1898086","19-1898086")</f>
        <v>0</v>
      </c>
      <c r="B59" t="s">
        <v>61</v>
      </c>
      <c r="C59" t="s">
        <v>161</v>
      </c>
      <c r="D59" t="s">
        <v>321</v>
      </c>
      <c r="E59" t="s">
        <v>478</v>
      </c>
      <c r="F59" t="s">
        <v>604</v>
      </c>
      <c r="G59" t="s">
        <v>677</v>
      </c>
      <c r="H59">
        <v>10467</v>
      </c>
      <c r="I59" t="s">
        <v>683</v>
      </c>
      <c r="J59" t="s">
        <v>690</v>
      </c>
      <c r="K59" t="s">
        <v>733</v>
      </c>
      <c r="O59">
        <v>1060</v>
      </c>
      <c r="Q59" t="s">
        <v>758</v>
      </c>
      <c r="R59" t="s">
        <v>821</v>
      </c>
      <c r="T59" t="s">
        <v>1002</v>
      </c>
      <c r="U59">
        <v>5</v>
      </c>
      <c r="X59">
        <v>1</v>
      </c>
      <c r="Y59">
        <v>5</v>
      </c>
      <c r="Z59">
        <v>0</v>
      </c>
      <c r="AA59">
        <v>0</v>
      </c>
      <c r="AD59" t="s">
        <v>1122</v>
      </c>
      <c r="AE59">
        <v>0</v>
      </c>
      <c r="AF59" t="s">
        <v>1133</v>
      </c>
      <c r="AK59">
        <v>1</v>
      </c>
      <c r="AL59" t="s">
        <v>1187</v>
      </c>
      <c r="AM59" t="s">
        <v>1217</v>
      </c>
      <c r="AO59" t="s">
        <v>1235</v>
      </c>
      <c r="AP59" t="s">
        <v>1187</v>
      </c>
      <c r="AQ59" t="s">
        <v>1247</v>
      </c>
      <c r="AR59" t="s">
        <v>683</v>
      </c>
      <c r="AS59" t="s">
        <v>1257</v>
      </c>
      <c r="AT59" t="s">
        <v>1264</v>
      </c>
      <c r="AW59" t="s">
        <v>1282</v>
      </c>
    </row>
    <row r="60" spans="1:49">
      <c r="A60" s="1">
        <f>HYPERLINK("https://lsnyc.legalserver.org/matter/dynamic-profile/view/1897560","19-1897560")</f>
        <v>0</v>
      </c>
      <c r="B60" t="s">
        <v>61</v>
      </c>
      <c r="C60" t="s">
        <v>162</v>
      </c>
      <c r="D60" t="s">
        <v>322</v>
      </c>
      <c r="E60" t="s">
        <v>479</v>
      </c>
      <c r="F60" t="s">
        <v>607</v>
      </c>
      <c r="G60" t="s">
        <v>677</v>
      </c>
      <c r="H60">
        <v>10457</v>
      </c>
      <c r="I60" t="s">
        <v>683</v>
      </c>
      <c r="J60" t="s">
        <v>691</v>
      </c>
      <c r="K60" t="s">
        <v>732</v>
      </c>
      <c r="O60">
        <v>1347</v>
      </c>
      <c r="P60" t="s">
        <v>751</v>
      </c>
      <c r="Q60" t="s">
        <v>758</v>
      </c>
      <c r="R60" t="s">
        <v>822</v>
      </c>
      <c r="T60" t="s">
        <v>1003</v>
      </c>
      <c r="U60">
        <v>72</v>
      </c>
      <c r="V60" t="s">
        <v>1102</v>
      </c>
      <c r="W60" t="s">
        <v>1116</v>
      </c>
      <c r="X60">
        <v>4</v>
      </c>
      <c r="Y60">
        <v>1</v>
      </c>
      <c r="Z60">
        <v>5</v>
      </c>
      <c r="AA60">
        <v>97.59999999999999</v>
      </c>
      <c r="AD60" t="s">
        <v>1122</v>
      </c>
      <c r="AE60">
        <v>33760</v>
      </c>
      <c r="AK60">
        <v>0.5</v>
      </c>
      <c r="AL60" t="s">
        <v>1188</v>
      </c>
      <c r="AM60" t="s">
        <v>1222</v>
      </c>
      <c r="AO60" t="s">
        <v>1235</v>
      </c>
      <c r="AP60" t="s">
        <v>1188</v>
      </c>
      <c r="AQ60" t="s">
        <v>1255</v>
      </c>
      <c r="AR60" t="s">
        <v>683</v>
      </c>
      <c r="AS60" t="s">
        <v>1257</v>
      </c>
      <c r="AT60" t="s">
        <v>1264</v>
      </c>
      <c r="AU60" t="s">
        <v>684</v>
      </c>
      <c r="AW60" t="s">
        <v>1282</v>
      </c>
    </row>
    <row r="61" spans="1:49">
      <c r="A61" s="1">
        <f>HYPERLINK("https://lsnyc.legalserver.org/matter/dynamic-profile/view/1900915","19-1900915")</f>
        <v>0</v>
      </c>
      <c r="B61" t="s">
        <v>62</v>
      </c>
      <c r="C61" t="s">
        <v>163</v>
      </c>
      <c r="D61" t="s">
        <v>323</v>
      </c>
      <c r="E61" t="s">
        <v>480</v>
      </c>
      <c r="F61" t="s">
        <v>618</v>
      </c>
      <c r="G61" t="s">
        <v>677</v>
      </c>
      <c r="H61">
        <v>10460</v>
      </c>
      <c r="I61" t="s">
        <v>683</v>
      </c>
      <c r="J61" t="s">
        <v>692</v>
      </c>
      <c r="K61" t="s">
        <v>732</v>
      </c>
      <c r="O61">
        <v>1300</v>
      </c>
      <c r="Q61" t="s">
        <v>758</v>
      </c>
      <c r="R61" t="s">
        <v>823</v>
      </c>
      <c r="U61">
        <v>35</v>
      </c>
      <c r="V61" t="s">
        <v>1105</v>
      </c>
      <c r="W61" t="s">
        <v>1116</v>
      </c>
      <c r="X61">
        <v>28</v>
      </c>
      <c r="Y61">
        <v>1</v>
      </c>
      <c r="Z61">
        <v>0</v>
      </c>
      <c r="AA61">
        <v>166.53</v>
      </c>
      <c r="AD61" t="s">
        <v>1122</v>
      </c>
      <c r="AE61">
        <v>20800</v>
      </c>
      <c r="AK61">
        <v>0.75</v>
      </c>
      <c r="AL61" t="s">
        <v>1189</v>
      </c>
      <c r="AM61" t="s">
        <v>1219</v>
      </c>
      <c r="AO61" t="s">
        <v>1235</v>
      </c>
      <c r="AP61" t="s">
        <v>1195</v>
      </c>
      <c r="AQ61" t="s">
        <v>1189</v>
      </c>
      <c r="AR61" t="s">
        <v>683</v>
      </c>
      <c r="AS61" t="s">
        <v>1257</v>
      </c>
      <c r="AT61" t="s">
        <v>1264</v>
      </c>
      <c r="AU61" t="s">
        <v>684</v>
      </c>
      <c r="AV61" t="s">
        <v>1275</v>
      </c>
      <c r="AW61" t="s">
        <v>1282</v>
      </c>
    </row>
    <row r="62" spans="1:49">
      <c r="A62" s="1">
        <f>HYPERLINK("https://lsnyc.legalserver.org/matter/dynamic-profile/view/1896887","19-1896887")</f>
        <v>0</v>
      </c>
      <c r="B62" t="s">
        <v>56</v>
      </c>
      <c r="C62" t="s">
        <v>164</v>
      </c>
      <c r="D62" t="s">
        <v>324</v>
      </c>
      <c r="E62" t="s">
        <v>481</v>
      </c>
      <c r="F62" t="s">
        <v>619</v>
      </c>
      <c r="G62" t="s">
        <v>677</v>
      </c>
      <c r="H62">
        <v>10453</v>
      </c>
      <c r="I62" t="s">
        <v>683</v>
      </c>
      <c r="O62">
        <v>1527</v>
      </c>
      <c r="Q62" t="s">
        <v>758</v>
      </c>
      <c r="R62" t="s">
        <v>824</v>
      </c>
      <c r="T62" t="s">
        <v>1004</v>
      </c>
      <c r="U62">
        <v>40</v>
      </c>
      <c r="X62">
        <v>5</v>
      </c>
      <c r="Y62">
        <v>3</v>
      </c>
      <c r="Z62">
        <v>4</v>
      </c>
      <c r="AA62">
        <v>131.38</v>
      </c>
      <c r="AD62" t="s">
        <v>1122</v>
      </c>
      <c r="AE62">
        <v>51252</v>
      </c>
      <c r="AK62">
        <v>1.1</v>
      </c>
      <c r="AL62" t="s">
        <v>1181</v>
      </c>
      <c r="AM62" t="s">
        <v>1220</v>
      </c>
      <c r="AO62" t="s">
        <v>1235</v>
      </c>
      <c r="AP62" t="s">
        <v>1240</v>
      </c>
      <c r="AQ62" t="s">
        <v>1181</v>
      </c>
      <c r="AR62" t="s">
        <v>683</v>
      </c>
      <c r="AS62" t="s">
        <v>1257</v>
      </c>
      <c r="AT62" t="s">
        <v>1264</v>
      </c>
      <c r="AW62" t="s">
        <v>1282</v>
      </c>
    </row>
    <row r="63" spans="1:49">
      <c r="A63" s="1">
        <f>HYPERLINK("https://lsnyc.legalserver.org/matter/dynamic-profile/view/1900246","19-1900246")</f>
        <v>0</v>
      </c>
      <c r="B63" t="s">
        <v>63</v>
      </c>
      <c r="C63" t="s">
        <v>165</v>
      </c>
      <c r="D63" t="s">
        <v>264</v>
      </c>
      <c r="E63" t="s">
        <v>482</v>
      </c>
      <c r="F63">
        <v>203</v>
      </c>
      <c r="G63" t="s">
        <v>677</v>
      </c>
      <c r="H63">
        <v>10459</v>
      </c>
      <c r="I63" t="s">
        <v>683</v>
      </c>
      <c r="O63">
        <v>1985</v>
      </c>
      <c r="P63" t="s">
        <v>752</v>
      </c>
      <c r="Q63" t="s">
        <v>758</v>
      </c>
      <c r="R63" t="s">
        <v>825</v>
      </c>
      <c r="T63" t="s">
        <v>1005</v>
      </c>
      <c r="U63">
        <v>0</v>
      </c>
      <c r="V63" t="s">
        <v>1102</v>
      </c>
      <c r="W63" t="s">
        <v>1115</v>
      </c>
      <c r="X63">
        <v>5</v>
      </c>
      <c r="Y63">
        <v>1</v>
      </c>
      <c r="Z63">
        <v>4</v>
      </c>
      <c r="AA63">
        <v>44.55</v>
      </c>
      <c r="AD63" t="s">
        <v>1122</v>
      </c>
      <c r="AE63">
        <v>13440</v>
      </c>
      <c r="AK63">
        <v>1.2</v>
      </c>
      <c r="AL63" t="s">
        <v>1190</v>
      </c>
      <c r="AM63" t="s">
        <v>1221</v>
      </c>
      <c r="AO63" t="s">
        <v>1235</v>
      </c>
      <c r="AP63" t="s">
        <v>1164</v>
      </c>
      <c r="AQ63" t="s">
        <v>1177</v>
      </c>
      <c r="AR63" t="s">
        <v>683</v>
      </c>
      <c r="AS63" t="s">
        <v>1257</v>
      </c>
      <c r="AT63" t="s">
        <v>1264</v>
      </c>
      <c r="AW63" t="s">
        <v>1282</v>
      </c>
    </row>
    <row r="64" spans="1:49">
      <c r="A64" s="1">
        <f>HYPERLINK("https://lsnyc.legalserver.org/matter/dynamic-profile/view/1898601","19-1898601")</f>
        <v>0</v>
      </c>
      <c r="B64" t="s">
        <v>63</v>
      </c>
      <c r="C64" t="s">
        <v>166</v>
      </c>
      <c r="D64" t="s">
        <v>325</v>
      </c>
      <c r="E64" t="s">
        <v>483</v>
      </c>
      <c r="F64" t="s">
        <v>620</v>
      </c>
      <c r="G64" t="s">
        <v>677</v>
      </c>
      <c r="H64">
        <v>10468</v>
      </c>
      <c r="I64" t="s">
        <v>682</v>
      </c>
      <c r="J64" t="s">
        <v>693</v>
      </c>
      <c r="K64" t="s">
        <v>730</v>
      </c>
      <c r="L64" t="s">
        <v>738</v>
      </c>
      <c r="O64">
        <v>782</v>
      </c>
      <c r="P64" t="s">
        <v>748</v>
      </c>
      <c r="Q64" t="s">
        <v>761</v>
      </c>
      <c r="R64" t="s">
        <v>826</v>
      </c>
      <c r="S64" t="s">
        <v>941</v>
      </c>
      <c r="T64" t="s">
        <v>1006</v>
      </c>
      <c r="U64">
        <v>0</v>
      </c>
      <c r="V64" t="s">
        <v>1105</v>
      </c>
      <c r="W64" t="s">
        <v>1116</v>
      </c>
      <c r="X64">
        <v>15</v>
      </c>
      <c r="Y64">
        <v>2</v>
      </c>
      <c r="Z64">
        <v>5</v>
      </c>
      <c r="AA64">
        <v>92.98999999999999</v>
      </c>
      <c r="AD64" t="s">
        <v>1123</v>
      </c>
      <c r="AE64">
        <v>36276</v>
      </c>
      <c r="AF64" t="s">
        <v>1134</v>
      </c>
      <c r="AK64">
        <v>14</v>
      </c>
      <c r="AL64" t="s">
        <v>1191</v>
      </c>
      <c r="AM64" t="s">
        <v>1223</v>
      </c>
      <c r="AN64" t="s">
        <v>1234</v>
      </c>
      <c r="AO64" t="s">
        <v>1235</v>
      </c>
      <c r="AP64" t="s">
        <v>1204</v>
      </c>
      <c r="AQ64" t="s">
        <v>1183</v>
      </c>
      <c r="AR64" t="s">
        <v>683</v>
      </c>
      <c r="AS64" t="s">
        <v>1258</v>
      </c>
      <c r="AT64" t="s">
        <v>1264</v>
      </c>
      <c r="AW64" t="s">
        <v>1282</v>
      </c>
    </row>
    <row r="65" spans="1:49">
      <c r="A65" s="1">
        <f>HYPERLINK("https://lsnyc.legalserver.org/matter/dynamic-profile/view/1898796","19-1898796")</f>
        <v>0</v>
      </c>
      <c r="B65" t="s">
        <v>57</v>
      </c>
      <c r="C65" t="s">
        <v>167</v>
      </c>
      <c r="D65" t="s">
        <v>326</v>
      </c>
      <c r="E65" t="s">
        <v>484</v>
      </c>
      <c r="F65" t="s">
        <v>616</v>
      </c>
      <c r="G65" t="s">
        <v>677</v>
      </c>
      <c r="H65">
        <v>10452</v>
      </c>
      <c r="I65" t="s">
        <v>684</v>
      </c>
      <c r="K65" t="s">
        <v>734</v>
      </c>
      <c r="L65" t="s">
        <v>739</v>
      </c>
      <c r="M65" t="s">
        <v>744</v>
      </c>
      <c r="O65">
        <v>283</v>
      </c>
      <c r="P65" t="s">
        <v>749</v>
      </c>
      <c r="Q65" t="s">
        <v>762</v>
      </c>
      <c r="R65" t="s">
        <v>827</v>
      </c>
      <c r="S65" t="s">
        <v>942</v>
      </c>
      <c r="U65">
        <v>0</v>
      </c>
      <c r="V65" t="s">
        <v>1102</v>
      </c>
      <c r="W65" t="s">
        <v>1115</v>
      </c>
      <c r="X65">
        <v>10</v>
      </c>
      <c r="Y65">
        <v>2</v>
      </c>
      <c r="Z65">
        <v>0</v>
      </c>
      <c r="AA65">
        <v>17.88</v>
      </c>
      <c r="AD65" t="s">
        <v>1122</v>
      </c>
      <c r="AE65">
        <v>3024</v>
      </c>
      <c r="AF65" t="s">
        <v>1135</v>
      </c>
      <c r="AK65">
        <v>1</v>
      </c>
      <c r="AL65" t="s">
        <v>1192</v>
      </c>
      <c r="AM65" t="s">
        <v>57</v>
      </c>
      <c r="AO65" t="s">
        <v>1235</v>
      </c>
      <c r="AP65" t="s">
        <v>1237</v>
      </c>
      <c r="AQ65" t="s">
        <v>1164</v>
      </c>
      <c r="AR65" t="s">
        <v>682</v>
      </c>
      <c r="AS65" t="s">
        <v>1258</v>
      </c>
      <c r="AT65" t="s">
        <v>1264</v>
      </c>
      <c r="AU65" t="s">
        <v>684</v>
      </c>
      <c r="AW65" t="s">
        <v>1282</v>
      </c>
    </row>
    <row r="66" spans="1:49">
      <c r="A66" s="1">
        <f>HYPERLINK("https://lsnyc.legalserver.org/matter/dynamic-profile/view/1899986","19-1899986")</f>
        <v>0</v>
      </c>
      <c r="B66" t="s">
        <v>64</v>
      </c>
      <c r="C66" t="s">
        <v>166</v>
      </c>
      <c r="D66" t="s">
        <v>264</v>
      </c>
      <c r="E66" t="s">
        <v>485</v>
      </c>
      <c r="F66" t="s">
        <v>621</v>
      </c>
      <c r="G66" t="s">
        <v>677</v>
      </c>
      <c r="H66">
        <v>10452</v>
      </c>
      <c r="I66" t="s">
        <v>682</v>
      </c>
      <c r="K66" t="s">
        <v>732</v>
      </c>
      <c r="L66" t="s">
        <v>739</v>
      </c>
      <c r="O66">
        <v>339</v>
      </c>
      <c r="P66" t="s">
        <v>749</v>
      </c>
      <c r="Q66" t="s">
        <v>759</v>
      </c>
      <c r="R66" t="s">
        <v>828</v>
      </c>
      <c r="T66" t="s">
        <v>1007</v>
      </c>
      <c r="U66">
        <v>0</v>
      </c>
      <c r="V66" t="s">
        <v>1106</v>
      </c>
      <c r="W66" t="s">
        <v>1115</v>
      </c>
      <c r="X66">
        <v>37</v>
      </c>
      <c r="Y66">
        <v>2</v>
      </c>
      <c r="Z66">
        <v>0</v>
      </c>
      <c r="AA66">
        <v>103.89</v>
      </c>
      <c r="AD66" t="s">
        <v>1123</v>
      </c>
      <c r="AE66">
        <v>17568</v>
      </c>
      <c r="AF66" t="s">
        <v>1136</v>
      </c>
      <c r="AK66">
        <v>0.2</v>
      </c>
      <c r="AL66" t="s">
        <v>1157</v>
      </c>
      <c r="AM66" t="s">
        <v>64</v>
      </c>
      <c r="AN66" t="s">
        <v>1233</v>
      </c>
      <c r="AO66" t="s">
        <v>1235</v>
      </c>
      <c r="AP66" t="s">
        <v>1183</v>
      </c>
      <c r="AQ66" t="s">
        <v>1157</v>
      </c>
      <c r="AR66" t="s">
        <v>683</v>
      </c>
      <c r="AS66" t="s">
        <v>1258</v>
      </c>
      <c r="AT66" t="s">
        <v>1264</v>
      </c>
      <c r="AU66" t="s">
        <v>684</v>
      </c>
      <c r="AW66" t="s">
        <v>1282</v>
      </c>
    </row>
    <row r="67" spans="1:49">
      <c r="A67" s="1">
        <f>HYPERLINK("https://lsnyc.legalserver.org/matter/dynamic-profile/view/1898923","19-1898923")</f>
        <v>0</v>
      </c>
      <c r="B67" t="s">
        <v>60</v>
      </c>
      <c r="C67" t="s">
        <v>168</v>
      </c>
      <c r="D67" t="s">
        <v>323</v>
      </c>
      <c r="E67" t="s">
        <v>486</v>
      </c>
      <c r="F67" t="s">
        <v>622</v>
      </c>
      <c r="G67" t="s">
        <v>677</v>
      </c>
      <c r="H67">
        <v>10457</v>
      </c>
      <c r="I67" t="s">
        <v>684</v>
      </c>
      <c r="K67" t="s">
        <v>735</v>
      </c>
      <c r="L67" t="s">
        <v>739</v>
      </c>
      <c r="O67">
        <v>833.4</v>
      </c>
      <c r="P67" t="s">
        <v>749</v>
      </c>
      <c r="Q67" t="s">
        <v>758</v>
      </c>
      <c r="R67" t="s">
        <v>829</v>
      </c>
      <c r="U67">
        <v>0</v>
      </c>
      <c r="V67" t="s">
        <v>1102</v>
      </c>
      <c r="W67" t="s">
        <v>1116</v>
      </c>
      <c r="X67">
        <v>30</v>
      </c>
      <c r="Y67">
        <v>1</v>
      </c>
      <c r="Z67">
        <v>0</v>
      </c>
      <c r="AA67">
        <v>0</v>
      </c>
      <c r="AD67" t="s">
        <v>1122</v>
      </c>
      <c r="AE67">
        <v>0</v>
      </c>
      <c r="AF67" t="s">
        <v>1137</v>
      </c>
      <c r="AK67">
        <v>4.6</v>
      </c>
      <c r="AL67" t="s">
        <v>1185</v>
      </c>
      <c r="AM67" t="s">
        <v>60</v>
      </c>
      <c r="AO67" t="s">
        <v>1235</v>
      </c>
      <c r="AP67" t="s">
        <v>1174</v>
      </c>
      <c r="AQ67" t="s">
        <v>1165</v>
      </c>
      <c r="AR67" t="s">
        <v>684</v>
      </c>
      <c r="AS67" t="s">
        <v>1258</v>
      </c>
      <c r="AT67" t="s">
        <v>1264</v>
      </c>
      <c r="AU67" t="s">
        <v>684</v>
      </c>
      <c r="AW67" t="s">
        <v>1282</v>
      </c>
    </row>
    <row r="68" spans="1:49">
      <c r="A68" s="1">
        <f>HYPERLINK("https://lsnyc.legalserver.org/matter/dynamic-profile/view/1895791","19-1895791")</f>
        <v>0</v>
      </c>
      <c r="B68" t="s">
        <v>65</v>
      </c>
      <c r="C68" t="s">
        <v>169</v>
      </c>
      <c r="D68" t="s">
        <v>327</v>
      </c>
      <c r="E68" t="s">
        <v>487</v>
      </c>
      <c r="F68" t="s">
        <v>623</v>
      </c>
      <c r="G68" t="s">
        <v>677</v>
      </c>
      <c r="H68">
        <v>10457</v>
      </c>
      <c r="I68" t="s">
        <v>683</v>
      </c>
      <c r="J68" t="s">
        <v>694</v>
      </c>
      <c r="K68" t="s">
        <v>732</v>
      </c>
      <c r="L68" t="s">
        <v>740</v>
      </c>
      <c r="M68" t="s">
        <v>744</v>
      </c>
      <c r="O68">
        <v>1400</v>
      </c>
      <c r="P68" t="s">
        <v>753</v>
      </c>
      <c r="Q68" t="s">
        <v>763</v>
      </c>
      <c r="R68" t="s">
        <v>830</v>
      </c>
      <c r="T68" t="s">
        <v>1008</v>
      </c>
      <c r="U68">
        <v>30</v>
      </c>
      <c r="V68" t="s">
        <v>1107</v>
      </c>
      <c r="X68">
        <v>13</v>
      </c>
      <c r="Y68">
        <v>1</v>
      </c>
      <c r="Z68">
        <v>0</v>
      </c>
      <c r="AA68">
        <v>66.77</v>
      </c>
      <c r="AD68" t="s">
        <v>1122</v>
      </c>
      <c r="AE68">
        <v>8340</v>
      </c>
      <c r="AH68" t="s">
        <v>1154</v>
      </c>
      <c r="AI68" t="s">
        <v>1155</v>
      </c>
      <c r="AJ68" t="s">
        <v>1156</v>
      </c>
      <c r="AK68">
        <v>15</v>
      </c>
      <c r="AL68" t="s">
        <v>1193</v>
      </c>
      <c r="AM68" t="s">
        <v>1222</v>
      </c>
      <c r="AO68" t="s">
        <v>1235</v>
      </c>
      <c r="AP68" t="s">
        <v>1243</v>
      </c>
      <c r="AQ68" t="s">
        <v>1196</v>
      </c>
      <c r="AR68" t="s">
        <v>683</v>
      </c>
      <c r="AS68" t="s">
        <v>1260</v>
      </c>
      <c r="AT68" t="s">
        <v>1264</v>
      </c>
      <c r="AW68" t="s">
        <v>1282</v>
      </c>
    </row>
    <row r="69" spans="1:49">
      <c r="A69" s="1">
        <f>HYPERLINK("https://lsnyc.legalserver.org/matter/dynamic-profile/view/1896005","19-1896005")</f>
        <v>0</v>
      </c>
      <c r="B69" t="s">
        <v>66</v>
      </c>
      <c r="C69" t="s">
        <v>170</v>
      </c>
      <c r="D69" t="s">
        <v>328</v>
      </c>
      <c r="E69" t="s">
        <v>488</v>
      </c>
      <c r="F69" t="s">
        <v>618</v>
      </c>
      <c r="G69" t="s">
        <v>677</v>
      </c>
      <c r="H69">
        <v>10451</v>
      </c>
      <c r="I69" t="s">
        <v>682</v>
      </c>
      <c r="J69" t="s">
        <v>695</v>
      </c>
      <c r="K69" t="s">
        <v>730</v>
      </c>
      <c r="L69" t="s">
        <v>738</v>
      </c>
      <c r="O69">
        <v>1146.72</v>
      </c>
      <c r="P69" t="s">
        <v>753</v>
      </c>
      <c r="R69" t="s">
        <v>831</v>
      </c>
      <c r="T69" t="s">
        <v>1009</v>
      </c>
      <c r="U69">
        <v>0</v>
      </c>
      <c r="V69" t="s">
        <v>1102</v>
      </c>
      <c r="W69" t="s">
        <v>1117</v>
      </c>
      <c r="X69">
        <v>-1</v>
      </c>
      <c r="Y69">
        <v>1</v>
      </c>
      <c r="Z69">
        <v>0</v>
      </c>
      <c r="AA69">
        <v>68.41</v>
      </c>
      <c r="AD69" t="s">
        <v>1123</v>
      </c>
      <c r="AE69">
        <v>8544</v>
      </c>
      <c r="AF69" t="s">
        <v>1138</v>
      </c>
      <c r="AK69">
        <v>0.7</v>
      </c>
      <c r="AL69" t="s">
        <v>1194</v>
      </c>
      <c r="AM69" t="s">
        <v>1215</v>
      </c>
      <c r="AN69" t="s">
        <v>1233</v>
      </c>
      <c r="AO69" t="s">
        <v>1236</v>
      </c>
      <c r="AP69" t="s">
        <v>1244</v>
      </c>
      <c r="AR69" t="s">
        <v>682</v>
      </c>
      <c r="AT69" t="s">
        <v>1264</v>
      </c>
      <c r="AW69" t="s">
        <v>1282</v>
      </c>
    </row>
    <row r="70" spans="1:49">
      <c r="A70" s="1">
        <f>HYPERLINK("https://lsnyc.legalserver.org/matter/dynamic-profile/view/1900849","19-1900849")</f>
        <v>0</v>
      </c>
      <c r="B70" t="s">
        <v>67</v>
      </c>
      <c r="C70" t="s">
        <v>171</v>
      </c>
      <c r="D70" t="s">
        <v>329</v>
      </c>
      <c r="E70" t="s">
        <v>489</v>
      </c>
      <c r="F70" t="s">
        <v>624</v>
      </c>
      <c r="G70" t="s">
        <v>677</v>
      </c>
      <c r="H70">
        <v>10457</v>
      </c>
      <c r="I70" t="s">
        <v>683</v>
      </c>
      <c r="K70" t="s">
        <v>731</v>
      </c>
      <c r="L70" t="s">
        <v>738</v>
      </c>
      <c r="O70">
        <v>1752</v>
      </c>
      <c r="P70" t="s">
        <v>748</v>
      </c>
      <c r="R70" t="s">
        <v>832</v>
      </c>
      <c r="T70" t="s">
        <v>1010</v>
      </c>
      <c r="U70">
        <v>0</v>
      </c>
      <c r="V70" t="s">
        <v>1105</v>
      </c>
      <c r="W70" t="s">
        <v>748</v>
      </c>
      <c r="X70">
        <v>22</v>
      </c>
      <c r="Y70">
        <v>2</v>
      </c>
      <c r="Z70">
        <v>0</v>
      </c>
      <c r="AA70">
        <v>35.48</v>
      </c>
      <c r="AD70" t="s">
        <v>1123</v>
      </c>
      <c r="AE70">
        <v>6000</v>
      </c>
      <c r="AK70">
        <v>0.66</v>
      </c>
      <c r="AL70" t="s">
        <v>1195</v>
      </c>
      <c r="AM70" t="s">
        <v>1224</v>
      </c>
      <c r="AO70" t="s">
        <v>1236</v>
      </c>
      <c r="AP70" t="s">
        <v>1195</v>
      </c>
      <c r="AR70" t="s">
        <v>683</v>
      </c>
      <c r="AT70" t="s">
        <v>1264</v>
      </c>
      <c r="AU70" t="s">
        <v>682</v>
      </c>
      <c r="AW70" t="s">
        <v>1282</v>
      </c>
    </row>
    <row r="71" spans="1:49">
      <c r="A71" s="1">
        <f>HYPERLINK("https://lsnyc.legalserver.org/matter/dynamic-profile/view/1901601","19-1901601")</f>
        <v>0</v>
      </c>
      <c r="B71" t="s">
        <v>68</v>
      </c>
      <c r="C71" t="s">
        <v>172</v>
      </c>
      <c r="D71" t="s">
        <v>330</v>
      </c>
      <c r="E71" t="s">
        <v>490</v>
      </c>
      <c r="F71" t="s">
        <v>600</v>
      </c>
      <c r="G71" t="s">
        <v>677</v>
      </c>
      <c r="H71">
        <v>10453</v>
      </c>
      <c r="I71" t="s">
        <v>684</v>
      </c>
      <c r="K71" t="s">
        <v>732</v>
      </c>
      <c r="L71" t="s">
        <v>738</v>
      </c>
      <c r="O71">
        <v>1591</v>
      </c>
      <c r="R71" t="s">
        <v>833</v>
      </c>
      <c r="U71">
        <v>0</v>
      </c>
      <c r="X71">
        <v>7</v>
      </c>
      <c r="Y71">
        <v>1</v>
      </c>
      <c r="Z71">
        <v>1</v>
      </c>
      <c r="AA71">
        <v>147.6</v>
      </c>
      <c r="AD71" t="s">
        <v>1122</v>
      </c>
      <c r="AE71">
        <v>24960</v>
      </c>
      <c r="AF71" t="s">
        <v>1139</v>
      </c>
      <c r="AK71">
        <v>0.1</v>
      </c>
      <c r="AL71" t="s">
        <v>1196</v>
      </c>
      <c r="AM71" t="s">
        <v>61</v>
      </c>
      <c r="AN71" t="s">
        <v>1116</v>
      </c>
      <c r="AO71" t="s">
        <v>1236</v>
      </c>
      <c r="AP71" t="s">
        <v>1209</v>
      </c>
      <c r="AR71" t="s">
        <v>683</v>
      </c>
      <c r="AT71" t="s">
        <v>1264</v>
      </c>
      <c r="AW71" t="s">
        <v>1282</v>
      </c>
    </row>
    <row r="72" spans="1:49">
      <c r="A72" s="1">
        <f>HYPERLINK("https://lsnyc.legalserver.org/matter/dynamic-profile/view/1903773","19-1903773")</f>
        <v>0</v>
      </c>
      <c r="B72" t="s">
        <v>69</v>
      </c>
      <c r="C72" t="s">
        <v>173</v>
      </c>
      <c r="D72" t="s">
        <v>331</v>
      </c>
      <c r="E72" t="s">
        <v>491</v>
      </c>
      <c r="F72">
        <v>35</v>
      </c>
      <c r="G72" t="s">
        <v>677</v>
      </c>
      <c r="H72">
        <v>10457</v>
      </c>
      <c r="I72" t="s">
        <v>683</v>
      </c>
      <c r="K72" t="s">
        <v>735</v>
      </c>
      <c r="L72" t="s">
        <v>738</v>
      </c>
      <c r="O72">
        <v>485</v>
      </c>
      <c r="P72" t="s">
        <v>748</v>
      </c>
      <c r="R72" t="s">
        <v>834</v>
      </c>
      <c r="T72" t="s">
        <v>1011</v>
      </c>
      <c r="U72">
        <v>35</v>
      </c>
      <c r="V72" t="s">
        <v>1108</v>
      </c>
      <c r="W72" t="s">
        <v>1116</v>
      </c>
      <c r="X72">
        <v>44</v>
      </c>
      <c r="Y72">
        <v>1</v>
      </c>
      <c r="Z72">
        <v>0</v>
      </c>
      <c r="AA72">
        <v>196.16</v>
      </c>
      <c r="AD72" t="s">
        <v>1122</v>
      </c>
      <c r="AE72">
        <v>24500</v>
      </c>
      <c r="AK72">
        <v>0.84</v>
      </c>
      <c r="AL72" t="s">
        <v>1163</v>
      </c>
      <c r="AM72" t="s">
        <v>1224</v>
      </c>
      <c r="AO72" t="s">
        <v>1236</v>
      </c>
      <c r="AP72" t="s">
        <v>1163</v>
      </c>
      <c r="AR72" t="s">
        <v>683</v>
      </c>
      <c r="AT72" t="s">
        <v>1264</v>
      </c>
      <c r="AU72" t="s">
        <v>684</v>
      </c>
      <c r="AW72" t="s">
        <v>1282</v>
      </c>
    </row>
    <row r="73" spans="1:49">
      <c r="A73" s="1">
        <f>HYPERLINK("https://lsnyc.legalserver.org/matter/dynamic-profile/view/1897947","19-1897947")</f>
        <v>0</v>
      </c>
      <c r="B73" t="s">
        <v>56</v>
      </c>
      <c r="C73" t="s">
        <v>167</v>
      </c>
      <c r="D73" t="s">
        <v>326</v>
      </c>
      <c r="E73" t="s">
        <v>484</v>
      </c>
      <c r="F73" t="s">
        <v>616</v>
      </c>
      <c r="G73" t="s">
        <v>677</v>
      </c>
      <c r="H73">
        <v>10452</v>
      </c>
      <c r="I73" t="s">
        <v>684</v>
      </c>
      <c r="K73" t="s">
        <v>735</v>
      </c>
      <c r="L73" t="s">
        <v>738</v>
      </c>
      <c r="O73">
        <v>0</v>
      </c>
      <c r="P73" t="s">
        <v>749</v>
      </c>
      <c r="R73" t="s">
        <v>827</v>
      </c>
      <c r="U73">
        <v>92</v>
      </c>
      <c r="V73" t="s">
        <v>1102</v>
      </c>
      <c r="W73" t="s">
        <v>1115</v>
      </c>
      <c r="X73">
        <v>9</v>
      </c>
      <c r="Y73">
        <v>2</v>
      </c>
      <c r="Z73">
        <v>0</v>
      </c>
      <c r="AA73">
        <v>0</v>
      </c>
      <c r="AD73" t="s">
        <v>1122</v>
      </c>
      <c r="AE73">
        <v>0</v>
      </c>
      <c r="AF73" t="s">
        <v>1140</v>
      </c>
      <c r="AK73">
        <v>0</v>
      </c>
      <c r="AM73" t="s">
        <v>1225</v>
      </c>
      <c r="AN73" t="s">
        <v>1233</v>
      </c>
      <c r="AO73" t="s">
        <v>1236</v>
      </c>
      <c r="AP73" t="s">
        <v>1202</v>
      </c>
      <c r="AR73" t="s">
        <v>682</v>
      </c>
      <c r="AT73" t="s">
        <v>1264</v>
      </c>
      <c r="AU73" t="s">
        <v>684</v>
      </c>
      <c r="AW73" t="s">
        <v>1282</v>
      </c>
    </row>
    <row r="74" spans="1:49">
      <c r="A74" s="1">
        <f>HYPERLINK("https://lsnyc.legalserver.org/matter/dynamic-profile/view/1899628","19-1899628")</f>
        <v>0</v>
      </c>
      <c r="B74" t="s">
        <v>70</v>
      </c>
      <c r="C74" t="s">
        <v>174</v>
      </c>
      <c r="D74" t="s">
        <v>332</v>
      </c>
      <c r="E74" t="s">
        <v>492</v>
      </c>
      <c r="F74" t="s">
        <v>625</v>
      </c>
      <c r="G74" t="s">
        <v>677</v>
      </c>
      <c r="H74">
        <v>10456</v>
      </c>
      <c r="I74" t="s">
        <v>684</v>
      </c>
      <c r="L74" t="s">
        <v>738</v>
      </c>
      <c r="O74">
        <v>695</v>
      </c>
      <c r="P74" t="s">
        <v>749</v>
      </c>
      <c r="R74" t="s">
        <v>835</v>
      </c>
      <c r="T74" t="s">
        <v>1012</v>
      </c>
      <c r="U74">
        <v>44</v>
      </c>
      <c r="V74" t="s">
        <v>1105</v>
      </c>
      <c r="W74" t="s">
        <v>1116</v>
      </c>
      <c r="X74">
        <v>37</v>
      </c>
      <c r="Y74">
        <v>1</v>
      </c>
      <c r="Z74">
        <v>0</v>
      </c>
      <c r="AA74">
        <v>0</v>
      </c>
      <c r="AD74" t="s">
        <v>1123</v>
      </c>
      <c r="AE74">
        <v>0</v>
      </c>
      <c r="AF74" t="s">
        <v>1135</v>
      </c>
      <c r="AK74">
        <v>0</v>
      </c>
      <c r="AM74" t="s">
        <v>1225</v>
      </c>
      <c r="AN74" t="s">
        <v>1116</v>
      </c>
      <c r="AO74" t="s">
        <v>1236</v>
      </c>
      <c r="AP74" t="s">
        <v>1191</v>
      </c>
      <c r="AR74" t="s">
        <v>683</v>
      </c>
      <c r="AT74" t="s">
        <v>1264</v>
      </c>
      <c r="AU74" t="s">
        <v>684</v>
      </c>
      <c r="AW74" t="s">
        <v>1282</v>
      </c>
    </row>
    <row r="75" spans="1:49">
      <c r="A75" s="1">
        <f>HYPERLINK("https://lsnyc.legalserver.org/matter/dynamic-profile/view/1898630","19-1898630")</f>
        <v>0</v>
      </c>
      <c r="B75" t="s">
        <v>49</v>
      </c>
      <c r="C75" t="s">
        <v>175</v>
      </c>
      <c r="D75" t="s">
        <v>333</v>
      </c>
      <c r="E75" t="s">
        <v>493</v>
      </c>
      <c r="F75" t="s">
        <v>626</v>
      </c>
      <c r="G75" t="s">
        <v>677</v>
      </c>
      <c r="H75">
        <v>10454</v>
      </c>
      <c r="I75" t="s">
        <v>684</v>
      </c>
      <c r="J75" t="s">
        <v>685</v>
      </c>
      <c r="K75" t="s">
        <v>736</v>
      </c>
      <c r="L75" t="s">
        <v>739</v>
      </c>
      <c r="M75" t="s">
        <v>744</v>
      </c>
      <c r="O75">
        <v>1334</v>
      </c>
      <c r="P75" t="s">
        <v>747</v>
      </c>
      <c r="R75" t="s">
        <v>836</v>
      </c>
      <c r="T75" t="s">
        <v>1013</v>
      </c>
      <c r="U75">
        <v>0</v>
      </c>
      <c r="V75" t="s">
        <v>1109</v>
      </c>
      <c r="W75" t="s">
        <v>1115</v>
      </c>
      <c r="X75">
        <v>8</v>
      </c>
      <c r="Y75">
        <v>2</v>
      </c>
      <c r="Z75">
        <v>2</v>
      </c>
      <c r="AA75">
        <v>0</v>
      </c>
      <c r="AD75" t="s">
        <v>1123</v>
      </c>
      <c r="AE75">
        <v>0</v>
      </c>
      <c r="AF75" t="s">
        <v>1141</v>
      </c>
      <c r="AK75">
        <v>1.5</v>
      </c>
      <c r="AL75" t="s">
        <v>1175</v>
      </c>
      <c r="AM75" t="s">
        <v>49</v>
      </c>
      <c r="AN75" t="s">
        <v>1116</v>
      </c>
      <c r="AO75" t="s">
        <v>1236</v>
      </c>
      <c r="AP75" t="s">
        <v>1204</v>
      </c>
      <c r="AR75" t="s">
        <v>684</v>
      </c>
      <c r="AT75" t="s">
        <v>1264</v>
      </c>
      <c r="AU75" t="s">
        <v>684</v>
      </c>
      <c r="AW75" t="s">
        <v>1282</v>
      </c>
    </row>
    <row r="76" spans="1:49">
      <c r="A76" s="1">
        <f>HYPERLINK("https://lsnyc.legalserver.org/matter/dynamic-profile/view/1902407","19-1902407")</f>
        <v>0</v>
      </c>
      <c r="B76" t="s">
        <v>71</v>
      </c>
      <c r="C76" t="s">
        <v>112</v>
      </c>
      <c r="D76" t="s">
        <v>334</v>
      </c>
      <c r="E76" t="s">
        <v>494</v>
      </c>
      <c r="F76" t="s">
        <v>627</v>
      </c>
      <c r="G76" t="s">
        <v>677</v>
      </c>
      <c r="H76">
        <v>10466</v>
      </c>
      <c r="I76" t="s">
        <v>682</v>
      </c>
      <c r="J76" t="s">
        <v>696</v>
      </c>
      <c r="K76" t="s">
        <v>730</v>
      </c>
      <c r="L76" t="s">
        <v>741</v>
      </c>
      <c r="O76">
        <v>700</v>
      </c>
      <c r="P76" t="s">
        <v>752</v>
      </c>
      <c r="R76" t="s">
        <v>837</v>
      </c>
      <c r="T76" t="s">
        <v>1014</v>
      </c>
      <c r="U76">
        <v>0</v>
      </c>
      <c r="W76" t="s">
        <v>1116</v>
      </c>
      <c r="X76">
        <v>1</v>
      </c>
      <c r="Y76">
        <v>1</v>
      </c>
      <c r="Z76">
        <v>0</v>
      </c>
      <c r="AA76">
        <v>72.86</v>
      </c>
      <c r="AD76" t="s">
        <v>1122</v>
      </c>
      <c r="AE76">
        <v>9100</v>
      </c>
      <c r="AF76" t="s">
        <v>1142</v>
      </c>
      <c r="AK76">
        <v>2.5</v>
      </c>
      <c r="AL76" t="s">
        <v>1159</v>
      </c>
      <c r="AM76" t="s">
        <v>1215</v>
      </c>
      <c r="AN76" t="s">
        <v>1233</v>
      </c>
      <c r="AO76" t="s">
        <v>1236</v>
      </c>
      <c r="AP76" t="s">
        <v>1194</v>
      </c>
      <c r="AR76" t="s">
        <v>683</v>
      </c>
      <c r="AT76" t="s">
        <v>1264</v>
      </c>
      <c r="AU76" t="s">
        <v>684</v>
      </c>
      <c r="AW76" t="s">
        <v>1282</v>
      </c>
    </row>
    <row r="77" spans="1:49">
      <c r="A77" s="1">
        <f>HYPERLINK("https://lsnyc.legalserver.org/matter/dynamic-profile/view/1902183","19-1902183")</f>
        <v>0</v>
      </c>
      <c r="B77" t="s">
        <v>72</v>
      </c>
      <c r="C77" t="s">
        <v>148</v>
      </c>
      <c r="D77" t="s">
        <v>335</v>
      </c>
      <c r="E77" t="s">
        <v>495</v>
      </c>
      <c r="F77">
        <v>404</v>
      </c>
      <c r="G77" t="s">
        <v>677</v>
      </c>
      <c r="H77">
        <v>10457</v>
      </c>
      <c r="I77" t="s">
        <v>683</v>
      </c>
      <c r="K77" t="s">
        <v>732</v>
      </c>
      <c r="L77" t="s">
        <v>741</v>
      </c>
      <c r="O77">
        <v>1275</v>
      </c>
      <c r="R77" t="s">
        <v>838</v>
      </c>
      <c r="T77" t="s">
        <v>1015</v>
      </c>
      <c r="U77">
        <v>0</v>
      </c>
      <c r="V77" t="s">
        <v>1106</v>
      </c>
      <c r="W77" t="s">
        <v>1118</v>
      </c>
      <c r="X77">
        <v>8</v>
      </c>
      <c r="Y77">
        <v>1</v>
      </c>
      <c r="Z77">
        <v>0</v>
      </c>
      <c r="AA77">
        <v>74.56</v>
      </c>
      <c r="AD77" t="s">
        <v>1122</v>
      </c>
      <c r="AE77">
        <v>9312</v>
      </c>
      <c r="AK77">
        <v>1</v>
      </c>
      <c r="AL77" t="s">
        <v>1190</v>
      </c>
      <c r="AM77" t="s">
        <v>1218</v>
      </c>
      <c r="AO77" t="s">
        <v>1236</v>
      </c>
      <c r="AP77" t="s">
        <v>1190</v>
      </c>
      <c r="AR77" t="s">
        <v>683</v>
      </c>
      <c r="AT77" t="s">
        <v>1264</v>
      </c>
      <c r="AW77" t="s">
        <v>1282</v>
      </c>
    </row>
    <row r="78" spans="1:49">
      <c r="A78" s="1">
        <f>HYPERLINK("https://lsnyc.legalserver.org/matter/dynamic-profile/view/1904780","19-1904780")</f>
        <v>0</v>
      </c>
      <c r="B78" t="s">
        <v>50</v>
      </c>
      <c r="C78" t="s">
        <v>176</v>
      </c>
      <c r="D78" t="s">
        <v>336</v>
      </c>
      <c r="E78" t="s">
        <v>496</v>
      </c>
      <c r="F78" t="s">
        <v>628</v>
      </c>
      <c r="G78" t="s">
        <v>677</v>
      </c>
      <c r="H78">
        <v>10475</v>
      </c>
      <c r="I78" t="s">
        <v>683</v>
      </c>
      <c r="L78" t="s">
        <v>741</v>
      </c>
      <c r="O78">
        <v>0</v>
      </c>
      <c r="R78" t="s">
        <v>839</v>
      </c>
      <c r="T78" t="s">
        <v>1016</v>
      </c>
      <c r="U78">
        <v>0</v>
      </c>
      <c r="X78">
        <v>8</v>
      </c>
      <c r="Y78">
        <v>1</v>
      </c>
      <c r="Z78">
        <v>0</v>
      </c>
      <c r="AA78">
        <v>97.34999999999999</v>
      </c>
      <c r="AD78" t="s">
        <v>1122</v>
      </c>
      <c r="AE78">
        <v>12159</v>
      </c>
      <c r="AK78">
        <v>6.5</v>
      </c>
      <c r="AL78" t="s">
        <v>1168</v>
      </c>
      <c r="AM78" t="s">
        <v>1220</v>
      </c>
      <c r="AO78" t="s">
        <v>1236</v>
      </c>
      <c r="AP78" t="s">
        <v>1161</v>
      </c>
      <c r="AR78" t="s">
        <v>683</v>
      </c>
      <c r="AT78" t="s">
        <v>1264</v>
      </c>
      <c r="AW78" t="s">
        <v>1280</v>
      </c>
    </row>
    <row r="79" spans="1:49">
      <c r="A79" s="1">
        <f>HYPERLINK("https://lsnyc.legalserver.org/matter/dynamic-profile/view/1898318","19-1898318")</f>
        <v>0</v>
      </c>
      <c r="B79" t="s">
        <v>61</v>
      </c>
      <c r="C79" t="s">
        <v>177</v>
      </c>
      <c r="D79" t="s">
        <v>337</v>
      </c>
      <c r="E79" t="s">
        <v>497</v>
      </c>
      <c r="F79" t="s">
        <v>601</v>
      </c>
      <c r="G79" t="s">
        <v>677</v>
      </c>
      <c r="H79">
        <v>10451</v>
      </c>
      <c r="I79" t="s">
        <v>682</v>
      </c>
      <c r="J79" t="s">
        <v>697</v>
      </c>
      <c r="K79" t="s">
        <v>732</v>
      </c>
      <c r="L79" t="s">
        <v>740</v>
      </c>
      <c r="O79">
        <v>1235.83</v>
      </c>
      <c r="P79" t="s">
        <v>753</v>
      </c>
      <c r="R79" t="s">
        <v>840</v>
      </c>
      <c r="S79" t="s">
        <v>943</v>
      </c>
      <c r="T79" t="s">
        <v>1017</v>
      </c>
      <c r="U79">
        <v>0</v>
      </c>
      <c r="V79" t="s">
        <v>1105</v>
      </c>
      <c r="W79" t="s">
        <v>1115</v>
      </c>
      <c r="X79">
        <v>3</v>
      </c>
      <c r="Y79">
        <v>1</v>
      </c>
      <c r="Z79">
        <v>1</v>
      </c>
      <c r="AA79">
        <v>16.3</v>
      </c>
      <c r="AD79" t="s">
        <v>1122</v>
      </c>
      <c r="AE79">
        <v>2756</v>
      </c>
      <c r="AK79">
        <v>0</v>
      </c>
      <c r="AM79" t="s">
        <v>1226</v>
      </c>
      <c r="AN79" t="s">
        <v>1234</v>
      </c>
      <c r="AO79" t="s">
        <v>1236</v>
      </c>
      <c r="AP79" t="s">
        <v>1181</v>
      </c>
      <c r="AR79" t="s">
        <v>683</v>
      </c>
      <c r="AT79" t="s">
        <v>1264</v>
      </c>
      <c r="AW79" t="s">
        <v>1282</v>
      </c>
    </row>
    <row r="80" spans="1:49">
      <c r="A80" s="1">
        <f>HYPERLINK("https://lsnyc.legalserver.org/matter/dynamic-profile/view/1902681","19-1902681")</f>
        <v>0</v>
      </c>
      <c r="B80" t="s">
        <v>73</v>
      </c>
      <c r="C80" t="s">
        <v>178</v>
      </c>
      <c r="D80" t="s">
        <v>338</v>
      </c>
      <c r="E80" t="s">
        <v>498</v>
      </c>
      <c r="F80" t="s">
        <v>621</v>
      </c>
      <c r="G80" t="s">
        <v>677</v>
      </c>
      <c r="H80">
        <v>10459</v>
      </c>
      <c r="I80" t="s">
        <v>683</v>
      </c>
      <c r="J80" t="s">
        <v>698</v>
      </c>
      <c r="K80" t="s">
        <v>730</v>
      </c>
      <c r="O80">
        <v>318</v>
      </c>
      <c r="P80" t="s">
        <v>750</v>
      </c>
      <c r="R80" t="s">
        <v>841</v>
      </c>
      <c r="T80" t="s">
        <v>1018</v>
      </c>
      <c r="U80">
        <v>26</v>
      </c>
      <c r="X80">
        <v>29</v>
      </c>
      <c r="Y80">
        <v>1</v>
      </c>
      <c r="Z80">
        <v>0</v>
      </c>
      <c r="AA80">
        <v>55.53</v>
      </c>
      <c r="AD80" t="s">
        <v>1122</v>
      </c>
      <c r="AE80">
        <v>6936</v>
      </c>
      <c r="AK80">
        <v>1</v>
      </c>
      <c r="AL80" t="s">
        <v>1167</v>
      </c>
      <c r="AM80" t="s">
        <v>1227</v>
      </c>
      <c r="AO80" t="s">
        <v>1236</v>
      </c>
      <c r="AP80" t="s">
        <v>1167</v>
      </c>
      <c r="AR80" t="s">
        <v>683</v>
      </c>
      <c r="AT80" t="s">
        <v>1264</v>
      </c>
      <c r="AW80" t="s">
        <v>1282</v>
      </c>
    </row>
    <row r="81" spans="1:49">
      <c r="A81" s="1">
        <f>HYPERLINK("https://lsnyc.legalserver.org/matter/dynamic-profile/view/1902175","19-1902175")</f>
        <v>0</v>
      </c>
      <c r="B81" t="s">
        <v>74</v>
      </c>
      <c r="C81" t="s">
        <v>179</v>
      </c>
      <c r="D81" t="s">
        <v>339</v>
      </c>
      <c r="E81" t="s">
        <v>499</v>
      </c>
      <c r="F81" t="s">
        <v>629</v>
      </c>
      <c r="G81" t="s">
        <v>678</v>
      </c>
      <c r="H81">
        <v>11234</v>
      </c>
      <c r="I81" t="s">
        <v>683</v>
      </c>
      <c r="K81" t="s">
        <v>730</v>
      </c>
      <c r="O81">
        <v>750</v>
      </c>
      <c r="P81" t="s">
        <v>750</v>
      </c>
      <c r="R81" t="s">
        <v>842</v>
      </c>
      <c r="T81" t="s">
        <v>1019</v>
      </c>
      <c r="U81">
        <v>1</v>
      </c>
      <c r="W81" t="s">
        <v>1115</v>
      </c>
      <c r="X81">
        <v>9</v>
      </c>
      <c r="Y81">
        <v>1</v>
      </c>
      <c r="Z81">
        <v>0</v>
      </c>
      <c r="AA81">
        <v>94.16</v>
      </c>
      <c r="AD81" t="s">
        <v>1122</v>
      </c>
      <c r="AE81">
        <v>11760</v>
      </c>
      <c r="AK81">
        <v>0.6</v>
      </c>
      <c r="AL81" t="s">
        <v>1190</v>
      </c>
      <c r="AM81" t="s">
        <v>1228</v>
      </c>
      <c r="AO81" t="s">
        <v>1236</v>
      </c>
      <c r="AP81" t="s">
        <v>1190</v>
      </c>
      <c r="AR81" t="s">
        <v>683</v>
      </c>
      <c r="AT81" t="s">
        <v>1264</v>
      </c>
      <c r="AW81" t="s">
        <v>1282</v>
      </c>
    </row>
    <row r="82" spans="1:49">
      <c r="A82" s="1">
        <f>HYPERLINK("https://lsnyc.legalserver.org/matter/dynamic-profile/view/1903815","19-1903815")</f>
        <v>0</v>
      </c>
      <c r="B82" t="s">
        <v>69</v>
      </c>
      <c r="C82" t="s">
        <v>180</v>
      </c>
      <c r="D82" t="s">
        <v>340</v>
      </c>
      <c r="E82" t="s">
        <v>500</v>
      </c>
      <c r="F82" t="s">
        <v>604</v>
      </c>
      <c r="G82" t="s">
        <v>677</v>
      </c>
      <c r="H82">
        <v>10460</v>
      </c>
      <c r="I82" t="s">
        <v>683</v>
      </c>
      <c r="K82" t="s">
        <v>733</v>
      </c>
      <c r="O82">
        <v>208</v>
      </c>
      <c r="P82" t="s">
        <v>748</v>
      </c>
      <c r="R82" t="s">
        <v>843</v>
      </c>
      <c r="T82" t="s">
        <v>1020</v>
      </c>
      <c r="U82">
        <v>0</v>
      </c>
      <c r="V82" t="s">
        <v>1105</v>
      </c>
      <c r="W82" t="s">
        <v>1116</v>
      </c>
      <c r="X82">
        <v>10</v>
      </c>
      <c r="Y82">
        <v>1</v>
      </c>
      <c r="Z82">
        <v>0</v>
      </c>
      <c r="AA82">
        <v>85.03</v>
      </c>
      <c r="AD82" t="s">
        <v>1123</v>
      </c>
      <c r="AE82">
        <v>10620</v>
      </c>
      <c r="AK82">
        <v>0.84</v>
      </c>
      <c r="AL82" t="s">
        <v>1172</v>
      </c>
      <c r="AM82" t="s">
        <v>1224</v>
      </c>
      <c r="AO82" t="s">
        <v>1236</v>
      </c>
      <c r="AP82" t="s">
        <v>1172</v>
      </c>
      <c r="AR82" t="s">
        <v>683</v>
      </c>
      <c r="AT82" t="s">
        <v>1264</v>
      </c>
      <c r="AU82" t="s">
        <v>684</v>
      </c>
      <c r="AW82" t="s">
        <v>1282</v>
      </c>
    </row>
    <row r="83" spans="1:49">
      <c r="A83" s="1">
        <f>HYPERLINK("https://lsnyc.legalserver.org/matter/dynamic-profile/view/1902075","19-1902075")</f>
        <v>0</v>
      </c>
      <c r="B83" t="s">
        <v>72</v>
      </c>
      <c r="C83" t="s">
        <v>181</v>
      </c>
      <c r="D83" t="s">
        <v>341</v>
      </c>
      <c r="E83" t="s">
        <v>501</v>
      </c>
      <c r="F83" t="s">
        <v>630</v>
      </c>
      <c r="G83" t="s">
        <v>677</v>
      </c>
      <c r="H83">
        <v>10460</v>
      </c>
      <c r="I83" t="s">
        <v>683</v>
      </c>
      <c r="K83" t="s">
        <v>731</v>
      </c>
      <c r="O83">
        <v>1600</v>
      </c>
      <c r="P83" t="s">
        <v>748</v>
      </c>
      <c r="R83" t="s">
        <v>844</v>
      </c>
      <c r="T83" t="s">
        <v>1021</v>
      </c>
      <c r="U83">
        <v>56</v>
      </c>
      <c r="V83" t="s">
        <v>1105</v>
      </c>
      <c r="W83" t="s">
        <v>1118</v>
      </c>
      <c r="X83">
        <v>2</v>
      </c>
      <c r="Y83">
        <v>1</v>
      </c>
      <c r="Z83">
        <v>0</v>
      </c>
      <c r="AA83">
        <v>124.9</v>
      </c>
      <c r="AD83" t="s">
        <v>1122</v>
      </c>
      <c r="AE83">
        <v>15600</v>
      </c>
      <c r="AK83">
        <v>0.6</v>
      </c>
      <c r="AL83" t="s">
        <v>1197</v>
      </c>
      <c r="AM83" t="s">
        <v>1222</v>
      </c>
      <c r="AO83" t="s">
        <v>1236</v>
      </c>
      <c r="AP83" t="s">
        <v>1197</v>
      </c>
      <c r="AR83" t="s">
        <v>683</v>
      </c>
      <c r="AT83" t="s">
        <v>1264</v>
      </c>
      <c r="AW83" t="s">
        <v>1282</v>
      </c>
    </row>
    <row r="84" spans="1:49">
      <c r="A84" s="1">
        <f>HYPERLINK("https://lsnyc.legalserver.org/matter/dynamic-profile/view/1904187","19-1904187")</f>
        <v>0</v>
      </c>
      <c r="B84" t="s">
        <v>75</v>
      </c>
      <c r="C84" t="s">
        <v>182</v>
      </c>
      <c r="D84" t="s">
        <v>342</v>
      </c>
      <c r="E84" t="s">
        <v>501</v>
      </c>
      <c r="F84" t="s">
        <v>626</v>
      </c>
      <c r="G84" t="s">
        <v>677</v>
      </c>
      <c r="H84">
        <v>10460</v>
      </c>
      <c r="I84" t="s">
        <v>683</v>
      </c>
      <c r="K84" t="s">
        <v>731</v>
      </c>
      <c r="O84">
        <v>1487</v>
      </c>
      <c r="R84" t="s">
        <v>845</v>
      </c>
      <c r="T84" t="s">
        <v>1022</v>
      </c>
      <c r="U84">
        <v>0</v>
      </c>
      <c r="V84" t="s">
        <v>1105</v>
      </c>
      <c r="W84" t="s">
        <v>1119</v>
      </c>
      <c r="X84">
        <v>0</v>
      </c>
      <c r="Y84">
        <v>1</v>
      </c>
      <c r="Z84">
        <v>0</v>
      </c>
      <c r="AA84">
        <v>36.12</v>
      </c>
      <c r="AD84" t="s">
        <v>1122</v>
      </c>
      <c r="AE84">
        <v>4512</v>
      </c>
      <c r="AK84">
        <v>1.2</v>
      </c>
      <c r="AL84" t="s">
        <v>1198</v>
      </c>
      <c r="AM84" t="s">
        <v>1218</v>
      </c>
      <c r="AO84" t="s">
        <v>1236</v>
      </c>
      <c r="AP84" t="s">
        <v>1157</v>
      </c>
      <c r="AR84" t="s">
        <v>683</v>
      </c>
      <c r="AT84" t="s">
        <v>1264</v>
      </c>
      <c r="AW84" t="s">
        <v>1282</v>
      </c>
    </row>
    <row r="85" spans="1:49">
      <c r="A85" s="1">
        <f>HYPERLINK("https://lsnyc.legalserver.org/matter/dynamic-profile/view/1906162","19-1906162")</f>
        <v>0</v>
      </c>
      <c r="B85" t="s">
        <v>76</v>
      </c>
      <c r="C85" t="s">
        <v>183</v>
      </c>
      <c r="D85" t="s">
        <v>343</v>
      </c>
      <c r="E85" t="s">
        <v>502</v>
      </c>
      <c r="F85" t="s">
        <v>600</v>
      </c>
      <c r="G85" t="s">
        <v>677</v>
      </c>
      <c r="H85">
        <v>10460</v>
      </c>
      <c r="I85" t="s">
        <v>683</v>
      </c>
      <c r="K85" t="s">
        <v>731</v>
      </c>
      <c r="O85">
        <v>723.99</v>
      </c>
      <c r="R85" t="s">
        <v>846</v>
      </c>
      <c r="T85" t="s">
        <v>1023</v>
      </c>
      <c r="U85">
        <v>0</v>
      </c>
      <c r="V85" t="s">
        <v>1105</v>
      </c>
      <c r="W85" t="s">
        <v>1116</v>
      </c>
      <c r="X85">
        <v>3</v>
      </c>
      <c r="Y85">
        <v>1</v>
      </c>
      <c r="Z85">
        <v>0</v>
      </c>
      <c r="AA85">
        <v>115.29</v>
      </c>
      <c r="AD85" t="s">
        <v>1122</v>
      </c>
      <c r="AE85">
        <v>14400</v>
      </c>
      <c r="AK85">
        <v>1</v>
      </c>
      <c r="AL85" t="s">
        <v>1160</v>
      </c>
      <c r="AM85" t="s">
        <v>1218</v>
      </c>
      <c r="AO85" t="s">
        <v>1236</v>
      </c>
      <c r="AP85" t="s">
        <v>1160</v>
      </c>
      <c r="AR85" t="s">
        <v>683</v>
      </c>
      <c r="AT85" t="s">
        <v>1264</v>
      </c>
      <c r="AW85" t="s">
        <v>1282</v>
      </c>
    </row>
    <row r="86" spans="1:49">
      <c r="A86" s="1">
        <f>HYPERLINK("https://lsnyc.legalserver.org/matter/dynamic-profile/view/1900830","19-1900830")</f>
        <v>0</v>
      </c>
      <c r="B86" t="s">
        <v>67</v>
      </c>
      <c r="C86" t="s">
        <v>184</v>
      </c>
      <c r="D86" t="s">
        <v>344</v>
      </c>
      <c r="E86" t="s">
        <v>421</v>
      </c>
      <c r="F86" t="s">
        <v>631</v>
      </c>
      <c r="G86" t="s">
        <v>677</v>
      </c>
      <c r="H86">
        <v>10460</v>
      </c>
      <c r="I86" t="s">
        <v>683</v>
      </c>
      <c r="J86" t="s">
        <v>699</v>
      </c>
      <c r="K86" t="s">
        <v>732</v>
      </c>
      <c r="O86">
        <v>1967</v>
      </c>
      <c r="R86" t="s">
        <v>847</v>
      </c>
      <c r="T86" t="s">
        <v>1024</v>
      </c>
      <c r="U86">
        <v>168</v>
      </c>
      <c r="X86">
        <v>11</v>
      </c>
      <c r="Y86">
        <v>1</v>
      </c>
      <c r="Z86">
        <v>1</v>
      </c>
      <c r="AA86">
        <v>192.19</v>
      </c>
      <c r="AD86" t="s">
        <v>1122</v>
      </c>
      <c r="AE86">
        <v>32500</v>
      </c>
      <c r="AK86">
        <v>0.5</v>
      </c>
      <c r="AL86" t="s">
        <v>1195</v>
      </c>
      <c r="AM86" t="s">
        <v>1216</v>
      </c>
      <c r="AO86" t="s">
        <v>1236</v>
      </c>
      <c r="AP86" t="s">
        <v>1195</v>
      </c>
      <c r="AR86" t="s">
        <v>683</v>
      </c>
      <c r="AT86" t="s">
        <v>1264</v>
      </c>
      <c r="AW86" t="s">
        <v>1282</v>
      </c>
    </row>
    <row r="87" spans="1:49">
      <c r="A87" s="1">
        <f>HYPERLINK("https://lsnyc.legalserver.org/matter/dynamic-profile/view/1906203","19-1906203")</f>
        <v>0</v>
      </c>
      <c r="B87" t="s">
        <v>76</v>
      </c>
      <c r="C87" t="s">
        <v>185</v>
      </c>
      <c r="D87" t="s">
        <v>345</v>
      </c>
      <c r="E87" t="s">
        <v>503</v>
      </c>
      <c r="F87" t="s">
        <v>632</v>
      </c>
      <c r="G87" t="s">
        <v>677</v>
      </c>
      <c r="H87">
        <v>10457</v>
      </c>
      <c r="I87" t="s">
        <v>683</v>
      </c>
      <c r="J87" t="s">
        <v>700</v>
      </c>
      <c r="K87" t="s">
        <v>732</v>
      </c>
      <c r="O87">
        <v>1108</v>
      </c>
      <c r="R87" t="s">
        <v>848</v>
      </c>
      <c r="T87" t="s">
        <v>1025</v>
      </c>
      <c r="U87">
        <v>20</v>
      </c>
      <c r="W87" t="s">
        <v>1120</v>
      </c>
      <c r="X87">
        <v>5</v>
      </c>
      <c r="Y87">
        <v>1</v>
      </c>
      <c r="Z87">
        <v>2</v>
      </c>
      <c r="AA87">
        <v>115.9</v>
      </c>
      <c r="AD87" t="s">
        <v>1122</v>
      </c>
      <c r="AE87">
        <v>24722</v>
      </c>
      <c r="AK87">
        <v>0.9</v>
      </c>
      <c r="AL87" t="s">
        <v>1160</v>
      </c>
      <c r="AM87" t="s">
        <v>1220</v>
      </c>
      <c r="AO87" t="s">
        <v>1236</v>
      </c>
      <c r="AP87" t="s">
        <v>1160</v>
      </c>
      <c r="AR87" t="s">
        <v>683</v>
      </c>
      <c r="AT87" t="s">
        <v>1264</v>
      </c>
      <c r="AW87" t="s">
        <v>1282</v>
      </c>
    </row>
    <row r="88" spans="1:49">
      <c r="A88" s="1">
        <f>HYPERLINK("https://lsnyc.legalserver.org/matter/dynamic-profile/view/1901753","19-1901753")</f>
        <v>0</v>
      </c>
      <c r="B88" t="s">
        <v>77</v>
      </c>
      <c r="C88" t="s">
        <v>186</v>
      </c>
      <c r="D88" t="s">
        <v>346</v>
      </c>
      <c r="E88" t="s">
        <v>504</v>
      </c>
      <c r="G88" t="s">
        <v>677</v>
      </c>
      <c r="H88">
        <v>10467</v>
      </c>
      <c r="I88" t="s">
        <v>682</v>
      </c>
      <c r="J88" t="s">
        <v>701</v>
      </c>
      <c r="K88" t="s">
        <v>732</v>
      </c>
      <c r="O88">
        <v>1475</v>
      </c>
      <c r="R88" t="s">
        <v>849</v>
      </c>
      <c r="T88" t="s">
        <v>1026</v>
      </c>
      <c r="U88">
        <v>0</v>
      </c>
      <c r="X88">
        <v>3</v>
      </c>
      <c r="Y88">
        <v>1</v>
      </c>
      <c r="Z88">
        <v>0</v>
      </c>
      <c r="AA88">
        <v>51.88</v>
      </c>
      <c r="AD88" t="s">
        <v>1122</v>
      </c>
      <c r="AE88">
        <v>6480</v>
      </c>
      <c r="AK88">
        <v>0</v>
      </c>
      <c r="AM88" t="s">
        <v>77</v>
      </c>
      <c r="AN88" t="s">
        <v>1233</v>
      </c>
      <c r="AO88" t="s">
        <v>1236</v>
      </c>
      <c r="AP88" t="s">
        <v>1177</v>
      </c>
      <c r="AR88" t="s">
        <v>683</v>
      </c>
      <c r="AT88" t="s">
        <v>1264</v>
      </c>
      <c r="AU88" t="s">
        <v>684</v>
      </c>
      <c r="AW88" t="s">
        <v>1282</v>
      </c>
    </row>
    <row r="89" spans="1:49">
      <c r="A89" s="1">
        <f>HYPERLINK("https://lsnyc.legalserver.org/matter/dynamic-profile/view/1904994","19-1904994")</f>
        <v>0</v>
      </c>
      <c r="B89" t="s">
        <v>78</v>
      </c>
      <c r="C89" t="s">
        <v>187</v>
      </c>
      <c r="D89" t="s">
        <v>347</v>
      </c>
      <c r="E89" t="s">
        <v>505</v>
      </c>
      <c r="F89" t="s">
        <v>633</v>
      </c>
      <c r="G89" t="s">
        <v>677</v>
      </c>
      <c r="H89">
        <v>10460</v>
      </c>
      <c r="I89" t="s">
        <v>683</v>
      </c>
      <c r="K89" t="s">
        <v>732</v>
      </c>
      <c r="O89">
        <v>1488</v>
      </c>
      <c r="P89" t="s">
        <v>751</v>
      </c>
      <c r="R89" t="s">
        <v>850</v>
      </c>
      <c r="T89" t="s">
        <v>1027</v>
      </c>
      <c r="U89">
        <v>48</v>
      </c>
      <c r="V89" t="s">
        <v>1104</v>
      </c>
      <c r="W89" t="s">
        <v>1116</v>
      </c>
      <c r="X89">
        <v>15</v>
      </c>
      <c r="Y89">
        <v>1</v>
      </c>
      <c r="Z89">
        <v>1</v>
      </c>
      <c r="AA89">
        <v>184.51</v>
      </c>
      <c r="AD89" t="s">
        <v>1122</v>
      </c>
      <c r="AE89">
        <v>31200</v>
      </c>
      <c r="AK89">
        <v>1.15</v>
      </c>
      <c r="AL89" t="s">
        <v>1160</v>
      </c>
      <c r="AM89" t="s">
        <v>1219</v>
      </c>
      <c r="AO89" t="s">
        <v>1236</v>
      </c>
      <c r="AP89" t="s">
        <v>1207</v>
      </c>
      <c r="AR89" t="s">
        <v>683</v>
      </c>
      <c r="AT89" t="s">
        <v>1264</v>
      </c>
      <c r="AU89" t="s">
        <v>684</v>
      </c>
      <c r="AW89" t="s">
        <v>1283</v>
      </c>
    </row>
    <row r="90" spans="1:49">
      <c r="A90" s="1">
        <f>HYPERLINK("https://lsnyc.legalserver.org/matter/dynamic-profile/view/1898443","19-1898443")</f>
        <v>0</v>
      </c>
      <c r="B90" t="s">
        <v>79</v>
      </c>
      <c r="C90" t="s">
        <v>188</v>
      </c>
      <c r="D90" t="s">
        <v>348</v>
      </c>
      <c r="E90" t="s">
        <v>506</v>
      </c>
      <c r="F90" t="s">
        <v>634</v>
      </c>
      <c r="G90" t="s">
        <v>677</v>
      </c>
      <c r="H90">
        <v>10467</v>
      </c>
      <c r="I90" t="s">
        <v>683</v>
      </c>
      <c r="J90" t="s">
        <v>702</v>
      </c>
      <c r="K90" t="s">
        <v>732</v>
      </c>
      <c r="O90">
        <v>1275</v>
      </c>
      <c r="P90" t="s">
        <v>754</v>
      </c>
      <c r="R90" t="s">
        <v>851</v>
      </c>
      <c r="T90" t="s">
        <v>1028</v>
      </c>
      <c r="U90">
        <v>27</v>
      </c>
      <c r="X90">
        <v>8</v>
      </c>
      <c r="Y90">
        <v>1</v>
      </c>
      <c r="Z90">
        <v>0</v>
      </c>
      <c r="AA90">
        <v>67.25</v>
      </c>
      <c r="AD90" t="s">
        <v>1122</v>
      </c>
      <c r="AE90">
        <v>8400</v>
      </c>
      <c r="AK90">
        <v>4</v>
      </c>
      <c r="AL90" t="s">
        <v>1199</v>
      </c>
      <c r="AM90" t="s">
        <v>1216</v>
      </c>
      <c r="AO90" t="s">
        <v>1236</v>
      </c>
      <c r="AP90" t="s">
        <v>1245</v>
      </c>
      <c r="AR90" t="s">
        <v>683</v>
      </c>
      <c r="AT90" t="s">
        <v>1264</v>
      </c>
      <c r="AW90" t="s">
        <v>1282</v>
      </c>
    </row>
    <row r="91" spans="1:49">
      <c r="A91" s="1">
        <f>HYPERLINK("https://lsnyc.legalserver.org/matter/dynamic-profile/view/1905410","19-1905410")</f>
        <v>0</v>
      </c>
      <c r="B91" t="s">
        <v>69</v>
      </c>
      <c r="C91" t="s">
        <v>189</v>
      </c>
      <c r="D91" t="s">
        <v>306</v>
      </c>
      <c r="E91" t="s">
        <v>507</v>
      </c>
      <c r="F91" t="s">
        <v>635</v>
      </c>
      <c r="G91" t="s">
        <v>677</v>
      </c>
      <c r="H91">
        <v>10453</v>
      </c>
      <c r="I91" t="s">
        <v>683</v>
      </c>
      <c r="J91" t="s">
        <v>703</v>
      </c>
      <c r="K91" t="s">
        <v>732</v>
      </c>
      <c r="O91">
        <v>851</v>
      </c>
      <c r="P91" t="s">
        <v>748</v>
      </c>
      <c r="R91" t="s">
        <v>852</v>
      </c>
      <c r="U91">
        <v>430</v>
      </c>
      <c r="V91" t="s">
        <v>1104</v>
      </c>
      <c r="W91" t="s">
        <v>1115</v>
      </c>
      <c r="X91">
        <v>30</v>
      </c>
      <c r="Y91">
        <v>1</v>
      </c>
      <c r="Z91">
        <v>0</v>
      </c>
      <c r="AA91">
        <v>187.35</v>
      </c>
      <c r="AD91" t="s">
        <v>1122</v>
      </c>
      <c r="AE91">
        <v>23400</v>
      </c>
      <c r="AK91">
        <v>0.5</v>
      </c>
      <c r="AL91" t="s">
        <v>1169</v>
      </c>
      <c r="AM91" t="s">
        <v>1222</v>
      </c>
      <c r="AO91" t="s">
        <v>1236</v>
      </c>
      <c r="AP91" t="s">
        <v>1169</v>
      </c>
      <c r="AR91" t="s">
        <v>683</v>
      </c>
      <c r="AT91" t="s">
        <v>1264</v>
      </c>
      <c r="AW91" t="s">
        <v>1283</v>
      </c>
    </row>
    <row r="92" spans="1:49">
      <c r="A92" s="1">
        <f>HYPERLINK("https://lsnyc.legalserver.org/matter/dynamic-profile/view/1904696","19-1904696")</f>
        <v>0</v>
      </c>
      <c r="B92" t="s">
        <v>80</v>
      </c>
      <c r="C92" t="s">
        <v>190</v>
      </c>
      <c r="D92" t="s">
        <v>349</v>
      </c>
      <c r="E92" t="s">
        <v>508</v>
      </c>
      <c r="F92">
        <v>14</v>
      </c>
      <c r="G92" t="s">
        <v>677</v>
      </c>
      <c r="H92">
        <v>10460</v>
      </c>
      <c r="I92" t="s">
        <v>683</v>
      </c>
      <c r="K92" t="s">
        <v>735</v>
      </c>
      <c r="O92">
        <v>900</v>
      </c>
      <c r="P92" t="s">
        <v>750</v>
      </c>
      <c r="R92" t="s">
        <v>853</v>
      </c>
      <c r="T92" t="s">
        <v>1029</v>
      </c>
      <c r="U92">
        <v>30</v>
      </c>
      <c r="X92">
        <v>40</v>
      </c>
      <c r="Y92">
        <v>1</v>
      </c>
      <c r="Z92">
        <v>0</v>
      </c>
      <c r="AA92">
        <v>97.52</v>
      </c>
      <c r="AD92" t="s">
        <v>1122</v>
      </c>
      <c r="AE92">
        <v>12180</v>
      </c>
      <c r="AK92">
        <v>1</v>
      </c>
      <c r="AL92" t="s">
        <v>1173</v>
      </c>
      <c r="AM92" t="s">
        <v>1227</v>
      </c>
      <c r="AO92" t="s">
        <v>1236</v>
      </c>
      <c r="AP92" t="s">
        <v>1173</v>
      </c>
      <c r="AR92" t="s">
        <v>683</v>
      </c>
      <c r="AT92" t="s">
        <v>1264</v>
      </c>
      <c r="AW92" t="s">
        <v>1282</v>
      </c>
    </row>
    <row r="93" spans="1:49">
      <c r="A93" s="1">
        <f>HYPERLINK("https://lsnyc.legalserver.org/matter/dynamic-profile/view/1901470","19-1901470")</f>
        <v>0</v>
      </c>
      <c r="B93" t="s">
        <v>81</v>
      </c>
      <c r="C93" t="s">
        <v>191</v>
      </c>
      <c r="D93" t="s">
        <v>350</v>
      </c>
      <c r="E93" t="s">
        <v>509</v>
      </c>
      <c r="F93">
        <v>2</v>
      </c>
      <c r="G93" t="s">
        <v>677</v>
      </c>
      <c r="H93">
        <v>10452</v>
      </c>
      <c r="I93" t="s">
        <v>683</v>
      </c>
      <c r="O93">
        <v>1750</v>
      </c>
      <c r="R93" t="s">
        <v>854</v>
      </c>
      <c r="T93" t="s">
        <v>1030</v>
      </c>
      <c r="U93">
        <v>3</v>
      </c>
      <c r="W93" t="s">
        <v>1115</v>
      </c>
      <c r="X93">
        <v>0</v>
      </c>
      <c r="Y93">
        <v>1</v>
      </c>
      <c r="Z93">
        <v>0</v>
      </c>
      <c r="AA93">
        <v>70.62</v>
      </c>
      <c r="AD93" t="s">
        <v>1122</v>
      </c>
      <c r="AE93">
        <v>8820</v>
      </c>
      <c r="AK93">
        <v>1.3</v>
      </c>
      <c r="AL93" t="s">
        <v>1161</v>
      </c>
      <c r="AM93" t="s">
        <v>1220</v>
      </c>
      <c r="AO93" t="s">
        <v>1236</v>
      </c>
      <c r="AP93" t="s">
        <v>1246</v>
      </c>
      <c r="AR93" t="s">
        <v>683</v>
      </c>
      <c r="AT93" t="s">
        <v>1264</v>
      </c>
      <c r="AW93" t="s">
        <v>1282</v>
      </c>
    </row>
    <row r="94" spans="1:49">
      <c r="A94" s="1">
        <f>HYPERLINK("https://lsnyc.legalserver.org/matter/dynamic-profile/view/1899321","19-1899321")</f>
        <v>0</v>
      </c>
      <c r="B94" t="s">
        <v>77</v>
      </c>
      <c r="C94" t="s">
        <v>192</v>
      </c>
      <c r="D94" t="s">
        <v>351</v>
      </c>
      <c r="E94" t="s">
        <v>510</v>
      </c>
      <c r="F94">
        <v>2</v>
      </c>
      <c r="G94" t="s">
        <v>677</v>
      </c>
      <c r="H94">
        <v>10467</v>
      </c>
      <c r="I94" t="s">
        <v>683</v>
      </c>
      <c r="J94">
        <v>6084012</v>
      </c>
      <c r="O94">
        <v>960</v>
      </c>
      <c r="P94" t="s">
        <v>750</v>
      </c>
      <c r="R94" t="s">
        <v>855</v>
      </c>
      <c r="T94" t="s">
        <v>1031</v>
      </c>
      <c r="U94">
        <v>0</v>
      </c>
      <c r="X94">
        <v>9</v>
      </c>
      <c r="Y94">
        <v>1</v>
      </c>
      <c r="Z94">
        <v>0</v>
      </c>
      <c r="AA94">
        <v>187.35</v>
      </c>
      <c r="AD94" t="s">
        <v>1122</v>
      </c>
      <c r="AE94">
        <v>23400</v>
      </c>
      <c r="AK94">
        <v>1</v>
      </c>
      <c r="AL94" t="s">
        <v>1200</v>
      </c>
      <c r="AM94" t="s">
        <v>1227</v>
      </c>
      <c r="AO94" t="s">
        <v>1236</v>
      </c>
      <c r="AP94" t="s">
        <v>1200</v>
      </c>
      <c r="AR94" t="s">
        <v>683</v>
      </c>
      <c r="AT94" t="s">
        <v>1264</v>
      </c>
      <c r="AW94" t="s">
        <v>1282</v>
      </c>
    </row>
    <row r="95" spans="1:49">
      <c r="A95" s="1">
        <f>HYPERLINK("https://lsnyc.legalserver.org/matter/dynamic-profile/view/1902137","19-1902137")</f>
        <v>0</v>
      </c>
      <c r="B95" t="s">
        <v>72</v>
      </c>
      <c r="C95" t="s">
        <v>193</v>
      </c>
      <c r="D95" t="s">
        <v>352</v>
      </c>
      <c r="E95" t="s">
        <v>511</v>
      </c>
      <c r="F95" t="s">
        <v>636</v>
      </c>
      <c r="G95" t="s">
        <v>677</v>
      </c>
      <c r="H95">
        <v>10452</v>
      </c>
      <c r="I95" t="s">
        <v>683</v>
      </c>
      <c r="O95">
        <v>10024</v>
      </c>
      <c r="P95" t="s">
        <v>752</v>
      </c>
      <c r="R95" t="s">
        <v>856</v>
      </c>
      <c r="T95" t="s">
        <v>1032</v>
      </c>
      <c r="U95">
        <v>200</v>
      </c>
      <c r="W95" t="s">
        <v>748</v>
      </c>
      <c r="X95">
        <v>6</v>
      </c>
      <c r="Y95">
        <v>1</v>
      </c>
      <c r="Z95">
        <v>0</v>
      </c>
      <c r="AA95">
        <v>69.18000000000001</v>
      </c>
      <c r="AD95" t="s">
        <v>1122</v>
      </c>
      <c r="AE95">
        <v>8640</v>
      </c>
      <c r="AK95">
        <v>1</v>
      </c>
      <c r="AL95" t="s">
        <v>1190</v>
      </c>
      <c r="AM95" t="s">
        <v>1221</v>
      </c>
      <c r="AO95" t="s">
        <v>1236</v>
      </c>
      <c r="AP95" t="s">
        <v>1190</v>
      </c>
      <c r="AR95" t="s">
        <v>683</v>
      </c>
      <c r="AT95" t="s">
        <v>1264</v>
      </c>
      <c r="AW95" t="s">
        <v>1282</v>
      </c>
    </row>
    <row r="96" spans="1:49">
      <c r="A96" s="1">
        <f>HYPERLINK("https://lsnyc.legalserver.org/matter/dynamic-profile/view/1906280","19-1906280")</f>
        <v>0</v>
      </c>
      <c r="B96" t="s">
        <v>82</v>
      </c>
      <c r="C96" t="s">
        <v>194</v>
      </c>
      <c r="D96" t="s">
        <v>353</v>
      </c>
      <c r="E96" t="s">
        <v>512</v>
      </c>
      <c r="F96">
        <v>508</v>
      </c>
      <c r="G96" t="s">
        <v>677</v>
      </c>
      <c r="H96">
        <v>10457</v>
      </c>
      <c r="I96" t="s">
        <v>682</v>
      </c>
      <c r="O96">
        <v>810</v>
      </c>
      <c r="R96" t="s">
        <v>857</v>
      </c>
      <c r="T96" t="s">
        <v>1033</v>
      </c>
      <c r="U96">
        <v>119</v>
      </c>
      <c r="V96" t="s">
        <v>1103</v>
      </c>
      <c r="W96" t="s">
        <v>1115</v>
      </c>
      <c r="X96">
        <v>22</v>
      </c>
      <c r="Y96">
        <v>1</v>
      </c>
      <c r="Z96">
        <v>0</v>
      </c>
      <c r="AA96">
        <v>74.08</v>
      </c>
      <c r="AD96" t="s">
        <v>1122</v>
      </c>
      <c r="AE96">
        <v>9252</v>
      </c>
      <c r="AK96">
        <v>1.2</v>
      </c>
      <c r="AL96" t="s">
        <v>1170</v>
      </c>
      <c r="AM96" t="s">
        <v>1217</v>
      </c>
      <c r="AO96" t="s">
        <v>1236</v>
      </c>
      <c r="AP96" t="s">
        <v>1170</v>
      </c>
      <c r="AR96" t="s">
        <v>683</v>
      </c>
      <c r="AT96" t="s">
        <v>1264</v>
      </c>
      <c r="AU96" t="s">
        <v>682</v>
      </c>
      <c r="AW96" t="s">
        <v>1281</v>
      </c>
    </row>
    <row r="97" spans="1:49">
      <c r="A97" s="1">
        <f>HYPERLINK("https://lsnyc.legalserver.org/matter/dynamic-profile/view/1900704","19-1900704")</f>
        <v>0</v>
      </c>
      <c r="B97" t="s">
        <v>67</v>
      </c>
      <c r="C97" t="s">
        <v>154</v>
      </c>
      <c r="D97" t="s">
        <v>354</v>
      </c>
      <c r="E97" t="s">
        <v>513</v>
      </c>
      <c r="G97" t="s">
        <v>677</v>
      </c>
      <c r="H97">
        <v>10457</v>
      </c>
      <c r="I97" t="s">
        <v>682</v>
      </c>
      <c r="O97">
        <v>1657</v>
      </c>
      <c r="R97" t="s">
        <v>858</v>
      </c>
      <c r="S97">
        <v>8477874</v>
      </c>
      <c r="T97" t="s">
        <v>1034</v>
      </c>
      <c r="U97">
        <v>110</v>
      </c>
      <c r="V97" t="s">
        <v>1110</v>
      </c>
      <c r="W97" t="s">
        <v>1121</v>
      </c>
      <c r="X97">
        <v>1</v>
      </c>
      <c r="Y97">
        <v>1</v>
      </c>
      <c r="Z97">
        <v>3</v>
      </c>
      <c r="AA97">
        <v>50.33</v>
      </c>
      <c r="AD97" t="s">
        <v>1122</v>
      </c>
      <c r="AE97">
        <v>12960</v>
      </c>
      <c r="AK97">
        <v>1</v>
      </c>
      <c r="AL97" t="s">
        <v>1201</v>
      </c>
      <c r="AM97" t="s">
        <v>1217</v>
      </c>
      <c r="AO97" t="s">
        <v>1236</v>
      </c>
      <c r="AP97" t="s">
        <v>1201</v>
      </c>
      <c r="AR97" t="s">
        <v>683</v>
      </c>
      <c r="AT97" t="s">
        <v>1264</v>
      </c>
      <c r="AW97" t="s">
        <v>1282</v>
      </c>
    </row>
    <row r="98" spans="1:49">
      <c r="A98" s="1">
        <f>HYPERLINK("https://lsnyc.legalserver.org/matter/dynamic-profile/view/1903715","19-1903715")</f>
        <v>0</v>
      </c>
      <c r="B98" t="s">
        <v>69</v>
      </c>
      <c r="C98" t="s">
        <v>195</v>
      </c>
      <c r="D98" t="s">
        <v>342</v>
      </c>
      <c r="E98" t="s">
        <v>514</v>
      </c>
      <c r="F98" t="s">
        <v>621</v>
      </c>
      <c r="G98" t="s">
        <v>677</v>
      </c>
      <c r="H98">
        <v>10452</v>
      </c>
      <c r="I98" t="s">
        <v>683</v>
      </c>
      <c r="J98" t="s">
        <v>704</v>
      </c>
      <c r="O98">
        <v>1557</v>
      </c>
      <c r="P98" t="s">
        <v>752</v>
      </c>
      <c r="R98" t="s">
        <v>859</v>
      </c>
      <c r="T98" t="s">
        <v>1035</v>
      </c>
      <c r="U98">
        <v>18</v>
      </c>
      <c r="V98" t="s">
        <v>1111</v>
      </c>
      <c r="W98" t="s">
        <v>1115</v>
      </c>
      <c r="X98">
        <v>10</v>
      </c>
      <c r="Y98">
        <v>2</v>
      </c>
      <c r="Z98">
        <v>0</v>
      </c>
      <c r="AA98">
        <v>116.95</v>
      </c>
      <c r="AD98" t="s">
        <v>1122</v>
      </c>
      <c r="AE98">
        <v>19776</v>
      </c>
      <c r="AK98">
        <v>1</v>
      </c>
      <c r="AL98" t="s">
        <v>1163</v>
      </c>
      <c r="AM98" t="s">
        <v>1221</v>
      </c>
      <c r="AO98" t="s">
        <v>1236</v>
      </c>
      <c r="AP98" t="s">
        <v>1163</v>
      </c>
      <c r="AR98" t="s">
        <v>683</v>
      </c>
      <c r="AT98" t="s">
        <v>1264</v>
      </c>
      <c r="AW98" t="s">
        <v>1282</v>
      </c>
    </row>
    <row r="99" spans="1:49">
      <c r="A99" s="1">
        <f>HYPERLINK("https://lsnyc.legalserver.org/matter/dynamic-profile/view/1898051","19-1898051")</f>
        <v>0</v>
      </c>
      <c r="B99" t="s">
        <v>54</v>
      </c>
      <c r="C99" t="s">
        <v>196</v>
      </c>
      <c r="D99" t="s">
        <v>355</v>
      </c>
      <c r="E99" t="s">
        <v>515</v>
      </c>
      <c r="F99" t="s">
        <v>637</v>
      </c>
      <c r="G99" t="s">
        <v>679</v>
      </c>
      <c r="H99">
        <v>10701</v>
      </c>
      <c r="I99" t="s">
        <v>683</v>
      </c>
      <c r="O99">
        <v>0</v>
      </c>
      <c r="R99" t="s">
        <v>860</v>
      </c>
      <c r="T99" t="s">
        <v>1036</v>
      </c>
      <c r="U99">
        <v>0</v>
      </c>
      <c r="X99">
        <v>0</v>
      </c>
      <c r="Y99">
        <v>1</v>
      </c>
      <c r="Z99">
        <v>0</v>
      </c>
      <c r="AA99">
        <v>120.1</v>
      </c>
      <c r="AD99" t="s">
        <v>1122</v>
      </c>
      <c r="AE99">
        <v>15000</v>
      </c>
      <c r="AK99">
        <v>1</v>
      </c>
      <c r="AL99" t="s">
        <v>1202</v>
      </c>
      <c r="AM99" t="s">
        <v>1218</v>
      </c>
      <c r="AO99" t="s">
        <v>1236</v>
      </c>
      <c r="AP99" t="s">
        <v>1202</v>
      </c>
      <c r="AR99" t="s">
        <v>683</v>
      </c>
      <c r="AT99" t="s">
        <v>1264</v>
      </c>
      <c r="AW99" t="s">
        <v>1279</v>
      </c>
    </row>
    <row r="100" spans="1:49">
      <c r="A100" s="1">
        <f>HYPERLINK("https://lsnyc.legalserver.org/matter/dynamic-profile/view/1899695","19-1899695")</f>
        <v>0</v>
      </c>
      <c r="B100" t="s">
        <v>77</v>
      </c>
      <c r="C100" t="s">
        <v>197</v>
      </c>
      <c r="D100" t="s">
        <v>356</v>
      </c>
      <c r="E100" t="s">
        <v>516</v>
      </c>
      <c r="F100" t="s">
        <v>638</v>
      </c>
      <c r="G100" t="s">
        <v>677</v>
      </c>
      <c r="H100">
        <v>10462</v>
      </c>
      <c r="I100" t="s">
        <v>683</v>
      </c>
      <c r="O100">
        <v>1208.7</v>
      </c>
      <c r="P100" t="s">
        <v>755</v>
      </c>
      <c r="R100" t="s">
        <v>861</v>
      </c>
      <c r="T100" t="s">
        <v>1037</v>
      </c>
      <c r="U100">
        <v>130</v>
      </c>
      <c r="W100" t="s">
        <v>1115</v>
      </c>
      <c r="X100">
        <v>3</v>
      </c>
      <c r="Y100">
        <v>1</v>
      </c>
      <c r="Z100">
        <v>0</v>
      </c>
      <c r="AA100">
        <v>74.08</v>
      </c>
      <c r="AD100" t="s">
        <v>1122</v>
      </c>
      <c r="AE100">
        <v>9252</v>
      </c>
      <c r="AK100">
        <v>1</v>
      </c>
      <c r="AL100" t="s">
        <v>1203</v>
      </c>
      <c r="AM100" t="s">
        <v>1221</v>
      </c>
      <c r="AO100" t="s">
        <v>1236</v>
      </c>
      <c r="AP100" t="s">
        <v>1203</v>
      </c>
      <c r="AR100" t="s">
        <v>683</v>
      </c>
      <c r="AT100" t="s">
        <v>1264</v>
      </c>
      <c r="AW100" t="s">
        <v>1282</v>
      </c>
    </row>
    <row r="101" spans="1:49">
      <c r="A101" s="1">
        <f>HYPERLINK("https://lsnyc.legalserver.org/matter/dynamic-profile/view/1898692","19-1898692")</f>
        <v>0</v>
      </c>
      <c r="B101" t="s">
        <v>83</v>
      </c>
      <c r="C101" t="s">
        <v>198</v>
      </c>
      <c r="D101" t="s">
        <v>357</v>
      </c>
      <c r="E101" t="s">
        <v>517</v>
      </c>
      <c r="F101">
        <v>3</v>
      </c>
      <c r="G101" t="s">
        <v>677</v>
      </c>
      <c r="H101">
        <v>10467</v>
      </c>
      <c r="I101" t="s">
        <v>683</v>
      </c>
      <c r="O101">
        <v>0</v>
      </c>
      <c r="R101" t="s">
        <v>862</v>
      </c>
      <c r="T101" t="s">
        <v>1038</v>
      </c>
      <c r="U101">
        <v>0</v>
      </c>
      <c r="X101">
        <v>0</v>
      </c>
      <c r="Y101">
        <v>1</v>
      </c>
      <c r="Z101">
        <v>3</v>
      </c>
      <c r="AA101">
        <v>32.62</v>
      </c>
      <c r="AD101" t="s">
        <v>1122</v>
      </c>
      <c r="AE101">
        <v>8400</v>
      </c>
      <c r="AK101">
        <v>1.5</v>
      </c>
      <c r="AL101" t="s">
        <v>1183</v>
      </c>
      <c r="AM101" t="s">
        <v>1217</v>
      </c>
      <c r="AO101" t="s">
        <v>1236</v>
      </c>
      <c r="AP101" t="s">
        <v>1192</v>
      </c>
      <c r="AR101" t="s">
        <v>683</v>
      </c>
      <c r="AT101" t="s">
        <v>1264</v>
      </c>
      <c r="AW101" t="s">
        <v>1281</v>
      </c>
    </row>
    <row r="102" spans="1:49">
      <c r="A102" s="1">
        <f>HYPERLINK("https://lsnyc.legalserver.org/matter/dynamic-profile/view/1901671","19-1901671")</f>
        <v>0</v>
      </c>
      <c r="B102" t="s">
        <v>81</v>
      </c>
      <c r="C102" t="s">
        <v>199</v>
      </c>
      <c r="D102" t="s">
        <v>358</v>
      </c>
      <c r="E102" t="s">
        <v>518</v>
      </c>
      <c r="G102" t="s">
        <v>677</v>
      </c>
      <c r="H102">
        <v>10466</v>
      </c>
      <c r="I102" t="s">
        <v>683</v>
      </c>
      <c r="O102">
        <v>600</v>
      </c>
      <c r="P102" t="s">
        <v>751</v>
      </c>
      <c r="R102" t="s">
        <v>863</v>
      </c>
      <c r="T102" t="s">
        <v>1039</v>
      </c>
      <c r="U102">
        <v>0</v>
      </c>
      <c r="W102" t="s">
        <v>1116</v>
      </c>
      <c r="X102">
        <v>0</v>
      </c>
      <c r="Y102">
        <v>2</v>
      </c>
      <c r="Z102">
        <v>0</v>
      </c>
      <c r="AA102">
        <v>70.95999999999999</v>
      </c>
      <c r="AD102" t="s">
        <v>1122</v>
      </c>
      <c r="AE102">
        <v>12000</v>
      </c>
      <c r="AK102">
        <v>1.2</v>
      </c>
      <c r="AL102" t="s">
        <v>1194</v>
      </c>
      <c r="AM102" t="s">
        <v>1221</v>
      </c>
      <c r="AO102" t="s">
        <v>1236</v>
      </c>
      <c r="AP102" t="s">
        <v>1209</v>
      </c>
      <c r="AR102" t="s">
        <v>683</v>
      </c>
      <c r="AT102" t="s">
        <v>1264</v>
      </c>
      <c r="AW102" t="s">
        <v>1282</v>
      </c>
    </row>
    <row r="103" spans="1:49">
      <c r="A103" s="1">
        <f>HYPERLINK("https://lsnyc.legalserver.org/matter/dynamic-profile/view/1895548","19-1895548")</f>
        <v>0</v>
      </c>
      <c r="B103" t="s">
        <v>80</v>
      </c>
      <c r="C103" t="s">
        <v>200</v>
      </c>
      <c r="D103" t="s">
        <v>359</v>
      </c>
      <c r="E103" t="s">
        <v>519</v>
      </c>
      <c r="F103" t="s">
        <v>596</v>
      </c>
      <c r="G103" t="s">
        <v>677</v>
      </c>
      <c r="H103">
        <v>10453</v>
      </c>
      <c r="I103" t="s">
        <v>683</v>
      </c>
      <c r="O103">
        <v>1483</v>
      </c>
      <c r="R103" t="s">
        <v>864</v>
      </c>
      <c r="T103" t="s">
        <v>1040</v>
      </c>
      <c r="U103">
        <v>0</v>
      </c>
      <c r="W103" t="s">
        <v>1115</v>
      </c>
      <c r="X103">
        <v>12</v>
      </c>
      <c r="Y103">
        <v>2</v>
      </c>
      <c r="Z103">
        <v>2</v>
      </c>
      <c r="AA103">
        <v>48.47</v>
      </c>
      <c r="AD103" t="s">
        <v>1122</v>
      </c>
      <c r="AE103">
        <v>12480</v>
      </c>
      <c r="AK103">
        <v>1</v>
      </c>
      <c r="AL103" t="s">
        <v>1186</v>
      </c>
      <c r="AM103" t="s">
        <v>1217</v>
      </c>
      <c r="AO103" t="s">
        <v>1236</v>
      </c>
      <c r="AP103" t="s">
        <v>1186</v>
      </c>
      <c r="AR103" t="s">
        <v>683</v>
      </c>
      <c r="AT103" t="s">
        <v>1264</v>
      </c>
      <c r="AW103" t="s">
        <v>1281</v>
      </c>
    </row>
    <row r="104" spans="1:49">
      <c r="A104" s="1">
        <f>HYPERLINK("https://lsnyc.legalserver.org/matter/dynamic-profile/view/1905247","19-1905247")</f>
        <v>0</v>
      </c>
      <c r="B104" t="s">
        <v>84</v>
      </c>
      <c r="C104" t="s">
        <v>201</v>
      </c>
      <c r="D104" t="s">
        <v>345</v>
      </c>
      <c r="E104" t="s">
        <v>520</v>
      </c>
      <c r="F104">
        <v>31</v>
      </c>
      <c r="G104" t="s">
        <v>680</v>
      </c>
      <c r="H104">
        <v>10026</v>
      </c>
      <c r="I104" t="s">
        <v>683</v>
      </c>
      <c r="O104">
        <v>0</v>
      </c>
      <c r="R104" t="s">
        <v>865</v>
      </c>
      <c r="U104">
        <v>0</v>
      </c>
      <c r="X104">
        <v>0</v>
      </c>
      <c r="Y104">
        <v>1</v>
      </c>
      <c r="Z104">
        <v>3</v>
      </c>
      <c r="AA104">
        <v>51.26</v>
      </c>
      <c r="AD104" t="s">
        <v>1122</v>
      </c>
      <c r="AE104">
        <v>13200</v>
      </c>
      <c r="AK104">
        <v>1</v>
      </c>
      <c r="AL104" t="s">
        <v>1165</v>
      </c>
      <c r="AM104" t="s">
        <v>84</v>
      </c>
      <c r="AO104" t="s">
        <v>1236</v>
      </c>
      <c r="AP104" t="s">
        <v>1166</v>
      </c>
      <c r="AR104" t="s">
        <v>683</v>
      </c>
      <c r="AT104" t="s">
        <v>1264</v>
      </c>
      <c r="AW104" t="s">
        <v>1281</v>
      </c>
    </row>
    <row r="105" spans="1:49">
      <c r="A105" s="1">
        <f>HYPERLINK("https://lsnyc.legalserver.org/matter/dynamic-profile/view/1904864","19-1904864")</f>
        <v>0</v>
      </c>
      <c r="B105" t="s">
        <v>54</v>
      </c>
      <c r="C105" t="s">
        <v>202</v>
      </c>
      <c r="D105" t="s">
        <v>360</v>
      </c>
      <c r="E105" t="s">
        <v>521</v>
      </c>
      <c r="G105" t="s">
        <v>677</v>
      </c>
      <c r="H105">
        <v>10472</v>
      </c>
      <c r="I105" t="s">
        <v>683</v>
      </c>
      <c r="O105">
        <v>0</v>
      </c>
      <c r="R105" t="s">
        <v>866</v>
      </c>
      <c r="U105">
        <v>0</v>
      </c>
      <c r="X105">
        <v>0</v>
      </c>
      <c r="Y105">
        <v>1</v>
      </c>
      <c r="Z105">
        <v>0</v>
      </c>
      <c r="AA105">
        <v>115.29</v>
      </c>
      <c r="AD105" t="s">
        <v>1122</v>
      </c>
      <c r="AE105">
        <v>14400</v>
      </c>
      <c r="AK105">
        <v>0.5</v>
      </c>
      <c r="AL105" t="s">
        <v>1161</v>
      </c>
      <c r="AM105" t="s">
        <v>1222</v>
      </c>
      <c r="AO105" t="s">
        <v>1236</v>
      </c>
      <c r="AP105" t="s">
        <v>1161</v>
      </c>
      <c r="AR105" t="s">
        <v>683</v>
      </c>
      <c r="AT105" t="s">
        <v>1264</v>
      </c>
      <c r="AW105" t="s">
        <v>1279</v>
      </c>
    </row>
    <row r="106" spans="1:49">
      <c r="A106" s="1">
        <f>HYPERLINK("https://lsnyc.legalserver.org/matter/dynamic-profile/view/1898518","19-1898518")</f>
        <v>0</v>
      </c>
      <c r="B106" t="s">
        <v>70</v>
      </c>
      <c r="C106" t="s">
        <v>203</v>
      </c>
      <c r="D106" t="s">
        <v>361</v>
      </c>
      <c r="E106" t="s">
        <v>522</v>
      </c>
      <c r="F106">
        <v>1</v>
      </c>
      <c r="G106" t="s">
        <v>677</v>
      </c>
      <c r="H106">
        <v>10452</v>
      </c>
      <c r="I106" t="s">
        <v>683</v>
      </c>
      <c r="J106" t="s">
        <v>705</v>
      </c>
      <c r="O106">
        <v>1189</v>
      </c>
      <c r="P106" t="s">
        <v>748</v>
      </c>
      <c r="R106" t="s">
        <v>867</v>
      </c>
      <c r="U106">
        <v>30</v>
      </c>
      <c r="V106" t="s">
        <v>1105</v>
      </c>
      <c r="W106" t="s">
        <v>1116</v>
      </c>
      <c r="X106">
        <v>8</v>
      </c>
      <c r="Y106">
        <v>1</v>
      </c>
      <c r="Z106">
        <v>2</v>
      </c>
      <c r="AA106">
        <v>41.63</v>
      </c>
      <c r="AD106" t="s">
        <v>1123</v>
      </c>
      <c r="AE106">
        <v>8880</v>
      </c>
      <c r="AK106">
        <v>1</v>
      </c>
      <c r="AL106" t="s">
        <v>1204</v>
      </c>
      <c r="AM106" t="s">
        <v>1223</v>
      </c>
      <c r="AO106" t="s">
        <v>1236</v>
      </c>
      <c r="AP106" t="s">
        <v>1204</v>
      </c>
      <c r="AR106" t="s">
        <v>683</v>
      </c>
      <c r="AT106" t="s">
        <v>1264</v>
      </c>
      <c r="AW106" t="s">
        <v>1282</v>
      </c>
    </row>
    <row r="107" spans="1:49">
      <c r="A107" s="1">
        <f>HYPERLINK("https://lsnyc.legalserver.org/matter/dynamic-profile/view/1905881","19-1905881")</f>
        <v>0</v>
      </c>
      <c r="B107" t="s">
        <v>85</v>
      </c>
      <c r="C107" t="s">
        <v>204</v>
      </c>
      <c r="D107" t="s">
        <v>362</v>
      </c>
      <c r="E107" t="s">
        <v>523</v>
      </c>
      <c r="F107">
        <v>227</v>
      </c>
      <c r="G107" t="s">
        <v>677</v>
      </c>
      <c r="H107">
        <v>10462</v>
      </c>
      <c r="I107" t="s">
        <v>684</v>
      </c>
      <c r="O107">
        <v>0</v>
      </c>
      <c r="U107">
        <v>0</v>
      </c>
      <c r="X107">
        <v>0</v>
      </c>
      <c r="Y107">
        <v>1</v>
      </c>
      <c r="Z107">
        <v>0</v>
      </c>
      <c r="AA107">
        <v>0</v>
      </c>
      <c r="AE107">
        <v>0</v>
      </c>
      <c r="AK107">
        <v>5</v>
      </c>
      <c r="AL107" t="s">
        <v>1165</v>
      </c>
      <c r="AM107" t="s">
        <v>1225</v>
      </c>
      <c r="AN107" t="s">
        <v>1116</v>
      </c>
      <c r="AO107" t="s">
        <v>1236</v>
      </c>
      <c r="AP107" t="s">
        <v>1179</v>
      </c>
      <c r="AR107" t="s">
        <v>683</v>
      </c>
      <c r="AT107" t="s">
        <v>1264</v>
      </c>
      <c r="AW107" t="s">
        <v>1282</v>
      </c>
    </row>
    <row r="108" spans="1:49">
      <c r="A108" s="1">
        <f>HYPERLINK("https://lsnyc.legalserver.org/matter/dynamic-profile/view/1898290","19-1898290")</f>
        <v>0</v>
      </c>
      <c r="B108" t="s">
        <v>67</v>
      </c>
      <c r="C108" t="s">
        <v>205</v>
      </c>
      <c r="D108" t="s">
        <v>264</v>
      </c>
      <c r="E108" t="s">
        <v>524</v>
      </c>
      <c r="F108" t="s">
        <v>639</v>
      </c>
      <c r="G108" t="s">
        <v>677</v>
      </c>
      <c r="H108">
        <v>10453</v>
      </c>
      <c r="I108" t="s">
        <v>682</v>
      </c>
      <c r="J108" t="s">
        <v>706</v>
      </c>
      <c r="K108" t="s">
        <v>732</v>
      </c>
      <c r="O108">
        <v>1460</v>
      </c>
      <c r="P108" t="s">
        <v>753</v>
      </c>
      <c r="Q108" t="s">
        <v>758</v>
      </c>
      <c r="R108" t="s">
        <v>868</v>
      </c>
      <c r="T108" t="s">
        <v>1041</v>
      </c>
      <c r="U108">
        <v>51</v>
      </c>
      <c r="V108" t="s">
        <v>1105</v>
      </c>
      <c r="W108" t="s">
        <v>1116</v>
      </c>
      <c r="X108">
        <v>4</v>
      </c>
      <c r="Y108">
        <v>3</v>
      </c>
      <c r="Z108">
        <v>1</v>
      </c>
      <c r="AA108">
        <v>0</v>
      </c>
      <c r="AD108" t="s">
        <v>1122</v>
      </c>
      <c r="AE108">
        <v>0</v>
      </c>
      <c r="AF108" t="s">
        <v>1143</v>
      </c>
      <c r="AK108">
        <v>5.8</v>
      </c>
      <c r="AL108" t="s">
        <v>1205</v>
      </c>
      <c r="AM108" t="s">
        <v>1229</v>
      </c>
      <c r="AO108" t="s">
        <v>1235</v>
      </c>
      <c r="AP108" t="s">
        <v>1181</v>
      </c>
      <c r="AQ108" t="s">
        <v>1256</v>
      </c>
      <c r="AR108" t="s">
        <v>682</v>
      </c>
      <c r="AS108" t="s">
        <v>1257</v>
      </c>
      <c r="AT108" t="s">
        <v>1265</v>
      </c>
      <c r="AU108" t="s">
        <v>684</v>
      </c>
      <c r="AW108" t="s">
        <v>1282</v>
      </c>
    </row>
    <row r="109" spans="1:49">
      <c r="A109" s="1">
        <f>HYPERLINK("https://lsnyc.legalserver.org/matter/dynamic-profile/view/1897988","19-1897988")</f>
        <v>0</v>
      </c>
      <c r="B109" t="s">
        <v>86</v>
      </c>
      <c r="C109" t="s">
        <v>206</v>
      </c>
      <c r="D109" t="s">
        <v>363</v>
      </c>
      <c r="E109" t="s">
        <v>525</v>
      </c>
      <c r="F109" t="s">
        <v>640</v>
      </c>
      <c r="G109" t="s">
        <v>677</v>
      </c>
      <c r="H109">
        <v>10451</v>
      </c>
      <c r="I109" t="s">
        <v>683</v>
      </c>
      <c r="O109">
        <v>0</v>
      </c>
      <c r="R109" t="s">
        <v>869</v>
      </c>
      <c r="T109" t="s">
        <v>1042</v>
      </c>
      <c r="U109">
        <v>0</v>
      </c>
      <c r="X109">
        <v>0</v>
      </c>
      <c r="Y109">
        <v>1</v>
      </c>
      <c r="Z109">
        <v>0</v>
      </c>
      <c r="AA109">
        <v>164.2</v>
      </c>
      <c r="AD109" t="s">
        <v>1122</v>
      </c>
      <c r="AE109">
        <v>20508</v>
      </c>
      <c r="AK109">
        <v>4.85</v>
      </c>
      <c r="AL109" t="s">
        <v>1175</v>
      </c>
      <c r="AM109" t="s">
        <v>86</v>
      </c>
      <c r="AO109" t="s">
        <v>1236</v>
      </c>
      <c r="AP109" t="s">
        <v>1202</v>
      </c>
      <c r="AR109" t="s">
        <v>683</v>
      </c>
      <c r="AT109" t="s">
        <v>1266</v>
      </c>
      <c r="AW109" t="s">
        <v>1281</v>
      </c>
    </row>
    <row r="110" spans="1:49">
      <c r="A110" s="1">
        <f>HYPERLINK("https://lsnyc.legalserver.org/matter/dynamic-profile/view/1905444","19-1905444")</f>
        <v>0</v>
      </c>
      <c r="B110" t="s">
        <v>87</v>
      </c>
      <c r="C110" t="s">
        <v>190</v>
      </c>
      <c r="D110" t="s">
        <v>364</v>
      </c>
      <c r="E110" t="s">
        <v>526</v>
      </c>
      <c r="F110" t="s">
        <v>641</v>
      </c>
      <c r="G110" t="s">
        <v>677</v>
      </c>
      <c r="H110">
        <v>10459</v>
      </c>
      <c r="I110" t="s">
        <v>683</v>
      </c>
      <c r="K110" t="s">
        <v>731</v>
      </c>
      <c r="L110" t="s">
        <v>739</v>
      </c>
      <c r="O110">
        <v>0</v>
      </c>
      <c r="P110" t="s">
        <v>752</v>
      </c>
      <c r="Q110" t="s">
        <v>759</v>
      </c>
      <c r="R110" t="s">
        <v>870</v>
      </c>
      <c r="T110" t="s">
        <v>1043</v>
      </c>
      <c r="U110">
        <v>0</v>
      </c>
      <c r="V110" t="s">
        <v>1111</v>
      </c>
      <c r="X110">
        <v>0</v>
      </c>
      <c r="Y110">
        <v>1</v>
      </c>
      <c r="Z110">
        <v>0</v>
      </c>
      <c r="AA110">
        <v>74.08</v>
      </c>
      <c r="AD110" t="s">
        <v>1122</v>
      </c>
      <c r="AE110">
        <v>9252</v>
      </c>
      <c r="AK110">
        <v>2.35</v>
      </c>
      <c r="AL110" t="s">
        <v>1206</v>
      </c>
      <c r="AM110" t="s">
        <v>1222</v>
      </c>
      <c r="AO110" t="s">
        <v>1235</v>
      </c>
      <c r="AP110" t="s">
        <v>1169</v>
      </c>
      <c r="AQ110" t="s">
        <v>1206</v>
      </c>
      <c r="AR110" t="s">
        <v>683</v>
      </c>
      <c r="AS110" t="s">
        <v>1258</v>
      </c>
      <c r="AT110" t="s">
        <v>1267</v>
      </c>
      <c r="AW110" t="s">
        <v>1282</v>
      </c>
    </row>
    <row r="111" spans="1:49">
      <c r="A111" s="1">
        <f>HYPERLINK("https://lsnyc.legalserver.org/matter/dynamic-profile/view/1904939","19-1904939")</f>
        <v>0</v>
      </c>
      <c r="B111" t="s">
        <v>87</v>
      </c>
      <c r="C111" t="s">
        <v>207</v>
      </c>
      <c r="D111" t="s">
        <v>365</v>
      </c>
      <c r="E111" t="s">
        <v>527</v>
      </c>
      <c r="F111">
        <v>909</v>
      </c>
      <c r="G111" t="s">
        <v>677</v>
      </c>
      <c r="H111">
        <v>10456</v>
      </c>
      <c r="I111" t="s">
        <v>683</v>
      </c>
      <c r="K111" t="s">
        <v>731</v>
      </c>
      <c r="L111" t="s">
        <v>741</v>
      </c>
      <c r="O111">
        <v>1300</v>
      </c>
      <c r="R111" t="s">
        <v>871</v>
      </c>
      <c r="T111" t="s">
        <v>1044</v>
      </c>
      <c r="U111">
        <v>0</v>
      </c>
      <c r="V111" t="s">
        <v>1105</v>
      </c>
      <c r="W111" t="s">
        <v>1115</v>
      </c>
      <c r="X111">
        <v>2</v>
      </c>
      <c r="Y111">
        <v>1</v>
      </c>
      <c r="Z111">
        <v>0</v>
      </c>
      <c r="AA111">
        <v>74.08</v>
      </c>
      <c r="AD111" t="s">
        <v>1122</v>
      </c>
      <c r="AE111">
        <v>9252</v>
      </c>
      <c r="AK111">
        <v>1.7</v>
      </c>
      <c r="AL111" t="s">
        <v>1207</v>
      </c>
      <c r="AM111" t="s">
        <v>1218</v>
      </c>
      <c r="AO111" t="s">
        <v>1236</v>
      </c>
      <c r="AP111" t="s">
        <v>1207</v>
      </c>
      <c r="AR111" t="s">
        <v>683</v>
      </c>
      <c r="AT111" t="s">
        <v>1267</v>
      </c>
      <c r="AW111" t="s">
        <v>1282</v>
      </c>
    </row>
    <row r="112" spans="1:49">
      <c r="A112" s="1">
        <f>HYPERLINK("https://lsnyc.legalserver.org/matter/dynamic-profile/view/1906101","19-1906101")</f>
        <v>0</v>
      </c>
      <c r="B112" t="s">
        <v>87</v>
      </c>
      <c r="C112" t="s">
        <v>208</v>
      </c>
      <c r="D112" t="s">
        <v>366</v>
      </c>
      <c r="E112" t="s">
        <v>528</v>
      </c>
      <c r="F112" t="s">
        <v>642</v>
      </c>
      <c r="G112" t="s">
        <v>677</v>
      </c>
      <c r="H112">
        <v>10472</v>
      </c>
      <c r="I112" t="s">
        <v>683</v>
      </c>
      <c r="J112" t="s">
        <v>707</v>
      </c>
      <c r="K112" t="s">
        <v>732</v>
      </c>
      <c r="L112" t="s">
        <v>741</v>
      </c>
      <c r="O112">
        <v>1350</v>
      </c>
      <c r="R112" t="s">
        <v>872</v>
      </c>
      <c r="T112" t="s">
        <v>1045</v>
      </c>
      <c r="U112">
        <v>0</v>
      </c>
      <c r="V112" t="s">
        <v>1105</v>
      </c>
      <c r="W112" t="s">
        <v>1118</v>
      </c>
      <c r="X112">
        <v>4</v>
      </c>
      <c r="Y112">
        <v>1</v>
      </c>
      <c r="Z112">
        <v>0</v>
      </c>
      <c r="AA112">
        <v>66.29000000000001</v>
      </c>
      <c r="AD112" t="s">
        <v>1122</v>
      </c>
      <c r="AE112">
        <v>8280</v>
      </c>
      <c r="AK112">
        <v>1.1</v>
      </c>
      <c r="AL112" t="s">
        <v>1206</v>
      </c>
      <c r="AM112" t="s">
        <v>1218</v>
      </c>
      <c r="AO112" t="s">
        <v>1236</v>
      </c>
      <c r="AP112" t="s">
        <v>1206</v>
      </c>
      <c r="AR112" t="s">
        <v>683</v>
      </c>
      <c r="AT112" t="s">
        <v>1267</v>
      </c>
      <c r="AU112" t="s">
        <v>684</v>
      </c>
      <c r="AW112" t="s">
        <v>1282</v>
      </c>
    </row>
    <row r="113" spans="1:49">
      <c r="A113" s="1">
        <f>HYPERLINK("https://lsnyc.legalserver.org/matter/dynamic-profile/view/1899053","19-1899053")</f>
        <v>0</v>
      </c>
      <c r="B113" t="s">
        <v>88</v>
      </c>
      <c r="C113" t="s">
        <v>209</v>
      </c>
      <c r="D113" t="s">
        <v>367</v>
      </c>
      <c r="E113" t="s">
        <v>529</v>
      </c>
      <c r="F113" t="s">
        <v>643</v>
      </c>
      <c r="G113" t="s">
        <v>677</v>
      </c>
      <c r="H113">
        <v>10468</v>
      </c>
      <c r="I113" t="s">
        <v>682</v>
      </c>
      <c r="J113" t="s">
        <v>708</v>
      </c>
      <c r="K113" t="s">
        <v>730</v>
      </c>
      <c r="L113" t="s">
        <v>740</v>
      </c>
      <c r="M113" t="s">
        <v>744</v>
      </c>
      <c r="O113">
        <v>288</v>
      </c>
      <c r="P113" t="s">
        <v>749</v>
      </c>
      <c r="R113" t="s">
        <v>873</v>
      </c>
      <c r="T113" t="s">
        <v>1046</v>
      </c>
      <c r="U113">
        <v>48</v>
      </c>
      <c r="V113" t="s">
        <v>1106</v>
      </c>
      <c r="W113" t="s">
        <v>1115</v>
      </c>
      <c r="X113">
        <v>30</v>
      </c>
      <c r="Y113">
        <v>1</v>
      </c>
      <c r="Z113">
        <v>0</v>
      </c>
      <c r="AA113">
        <v>160.45</v>
      </c>
      <c r="AD113" t="s">
        <v>1122</v>
      </c>
      <c r="AE113">
        <v>20040</v>
      </c>
      <c r="AK113">
        <v>8.5</v>
      </c>
      <c r="AL113" t="s">
        <v>1176</v>
      </c>
      <c r="AM113" t="s">
        <v>1226</v>
      </c>
      <c r="AN113" t="s">
        <v>1233</v>
      </c>
      <c r="AO113" t="s">
        <v>1236</v>
      </c>
      <c r="AP113" t="s">
        <v>1247</v>
      </c>
      <c r="AR113" t="s">
        <v>683</v>
      </c>
      <c r="AT113" t="s">
        <v>1267</v>
      </c>
      <c r="AU113" t="s">
        <v>684</v>
      </c>
      <c r="AW113" t="s">
        <v>1282</v>
      </c>
    </row>
    <row r="114" spans="1:49">
      <c r="A114" s="1">
        <f>HYPERLINK("https://lsnyc.legalserver.org/matter/dynamic-profile/view/1902704","19-1902704")</f>
        <v>0</v>
      </c>
      <c r="B114" t="s">
        <v>89</v>
      </c>
      <c r="C114" t="s">
        <v>166</v>
      </c>
      <c r="D114" t="s">
        <v>368</v>
      </c>
      <c r="E114" t="s">
        <v>530</v>
      </c>
      <c r="F114" t="s">
        <v>644</v>
      </c>
      <c r="G114" t="s">
        <v>677</v>
      </c>
      <c r="H114">
        <v>10457</v>
      </c>
      <c r="I114" t="s">
        <v>682</v>
      </c>
      <c r="J114" t="s">
        <v>709</v>
      </c>
      <c r="K114" t="s">
        <v>730</v>
      </c>
      <c r="L114" t="s">
        <v>738</v>
      </c>
      <c r="M114" t="s">
        <v>745</v>
      </c>
      <c r="O114">
        <v>1625.28</v>
      </c>
      <c r="P114" t="s">
        <v>753</v>
      </c>
      <c r="Q114" t="s">
        <v>758</v>
      </c>
      <c r="R114" t="s">
        <v>874</v>
      </c>
      <c r="S114" t="s">
        <v>944</v>
      </c>
      <c r="T114" t="s">
        <v>1047</v>
      </c>
      <c r="U114">
        <v>55</v>
      </c>
      <c r="V114" t="s">
        <v>1102</v>
      </c>
      <c r="W114" t="s">
        <v>1116</v>
      </c>
      <c r="X114">
        <v>18</v>
      </c>
      <c r="Y114">
        <v>2</v>
      </c>
      <c r="Z114">
        <v>0</v>
      </c>
      <c r="AA114">
        <v>259.87</v>
      </c>
      <c r="AD114" t="s">
        <v>1123</v>
      </c>
      <c r="AE114">
        <v>43944</v>
      </c>
      <c r="AF114" t="s">
        <v>1144</v>
      </c>
      <c r="AK114">
        <v>3.3</v>
      </c>
      <c r="AL114" t="s">
        <v>1176</v>
      </c>
      <c r="AM114" t="s">
        <v>1230</v>
      </c>
      <c r="AN114" t="s">
        <v>1234</v>
      </c>
      <c r="AO114" t="s">
        <v>1235</v>
      </c>
      <c r="AP114" t="s">
        <v>1167</v>
      </c>
      <c r="AQ114" t="s">
        <v>1162</v>
      </c>
      <c r="AR114" t="s">
        <v>683</v>
      </c>
      <c r="AS114" t="s">
        <v>1257</v>
      </c>
      <c r="AT114" t="s">
        <v>1268</v>
      </c>
      <c r="AU114" t="s">
        <v>684</v>
      </c>
      <c r="AW114" t="s">
        <v>1282</v>
      </c>
    </row>
    <row r="115" spans="1:49">
      <c r="A115" s="1">
        <f>HYPERLINK("https://lsnyc.legalserver.org/matter/dynamic-profile/view/1895446","19-1895446")</f>
        <v>0</v>
      </c>
      <c r="B115" t="s">
        <v>60</v>
      </c>
      <c r="C115" t="s">
        <v>183</v>
      </c>
      <c r="D115" t="s">
        <v>369</v>
      </c>
      <c r="E115" t="s">
        <v>531</v>
      </c>
      <c r="F115" t="s">
        <v>645</v>
      </c>
      <c r="G115" t="s">
        <v>677</v>
      </c>
      <c r="H115">
        <v>10455</v>
      </c>
      <c r="I115" t="s">
        <v>682</v>
      </c>
      <c r="K115" t="s">
        <v>731</v>
      </c>
      <c r="L115" t="s">
        <v>738</v>
      </c>
      <c r="O115">
        <v>1008</v>
      </c>
      <c r="P115" t="s">
        <v>753</v>
      </c>
      <c r="Q115" t="s">
        <v>758</v>
      </c>
      <c r="R115" t="s">
        <v>875</v>
      </c>
      <c r="T115" t="s">
        <v>1048</v>
      </c>
      <c r="U115">
        <v>143</v>
      </c>
      <c r="V115" t="s">
        <v>1112</v>
      </c>
      <c r="W115" t="s">
        <v>1116</v>
      </c>
      <c r="X115">
        <v>5</v>
      </c>
      <c r="Y115">
        <v>1</v>
      </c>
      <c r="Z115">
        <v>0</v>
      </c>
      <c r="AA115">
        <v>249.8</v>
      </c>
      <c r="AD115" t="s">
        <v>1122</v>
      </c>
      <c r="AE115">
        <v>31200</v>
      </c>
      <c r="AK115">
        <v>1.75</v>
      </c>
      <c r="AL115" t="s">
        <v>1186</v>
      </c>
      <c r="AM115" t="s">
        <v>60</v>
      </c>
      <c r="AO115" t="s">
        <v>1235</v>
      </c>
      <c r="AP115" t="s">
        <v>1186</v>
      </c>
      <c r="AQ115" t="s">
        <v>1181</v>
      </c>
      <c r="AR115" t="s">
        <v>682</v>
      </c>
      <c r="AS115" t="s">
        <v>1257</v>
      </c>
      <c r="AT115" t="s">
        <v>1268</v>
      </c>
      <c r="AU115" t="s">
        <v>684</v>
      </c>
      <c r="AW115" t="s">
        <v>1282</v>
      </c>
    </row>
    <row r="116" spans="1:49">
      <c r="A116" s="1">
        <f>HYPERLINK("https://lsnyc.legalserver.org/matter/dynamic-profile/view/1901046","19-1901046")</f>
        <v>0</v>
      </c>
      <c r="B116" t="s">
        <v>82</v>
      </c>
      <c r="C116" t="s">
        <v>210</v>
      </c>
      <c r="D116" t="s">
        <v>370</v>
      </c>
      <c r="E116" t="s">
        <v>532</v>
      </c>
      <c r="F116" t="s">
        <v>646</v>
      </c>
      <c r="G116" t="s">
        <v>677</v>
      </c>
      <c r="H116">
        <v>10452</v>
      </c>
      <c r="I116" t="s">
        <v>682</v>
      </c>
      <c r="K116" t="s">
        <v>731</v>
      </c>
      <c r="L116" t="s">
        <v>738</v>
      </c>
      <c r="O116">
        <v>1250</v>
      </c>
      <c r="P116" t="s">
        <v>756</v>
      </c>
      <c r="Q116" t="s">
        <v>758</v>
      </c>
      <c r="R116" t="s">
        <v>876</v>
      </c>
      <c r="T116" t="s">
        <v>1049</v>
      </c>
      <c r="U116">
        <v>59</v>
      </c>
      <c r="V116" t="s">
        <v>1102</v>
      </c>
      <c r="W116" t="s">
        <v>1116</v>
      </c>
      <c r="X116">
        <v>6</v>
      </c>
      <c r="Y116">
        <v>1</v>
      </c>
      <c r="Z116">
        <v>0</v>
      </c>
      <c r="AA116">
        <v>327.03</v>
      </c>
      <c r="AE116">
        <v>40846</v>
      </c>
      <c r="AF116" t="s">
        <v>1145</v>
      </c>
      <c r="AK116">
        <v>1</v>
      </c>
      <c r="AL116" t="s">
        <v>1171</v>
      </c>
      <c r="AM116" t="s">
        <v>1231</v>
      </c>
      <c r="AN116" t="s">
        <v>1233</v>
      </c>
      <c r="AO116" t="s">
        <v>1235</v>
      </c>
      <c r="AP116" t="s">
        <v>1171</v>
      </c>
      <c r="AQ116" t="s">
        <v>1241</v>
      </c>
      <c r="AR116" t="s">
        <v>683</v>
      </c>
      <c r="AS116" t="s">
        <v>1257</v>
      </c>
      <c r="AT116" t="s">
        <v>1268</v>
      </c>
      <c r="AU116" t="s">
        <v>684</v>
      </c>
      <c r="AW116" t="s">
        <v>1282</v>
      </c>
    </row>
    <row r="117" spans="1:49">
      <c r="A117" s="1">
        <f>HYPERLINK("https://lsnyc.legalserver.org/matter/dynamic-profile/view/1903945","19-1903945")</f>
        <v>0</v>
      </c>
      <c r="B117" t="s">
        <v>90</v>
      </c>
      <c r="C117" t="s">
        <v>211</v>
      </c>
      <c r="D117" t="s">
        <v>371</v>
      </c>
      <c r="E117" t="s">
        <v>533</v>
      </c>
      <c r="G117" t="s">
        <v>677</v>
      </c>
      <c r="H117">
        <v>10454</v>
      </c>
      <c r="I117" t="s">
        <v>682</v>
      </c>
      <c r="L117" t="s">
        <v>738</v>
      </c>
      <c r="O117">
        <v>1500</v>
      </c>
      <c r="Q117" t="s">
        <v>758</v>
      </c>
      <c r="R117" t="s">
        <v>877</v>
      </c>
      <c r="T117" t="s">
        <v>1050</v>
      </c>
      <c r="U117">
        <v>0</v>
      </c>
      <c r="V117" t="s">
        <v>1104</v>
      </c>
      <c r="X117">
        <v>1</v>
      </c>
      <c r="Y117">
        <v>2</v>
      </c>
      <c r="Z117">
        <v>0</v>
      </c>
      <c r="AA117">
        <v>357.89</v>
      </c>
      <c r="AD117" t="s">
        <v>1122</v>
      </c>
      <c r="AE117">
        <v>60519.68</v>
      </c>
      <c r="AF117" t="s">
        <v>1146</v>
      </c>
      <c r="AK117">
        <v>0.8</v>
      </c>
      <c r="AL117" t="s">
        <v>1175</v>
      </c>
      <c r="AM117" t="s">
        <v>1215</v>
      </c>
      <c r="AN117" t="s">
        <v>1233</v>
      </c>
      <c r="AO117" t="s">
        <v>1235</v>
      </c>
      <c r="AP117" t="s">
        <v>1172</v>
      </c>
      <c r="AQ117" t="s">
        <v>1175</v>
      </c>
      <c r="AR117" t="s">
        <v>683</v>
      </c>
      <c r="AS117" t="s">
        <v>1257</v>
      </c>
      <c r="AT117" t="s">
        <v>1268</v>
      </c>
      <c r="AW117" t="s">
        <v>1282</v>
      </c>
    </row>
    <row r="118" spans="1:49">
      <c r="A118" s="1">
        <f>HYPERLINK("https://lsnyc.legalserver.org/matter/dynamic-profile/view/1901904","19-1901904")</f>
        <v>0</v>
      </c>
      <c r="B118" t="s">
        <v>91</v>
      </c>
      <c r="C118" t="s">
        <v>212</v>
      </c>
      <c r="D118" t="s">
        <v>372</v>
      </c>
      <c r="E118" t="s">
        <v>534</v>
      </c>
      <c r="F118">
        <v>214</v>
      </c>
      <c r="G118" t="s">
        <v>677</v>
      </c>
      <c r="H118">
        <v>10453</v>
      </c>
      <c r="I118" t="s">
        <v>683</v>
      </c>
      <c r="L118" t="s">
        <v>738</v>
      </c>
      <c r="O118">
        <v>560</v>
      </c>
      <c r="Q118" t="s">
        <v>758</v>
      </c>
      <c r="R118" t="s">
        <v>878</v>
      </c>
      <c r="U118">
        <v>0</v>
      </c>
      <c r="X118">
        <v>28</v>
      </c>
      <c r="Y118">
        <v>1</v>
      </c>
      <c r="Z118">
        <v>0</v>
      </c>
      <c r="AA118">
        <v>224.18</v>
      </c>
      <c r="AD118" t="s">
        <v>1122</v>
      </c>
      <c r="AE118">
        <v>28000</v>
      </c>
      <c r="AF118" t="s">
        <v>1147</v>
      </c>
      <c r="AK118">
        <v>1.2</v>
      </c>
      <c r="AL118" t="s">
        <v>1159</v>
      </c>
      <c r="AM118" t="s">
        <v>61</v>
      </c>
      <c r="AO118" t="s">
        <v>1235</v>
      </c>
      <c r="AP118" t="s">
        <v>1241</v>
      </c>
      <c r="AQ118" t="s">
        <v>1214</v>
      </c>
      <c r="AR118" t="s">
        <v>683</v>
      </c>
      <c r="AS118" t="s">
        <v>1257</v>
      </c>
      <c r="AT118" t="s">
        <v>1268</v>
      </c>
      <c r="AW118" t="s">
        <v>1282</v>
      </c>
    </row>
    <row r="119" spans="1:49">
      <c r="A119" s="1">
        <f>HYPERLINK("https://lsnyc.legalserver.org/matter/dynamic-profile/view/1901237","19-1901237")</f>
        <v>0</v>
      </c>
      <c r="B119" t="s">
        <v>49</v>
      </c>
      <c r="C119" t="s">
        <v>213</v>
      </c>
      <c r="D119" t="s">
        <v>312</v>
      </c>
      <c r="E119" t="s">
        <v>535</v>
      </c>
      <c r="F119" t="s">
        <v>647</v>
      </c>
      <c r="G119" t="s">
        <v>677</v>
      </c>
      <c r="H119">
        <v>10473</v>
      </c>
      <c r="I119" t="s">
        <v>683</v>
      </c>
      <c r="J119" t="s">
        <v>710</v>
      </c>
      <c r="K119" t="s">
        <v>732</v>
      </c>
      <c r="L119" t="s">
        <v>739</v>
      </c>
      <c r="M119" t="s">
        <v>745</v>
      </c>
      <c r="O119">
        <v>1318</v>
      </c>
      <c r="P119" t="s">
        <v>753</v>
      </c>
      <c r="Q119" t="s">
        <v>759</v>
      </c>
      <c r="R119" t="s">
        <v>879</v>
      </c>
      <c r="T119" t="s">
        <v>1051</v>
      </c>
      <c r="U119">
        <v>982</v>
      </c>
      <c r="V119" t="s">
        <v>1109</v>
      </c>
      <c r="X119">
        <v>0</v>
      </c>
      <c r="Y119">
        <v>1</v>
      </c>
      <c r="Z119">
        <v>0</v>
      </c>
      <c r="AA119">
        <v>382.69</v>
      </c>
      <c r="AD119" t="s">
        <v>1124</v>
      </c>
      <c r="AE119">
        <v>47798</v>
      </c>
      <c r="AF119" t="s">
        <v>1148</v>
      </c>
      <c r="AK119">
        <v>1.1</v>
      </c>
      <c r="AL119" t="s">
        <v>1178</v>
      </c>
      <c r="AM119" t="s">
        <v>61</v>
      </c>
      <c r="AO119" t="s">
        <v>1235</v>
      </c>
      <c r="AP119" t="s">
        <v>1205</v>
      </c>
      <c r="AQ119" t="s">
        <v>1178</v>
      </c>
      <c r="AR119" t="s">
        <v>683</v>
      </c>
      <c r="AS119" t="s">
        <v>1258</v>
      </c>
      <c r="AT119" t="s">
        <v>1268</v>
      </c>
      <c r="AU119" t="s">
        <v>684</v>
      </c>
      <c r="AW119" t="s">
        <v>1282</v>
      </c>
    </row>
    <row r="120" spans="1:49">
      <c r="A120" s="1">
        <f>HYPERLINK("https://lsnyc.legalserver.org/matter/dynamic-profile/view/1905455","19-1905455")</f>
        <v>0</v>
      </c>
      <c r="B120" t="s">
        <v>57</v>
      </c>
      <c r="C120" t="s">
        <v>120</v>
      </c>
      <c r="D120" t="s">
        <v>373</v>
      </c>
      <c r="E120" t="s">
        <v>525</v>
      </c>
      <c r="F120" t="s">
        <v>600</v>
      </c>
      <c r="G120" t="s">
        <v>677</v>
      </c>
      <c r="H120">
        <v>10451</v>
      </c>
      <c r="I120" t="s">
        <v>682</v>
      </c>
      <c r="J120" t="s">
        <v>685</v>
      </c>
      <c r="K120" t="s">
        <v>732</v>
      </c>
      <c r="L120" t="s">
        <v>739</v>
      </c>
      <c r="M120" t="s">
        <v>744</v>
      </c>
      <c r="O120">
        <v>978</v>
      </c>
      <c r="P120" t="s">
        <v>752</v>
      </c>
      <c r="Q120" t="s">
        <v>762</v>
      </c>
      <c r="R120" t="s">
        <v>880</v>
      </c>
      <c r="T120" t="s">
        <v>1052</v>
      </c>
      <c r="U120">
        <v>81</v>
      </c>
      <c r="V120" t="s">
        <v>1102</v>
      </c>
      <c r="W120" t="s">
        <v>1116</v>
      </c>
      <c r="X120">
        <v>37</v>
      </c>
      <c r="Y120">
        <v>2</v>
      </c>
      <c r="Z120">
        <v>0</v>
      </c>
      <c r="AA120">
        <v>283.86</v>
      </c>
      <c r="AD120" t="s">
        <v>1122</v>
      </c>
      <c r="AE120">
        <v>48000</v>
      </c>
      <c r="AK120">
        <v>0.3</v>
      </c>
      <c r="AL120" t="s">
        <v>1169</v>
      </c>
      <c r="AM120" t="s">
        <v>1231</v>
      </c>
      <c r="AN120" t="s">
        <v>1233</v>
      </c>
      <c r="AO120" t="s">
        <v>1235</v>
      </c>
      <c r="AP120" t="s">
        <v>1169</v>
      </c>
      <c r="AQ120" t="s">
        <v>1169</v>
      </c>
      <c r="AR120" t="s">
        <v>683</v>
      </c>
      <c r="AS120" t="s">
        <v>1258</v>
      </c>
      <c r="AT120" t="s">
        <v>1268</v>
      </c>
      <c r="AU120" t="s">
        <v>684</v>
      </c>
      <c r="AW120" t="s">
        <v>1282</v>
      </c>
    </row>
    <row r="121" spans="1:49">
      <c r="A121" s="1">
        <f>HYPERLINK("https://lsnyc.legalserver.org/matter/dynamic-profile/view/1904050","19-1904050")</f>
        <v>0</v>
      </c>
      <c r="B121" t="s">
        <v>92</v>
      </c>
      <c r="C121" t="s">
        <v>214</v>
      </c>
      <c r="D121" t="s">
        <v>374</v>
      </c>
      <c r="E121" t="s">
        <v>536</v>
      </c>
      <c r="F121" t="s">
        <v>601</v>
      </c>
      <c r="G121" t="s">
        <v>677</v>
      </c>
      <c r="H121">
        <v>10468</v>
      </c>
      <c r="I121" t="s">
        <v>682</v>
      </c>
      <c r="J121" t="s">
        <v>711</v>
      </c>
      <c r="K121" t="s">
        <v>730</v>
      </c>
      <c r="L121" t="s">
        <v>738</v>
      </c>
      <c r="O121">
        <v>547</v>
      </c>
      <c r="R121" t="s">
        <v>881</v>
      </c>
      <c r="T121" t="s">
        <v>1053</v>
      </c>
      <c r="U121">
        <v>0</v>
      </c>
      <c r="X121">
        <v>2</v>
      </c>
      <c r="Y121">
        <v>1</v>
      </c>
      <c r="Z121">
        <v>0</v>
      </c>
      <c r="AA121">
        <v>424.34</v>
      </c>
      <c r="AD121" t="s">
        <v>1122</v>
      </c>
      <c r="AE121">
        <v>53000</v>
      </c>
      <c r="AK121">
        <v>1.8</v>
      </c>
      <c r="AL121" t="s">
        <v>1162</v>
      </c>
      <c r="AM121" t="s">
        <v>77</v>
      </c>
      <c r="AN121" t="s">
        <v>1233</v>
      </c>
      <c r="AO121" t="s">
        <v>1236</v>
      </c>
      <c r="AP121" t="s">
        <v>1214</v>
      </c>
      <c r="AR121" t="s">
        <v>683</v>
      </c>
      <c r="AT121" t="s">
        <v>1268</v>
      </c>
      <c r="AU121" t="s">
        <v>684</v>
      </c>
      <c r="AW121" t="s">
        <v>1282</v>
      </c>
    </row>
    <row r="122" spans="1:49">
      <c r="A122" s="1">
        <f>HYPERLINK("https://lsnyc.legalserver.org/matter/dynamic-profile/view/1899069","19-1899069")</f>
        <v>0</v>
      </c>
      <c r="B122" t="s">
        <v>56</v>
      </c>
      <c r="C122" t="s">
        <v>215</v>
      </c>
      <c r="D122" t="s">
        <v>267</v>
      </c>
      <c r="E122" t="s">
        <v>537</v>
      </c>
      <c r="F122" t="s">
        <v>605</v>
      </c>
      <c r="G122" t="s">
        <v>677</v>
      </c>
      <c r="H122">
        <v>10460</v>
      </c>
      <c r="I122" t="s">
        <v>684</v>
      </c>
      <c r="K122" t="s">
        <v>730</v>
      </c>
      <c r="L122" t="s">
        <v>738</v>
      </c>
      <c r="O122">
        <v>1248</v>
      </c>
      <c r="P122" t="s">
        <v>749</v>
      </c>
      <c r="R122" t="s">
        <v>882</v>
      </c>
      <c r="T122" t="s">
        <v>1054</v>
      </c>
      <c r="U122">
        <v>16</v>
      </c>
      <c r="V122" t="s">
        <v>1104</v>
      </c>
      <c r="W122" t="s">
        <v>1116</v>
      </c>
      <c r="X122">
        <v>7</v>
      </c>
      <c r="Y122">
        <v>1</v>
      </c>
      <c r="Z122">
        <v>1</v>
      </c>
      <c r="AA122">
        <v>215.26</v>
      </c>
      <c r="AD122" t="s">
        <v>1122</v>
      </c>
      <c r="AE122">
        <v>36400</v>
      </c>
      <c r="AF122" t="s">
        <v>1149</v>
      </c>
      <c r="AK122">
        <v>0</v>
      </c>
      <c r="AM122" t="s">
        <v>1225</v>
      </c>
      <c r="AN122" t="s">
        <v>1233</v>
      </c>
      <c r="AO122" t="s">
        <v>1236</v>
      </c>
      <c r="AP122" t="s">
        <v>1247</v>
      </c>
      <c r="AR122" t="s">
        <v>683</v>
      </c>
      <c r="AT122" t="s">
        <v>1268</v>
      </c>
      <c r="AU122" t="s">
        <v>684</v>
      </c>
      <c r="AW122" t="s">
        <v>1282</v>
      </c>
    </row>
    <row r="123" spans="1:49">
      <c r="A123" s="1">
        <f>HYPERLINK("https://lsnyc.legalserver.org/matter/dynamic-profile/view/1905249","19-1905249")</f>
        <v>0</v>
      </c>
      <c r="B123" t="s">
        <v>90</v>
      </c>
      <c r="C123" t="s">
        <v>216</v>
      </c>
      <c r="D123" t="s">
        <v>375</v>
      </c>
      <c r="E123" t="s">
        <v>538</v>
      </c>
      <c r="F123" t="s">
        <v>646</v>
      </c>
      <c r="G123" t="s">
        <v>677</v>
      </c>
      <c r="H123">
        <v>10453</v>
      </c>
      <c r="I123" t="s">
        <v>682</v>
      </c>
      <c r="J123" t="s">
        <v>712</v>
      </c>
      <c r="K123" t="s">
        <v>732</v>
      </c>
      <c r="L123" t="s">
        <v>738</v>
      </c>
      <c r="M123" t="s">
        <v>744</v>
      </c>
      <c r="O123">
        <v>1350</v>
      </c>
      <c r="R123" t="s">
        <v>883</v>
      </c>
      <c r="T123" t="s">
        <v>1055</v>
      </c>
      <c r="U123">
        <v>118</v>
      </c>
      <c r="V123" t="s">
        <v>1102</v>
      </c>
      <c r="X123">
        <v>11</v>
      </c>
      <c r="Y123">
        <v>1</v>
      </c>
      <c r="Z123">
        <v>0</v>
      </c>
      <c r="AA123">
        <v>360.29</v>
      </c>
      <c r="AD123" t="s">
        <v>1122</v>
      </c>
      <c r="AE123">
        <v>45000</v>
      </c>
      <c r="AK123">
        <v>0.3</v>
      </c>
      <c r="AL123" t="s">
        <v>1170</v>
      </c>
      <c r="AM123" t="s">
        <v>77</v>
      </c>
      <c r="AN123" t="s">
        <v>1233</v>
      </c>
      <c r="AO123" t="s">
        <v>1236</v>
      </c>
      <c r="AP123" t="s">
        <v>1166</v>
      </c>
      <c r="AR123" t="s">
        <v>683</v>
      </c>
      <c r="AT123" t="s">
        <v>1268</v>
      </c>
      <c r="AU123" t="s">
        <v>684</v>
      </c>
      <c r="AW123" t="s">
        <v>1282</v>
      </c>
    </row>
    <row r="124" spans="1:49">
      <c r="A124" s="1">
        <f>HYPERLINK("https://lsnyc.legalserver.org/matter/dynamic-profile/view/1901899","19-1901899")</f>
        <v>0</v>
      </c>
      <c r="B124" t="s">
        <v>93</v>
      </c>
      <c r="C124" t="s">
        <v>217</v>
      </c>
      <c r="D124" t="s">
        <v>376</v>
      </c>
      <c r="E124" t="s">
        <v>539</v>
      </c>
      <c r="F124" t="s">
        <v>605</v>
      </c>
      <c r="G124" t="s">
        <v>677</v>
      </c>
      <c r="H124">
        <v>10458</v>
      </c>
      <c r="I124" t="s">
        <v>682</v>
      </c>
      <c r="L124" t="s">
        <v>738</v>
      </c>
      <c r="O124">
        <v>1850</v>
      </c>
      <c r="R124" t="s">
        <v>884</v>
      </c>
      <c r="T124" t="s">
        <v>1056</v>
      </c>
      <c r="U124">
        <v>0</v>
      </c>
      <c r="V124" t="s">
        <v>1102</v>
      </c>
      <c r="X124">
        <v>1</v>
      </c>
      <c r="Y124">
        <v>2</v>
      </c>
      <c r="Z124">
        <v>0</v>
      </c>
      <c r="AA124">
        <v>224.72</v>
      </c>
      <c r="AD124" t="s">
        <v>1122</v>
      </c>
      <c r="AE124">
        <v>38000</v>
      </c>
      <c r="AF124" t="s">
        <v>1150</v>
      </c>
      <c r="AK124">
        <v>0</v>
      </c>
      <c r="AM124" t="s">
        <v>61</v>
      </c>
      <c r="AN124" t="s">
        <v>1233</v>
      </c>
      <c r="AO124" t="s">
        <v>1236</v>
      </c>
      <c r="AP124" t="s">
        <v>1241</v>
      </c>
      <c r="AR124" t="s">
        <v>683</v>
      </c>
      <c r="AT124" t="s">
        <v>1268</v>
      </c>
      <c r="AW124" t="s">
        <v>1282</v>
      </c>
    </row>
    <row r="125" spans="1:49">
      <c r="A125" s="1">
        <f>HYPERLINK("https://lsnyc.legalserver.org/matter/dynamic-profile/view/1905242","19-1905242")</f>
        <v>0</v>
      </c>
      <c r="B125" t="s">
        <v>94</v>
      </c>
      <c r="C125" t="s">
        <v>218</v>
      </c>
      <c r="D125" t="s">
        <v>377</v>
      </c>
      <c r="E125" t="s">
        <v>540</v>
      </c>
      <c r="F125" t="s">
        <v>648</v>
      </c>
      <c r="G125" t="s">
        <v>677</v>
      </c>
      <c r="H125">
        <v>10472</v>
      </c>
      <c r="I125" t="s">
        <v>682</v>
      </c>
      <c r="J125" t="s">
        <v>713</v>
      </c>
      <c r="K125" t="s">
        <v>732</v>
      </c>
      <c r="L125" t="s">
        <v>741</v>
      </c>
      <c r="M125" t="s">
        <v>744</v>
      </c>
      <c r="O125">
        <v>1230</v>
      </c>
      <c r="R125" t="s">
        <v>885</v>
      </c>
      <c r="T125" t="s">
        <v>1057</v>
      </c>
      <c r="U125">
        <v>50</v>
      </c>
      <c r="V125" t="s">
        <v>1102</v>
      </c>
      <c r="X125">
        <v>2</v>
      </c>
      <c r="Y125">
        <v>3</v>
      </c>
      <c r="Z125">
        <v>0</v>
      </c>
      <c r="AA125">
        <v>226.72</v>
      </c>
      <c r="AD125" t="s">
        <v>1123</v>
      </c>
      <c r="AE125">
        <v>48360</v>
      </c>
      <c r="AF125" t="s">
        <v>1151</v>
      </c>
      <c r="AK125">
        <v>0.25</v>
      </c>
      <c r="AL125" t="s">
        <v>1206</v>
      </c>
      <c r="AM125" t="s">
        <v>77</v>
      </c>
      <c r="AN125" t="s">
        <v>1233</v>
      </c>
      <c r="AO125" t="s">
        <v>1236</v>
      </c>
      <c r="AP125" t="s">
        <v>1166</v>
      </c>
      <c r="AR125" t="s">
        <v>683</v>
      </c>
      <c r="AT125" t="s">
        <v>1268</v>
      </c>
      <c r="AU125" t="s">
        <v>684</v>
      </c>
      <c r="AW125" t="s">
        <v>1282</v>
      </c>
    </row>
    <row r="126" spans="1:49">
      <c r="A126" s="1">
        <f>HYPERLINK("https://lsnyc.legalserver.org/matter/dynamic-profile/view/1906331","19-1906331")</f>
        <v>0</v>
      </c>
      <c r="B126" t="s">
        <v>95</v>
      </c>
      <c r="C126" t="s">
        <v>219</v>
      </c>
      <c r="D126" t="s">
        <v>378</v>
      </c>
      <c r="E126" t="s">
        <v>541</v>
      </c>
      <c r="F126" t="s">
        <v>601</v>
      </c>
      <c r="G126" t="s">
        <v>677</v>
      </c>
      <c r="H126">
        <v>10462</v>
      </c>
      <c r="I126" t="s">
        <v>682</v>
      </c>
      <c r="J126" t="s">
        <v>714</v>
      </c>
      <c r="K126" t="s">
        <v>730</v>
      </c>
      <c r="L126" t="s">
        <v>740</v>
      </c>
      <c r="O126">
        <v>1196.54</v>
      </c>
      <c r="P126" t="s">
        <v>753</v>
      </c>
      <c r="R126" t="s">
        <v>886</v>
      </c>
      <c r="T126" t="s">
        <v>1058</v>
      </c>
      <c r="U126">
        <v>3857</v>
      </c>
      <c r="V126" t="s">
        <v>1104</v>
      </c>
      <c r="W126" t="s">
        <v>1116</v>
      </c>
      <c r="X126">
        <v>12</v>
      </c>
      <c r="Y126">
        <v>1</v>
      </c>
      <c r="Z126">
        <v>0</v>
      </c>
      <c r="AA126">
        <v>201.67</v>
      </c>
      <c r="AD126" t="s">
        <v>1122</v>
      </c>
      <c r="AE126">
        <v>25188</v>
      </c>
      <c r="AK126">
        <v>0</v>
      </c>
      <c r="AM126" t="s">
        <v>1231</v>
      </c>
      <c r="AO126" t="s">
        <v>1236</v>
      </c>
      <c r="AP126" t="s">
        <v>1170</v>
      </c>
      <c r="AR126" t="s">
        <v>683</v>
      </c>
      <c r="AT126" t="s">
        <v>1268</v>
      </c>
      <c r="AU126" t="s">
        <v>684</v>
      </c>
      <c r="AW126" t="s">
        <v>1282</v>
      </c>
    </row>
    <row r="127" spans="1:49">
      <c r="A127" s="1">
        <f>HYPERLINK("https://lsnyc.legalserver.org/matter/dynamic-profile/view/1898462","19-1898462")</f>
        <v>0</v>
      </c>
      <c r="B127" t="s">
        <v>96</v>
      </c>
      <c r="C127" t="s">
        <v>220</v>
      </c>
      <c r="D127" t="s">
        <v>379</v>
      </c>
      <c r="E127" t="s">
        <v>542</v>
      </c>
      <c r="F127" t="s">
        <v>649</v>
      </c>
      <c r="G127" t="s">
        <v>677</v>
      </c>
      <c r="H127">
        <v>10467</v>
      </c>
      <c r="I127" t="s">
        <v>682</v>
      </c>
      <c r="J127" t="s">
        <v>715</v>
      </c>
      <c r="L127" t="s">
        <v>740</v>
      </c>
      <c r="O127">
        <v>1230</v>
      </c>
      <c r="P127" t="s">
        <v>751</v>
      </c>
      <c r="R127" t="s">
        <v>887</v>
      </c>
      <c r="T127" t="s">
        <v>1059</v>
      </c>
      <c r="U127">
        <v>0</v>
      </c>
      <c r="W127" t="s">
        <v>1116</v>
      </c>
      <c r="X127">
        <v>4</v>
      </c>
      <c r="Y127">
        <v>1</v>
      </c>
      <c r="Z127">
        <v>0</v>
      </c>
      <c r="AA127">
        <v>296.43</v>
      </c>
      <c r="AD127" t="s">
        <v>1122</v>
      </c>
      <c r="AE127">
        <v>37024</v>
      </c>
      <c r="AF127" t="s">
        <v>1152</v>
      </c>
      <c r="AK127">
        <v>29</v>
      </c>
      <c r="AL127" t="s">
        <v>1208</v>
      </c>
      <c r="AM127" t="s">
        <v>1221</v>
      </c>
      <c r="AN127" t="s">
        <v>1233</v>
      </c>
      <c r="AO127" t="s">
        <v>1236</v>
      </c>
      <c r="AP127" t="s">
        <v>1245</v>
      </c>
      <c r="AR127" t="s">
        <v>683</v>
      </c>
      <c r="AT127" t="s">
        <v>1268</v>
      </c>
      <c r="AW127" t="s">
        <v>1282</v>
      </c>
    </row>
    <row r="128" spans="1:49">
      <c r="A128" s="1">
        <f>HYPERLINK("https://lsnyc.legalserver.org/matter/dynamic-profile/view/1905441","19-1905441")</f>
        <v>0</v>
      </c>
      <c r="B128" t="s">
        <v>54</v>
      </c>
      <c r="C128" t="s">
        <v>221</v>
      </c>
      <c r="D128" t="s">
        <v>380</v>
      </c>
      <c r="E128" t="s">
        <v>543</v>
      </c>
      <c r="G128" t="s">
        <v>677</v>
      </c>
      <c r="H128">
        <v>10473</v>
      </c>
      <c r="I128" t="s">
        <v>683</v>
      </c>
      <c r="O128">
        <v>0</v>
      </c>
      <c r="R128" t="s">
        <v>888</v>
      </c>
      <c r="T128" t="s">
        <v>1060</v>
      </c>
      <c r="U128">
        <v>0</v>
      </c>
      <c r="X128">
        <v>0</v>
      </c>
      <c r="Y128">
        <v>2</v>
      </c>
      <c r="Z128">
        <v>0</v>
      </c>
      <c r="AA128">
        <v>596.1</v>
      </c>
      <c r="AD128" t="s">
        <v>1122</v>
      </c>
      <c r="AE128">
        <v>100800</v>
      </c>
      <c r="AK128">
        <v>0.5</v>
      </c>
      <c r="AL128" t="s">
        <v>1169</v>
      </c>
      <c r="AM128" t="s">
        <v>1216</v>
      </c>
      <c r="AO128" t="s">
        <v>1236</v>
      </c>
      <c r="AP128" t="s">
        <v>1169</v>
      </c>
      <c r="AR128" t="s">
        <v>683</v>
      </c>
      <c r="AT128" t="s">
        <v>1268</v>
      </c>
      <c r="AW128" t="s">
        <v>1279</v>
      </c>
    </row>
    <row r="129" spans="1:49">
      <c r="A129" s="1">
        <f>HYPERLINK("https://lsnyc.legalserver.org/matter/dynamic-profile/view/1906085","19-1906085")</f>
        <v>0</v>
      </c>
      <c r="B129" t="s">
        <v>82</v>
      </c>
      <c r="C129" t="s">
        <v>222</v>
      </c>
      <c r="D129" t="s">
        <v>381</v>
      </c>
      <c r="E129" t="s">
        <v>544</v>
      </c>
      <c r="F129" t="s">
        <v>650</v>
      </c>
      <c r="G129" t="s">
        <v>677</v>
      </c>
      <c r="H129">
        <v>10474</v>
      </c>
      <c r="I129" t="s">
        <v>682</v>
      </c>
      <c r="O129">
        <v>1350</v>
      </c>
      <c r="P129" t="s">
        <v>749</v>
      </c>
      <c r="R129" t="s">
        <v>889</v>
      </c>
      <c r="T129" t="s">
        <v>1061</v>
      </c>
      <c r="U129">
        <v>47</v>
      </c>
      <c r="V129" t="s">
        <v>1102</v>
      </c>
      <c r="W129" t="s">
        <v>1116</v>
      </c>
      <c r="X129">
        <v>2</v>
      </c>
      <c r="Y129">
        <v>2</v>
      </c>
      <c r="Z129">
        <v>0</v>
      </c>
      <c r="AA129">
        <v>680.0700000000001</v>
      </c>
      <c r="AD129" t="s">
        <v>1125</v>
      </c>
      <c r="AE129">
        <v>115000</v>
      </c>
      <c r="AK129">
        <v>0</v>
      </c>
      <c r="AM129" t="s">
        <v>1231</v>
      </c>
      <c r="AO129" t="s">
        <v>1236</v>
      </c>
      <c r="AP129" t="s">
        <v>1206</v>
      </c>
      <c r="AR129" t="s">
        <v>683</v>
      </c>
      <c r="AT129" t="s">
        <v>1268</v>
      </c>
      <c r="AU129" t="s">
        <v>682</v>
      </c>
      <c r="AW129" t="s">
        <v>1282</v>
      </c>
    </row>
    <row r="130" spans="1:49">
      <c r="A130" s="1">
        <f>HYPERLINK("https://lsnyc.legalserver.org/matter/dynamic-profile/view/1906081","19-1906081")</f>
        <v>0</v>
      </c>
      <c r="B130" t="s">
        <v>82</v>
      </c>
      <c r="C130" t="s">
        <v>223</v>
      </c>
      <c r="D130" t="s">
        <v>314</v>
      </c>
      <c r="E130" t="s">
        <v>544</v>
      </c>
      <c r="F130" t="s">
        <v>632</v>
      </c>
      <c r="G130" t="s">
        <v>677</v>
      </c>
      <c r="H130">
        <v>10474</v>
      </c>
      <c r="I130" t="s">
        <v>682</v>
      </c>
      <c r="O130">
        <v>1650</v>
      </c>
      <c r="P130" t="s">
        <v>749</v>
      </c>
      <c r="R130" t="s">
        <v>890</v>
      </c>
      <c r="T130" t="s">
        <v>1062</v>
      </c>
      <c r="U130">
        <v>47</v>
      </c>
      <c r="V130" t="s">
        <v>1102</v>
      </c>
      <c r="W130" t="s">
        <v>1116</v>
      </c>
      <c r="X130">
        <v>47</v>
      </c>
      <c r="Y130">
        <v>2</v>
      </c>
      <c r="Z130">
        <v>1</v>
      </c>
      <c r="AA130">
        <v>271.92</v>
      </c>
      <c r="AD130" t="s">
        <v>1122</v>
      </c>
      <c r="AE130">
        <v>58000</v>
      </c>
      <c r="AK130">
        <v>0</v>
      </c>
      <c r="AM130" t="s">
        <v>1231</v>
      </c>
      <c r="AO130" t="s">
        <v>1236</v>
      </c>
      <c r="AP130" t="s">
        <v>1206</v>
      </c>
      <c r="AR130" t="s">
        <v>683</v>
      </c>
      <c r="AT130" t="s">
        <v>1268</v>
      </c>
      <c r="AU130" t="s">
        <v>682</v>
      </c>
      <c r="AW130" t="s">
        <v>1282</v>
      </c>
    </row>
    <row r="131" spans="1:49">
      <c r="A131" s="1">
        <f>HYPERLINK("https://lsnyc.legalserver.org/matter/dynamic-profile/view/1906066","19-1906066")</f>
        <v>0</v>
      </c>
      <c r="B131" t="s">
        <v>82</v>
      </c>
      <c r="C131" t="s">
        <v>224</v>
      </c>
      <c r="D131" t="s">
        <v>382</v>
      </c>
      <c r="E131" t="s">
        <v>544</v>
      </c>
      <c r="F131" t="s">
        <v>651</v>
      </c>
      <c r="G131" t="s">
        <v>677</v>
      </c>
      <c r="H131">
        <v>10474</v>
      </c>
      <c r="I131" t="s">
        <v>682</v>
      </c>
      <c r="O131">
        <v>1450</v>
      </c>
      <c r="P131" t="s">
        <v>749</v>
      </c>
      <c r="R131" t="s">
        <v>891</v>
      </c>
      <c r="T131" t="s">
        <v>1063</v>
      </c>
      <c r="U131">
        <v>47</v>
      </c>
      <c r="V131" t="s">
        <v>1102</v>
      </c>
      <c r="W131" t="s">
        <v>1116</v>
      </c>
      <c r="X131">
        <v>2</v>
      </c>
      <c r="Y131">
        <v>2</v>
      </c>
      <c r="Z131">
        <v>0</v>
      </c>
      <c r="AA131">
        <v>366.65</v>
      </c>
      <c r="AD131" t="s">
        <v>1122</v>
      </c>
      <c r="AE131">
        <v>62000</v>
      </c>
      <c r="AK131">
        <v>0</v>
      </c>
      <c r="AM131" t="s">
        <v>1231</v>
      </c>
      <c r="AO131" t="s">
        <v>1236</v>
      </c>
      <c r="AP131" t="s">
        <v>1206</v>
      </c>
      <c r="AR131" t="s">
        <v>683</v>
      </c>
      <c r="AT131" t="s">
        <v>1268</v>
      </c>
      <c r="AU131" t="s">
        <v>682</v>
      </c>
      <c r="AW131" t="s">
        <v>1282</v>
      </c>
    </row>
    <row r="132" spans="1:49">
      <c r="A132" s="1">
        <f>HYPERLINK("https://lsnyc.legalserver.org/matter/dynamic-profile/view/1898313","19-1898313")</f>
        <v>0</v>
      </c>
      <c r="B132" t="s">
        <v>50</v>
      </c>
      <c r="C132" t="s">
        <v>225</v>
      </c>
      <c r="D132" t="s">
        <v>383</v>
      </c>
      <c r="E132" t="s">
        <v>545</v>
      </c>
      <c r="G132" t="s">
        <v>677</v>
      </c>
      <c r="H132">
        <v>10472</v>
      </c>
      <c r="I132" t="s">
        <v>683</v>
      </c>
      <c r="O132">
        <v>0</v>
      </c>
      <c r="R132" t="s">
        <v>892</v>
      </c>
      <c r="U132">
        <v>0</v>
      </c>
      <c r="X132">
        <v>0</v>
      </c>
      <c r="Y132">
        <v>2</v>
      </c>
      <c r="Z132">
        <v>0</v>
      </c>
      <c r="AA132">
        <v>774.5700000000001</v>
      </c>
      <c r="AD132" t="s">
        <v>1122</v>
      </c>
      <c r="AE132">
        <v>130980</v>
      </c>
      <c r="AK132">
        <v>4.5</v>
      </c>
      <c r="AL132" t="s">
        <v>1165</v>
      </c>
      <c r="AM132" t="s">
        <v>54</v>
      </c>
      <c r="AO132" t="s">
        <v>1236</v>
      </c>
      <c r="AP132" t="s">
        <v>1181</v>
      </c>
      <c r="AR132" t="s">
        <v>683</v>
      </c>
      <c r="AT132" t="s">
        <v>1268</v>
      </c>
      <c r="AW132" t="s">
        <v>1280</v>
      </c>
    </row>
    <row r="133" spans="1:49">
      <c r="A133" s="1">
        <f>HYPERLINK("https://lsnyc.legalserver.org/matter/dynamic-profile/view/1905860","19-1905860")</f>
        <v>0</v>
      </c>
      <c r="B133" t="s">
        <v>54</v>
      </c>
      <c r="C133" t="s">
        <v>216</v>
      </c>
      <c r="D133" t="s">
        <v>384</v>
      </c>
      <c r="E133" t="s">
        <v>546</v>
      </c>
      <c r="F133" t="s">
        <v>652</v>
      </c>
      <c r="G133" t="s">
        <v>677</v>
      </c>
      <c r="H133">
        <v>10462</v>
      </c>
      <c r="I133" t="s">
        <v>683</v>
      </c>
      <c r="O133">
        <v>0</v>
      </c>
      <c r="R133" t="s">
        <v>893</v>
      </c>
      <c r="U133">
        <v>0</v>
      </c>
      <c r="X133">
        <v>0</v>
      </c>
      <c r="Y133">
        <v>1</v>
      </c>
      <c r="Z133">
        <v>0</v>
      </c>
      <c r="AA133">
        <v>859.89</v>
      </c>
      <c r="AD133" t="s">
        <v>1122</v>
      </c>
      <c r="AE133">
        <v>107400</v>
      </c>
      <c r="AK133">
        <v>0.6</v>
      </c>
      <c r="AL133" t="s">
        <v>1179</v>
      </c>
      <c r="AM133" t="s">
        <v>1228</v>
      </c>
      <c r="AO133" t="s">
        <v>1236</v>
      </c>
      <c r="AP133" t="s">
        <v>1179</v>
      </c>
      <c r="AR133" t="s">
        <v>683</v>
      </c>
      <c r="AT133" t="s">
        <v>1268</v>
      </c>
      <c r="AW133" t="s">
        <v>1279</v>
      </c>
    </row>
    <row r="134" spans="1:49">
      <c r="A134" s="1">
        <f>HYPERLINK("https://lsnyc.legalserver.org/matter/dynamic-profile/view/1903160","19-1903160")</f>
        <v>0</v>
      </c>
      <c r="B134" t="s">
        <v>97</v>
      </c>
      <c r="C134" t="s">
        <v>226</v>
      </c>
      <c r="D134" t="s">
        <v>385</v>
      </c>
      <c r="E134" t="s">
        <v>547</v>
      </c>
      <c r="F134" t="s">
        <v>618</v>
      </c>
      <c r="G134" t="s">
        <v>677</v>
      </c>
      <c r="H134">
        <v>10457</v>
      </c>
      <c r="I134" t="s">
        <v>683</v>
      </c>
      <c r="L134" t="s">
        <v>738</v>
      </c>
      <c r="O134">
        <v>1000</v>
      </c>
      <c r="Q134" t="s">
        <v>758</v>
      </c>
      <c r="R134" t="s">
        <v>894</v>
      </c>
      <c r="T134" t="s">
        <v>1064</v>
      </c>
      <c r="U134">
        <v>30</v>
      </c>
      <c r="X134">
        <v>7</v>
      </c>
      <c r="Y134">
        <v>2</v>
      </c>
      <c r="Z134">
        <v>0</v>
      </c>
      <c r="AA134">
        <v>325.25</v>
      </c>
      <c r="AD134" t="s">
        <v>1122</v>
      </c>
      <c r="AE134">
        <v>55000</v>
      </c>
      <c r="AK134">
        <v>2.25</v>
      </c>
      <c r="AL134" t="s">
        <v>1206</v>
      </c>
      <c r="AM134" t="s">
        <v>1220</v>
      </c>
      <c r="AO134" t="s">
        <v>1235</v>
      </c>
      <c r="AP134" t="s">
        <v>1248</v>
      </c>
      <c r="AQ134" t="s">
        <v>1206</v>
      </c>
      <c r="AR134" t="s">
        <v>683</v>
      </c>
      <c r="AS134" t="s">
        <v>1257</v>
      </c>
      <c r="AT134" t="s">
        <v>1269</v>
      </c>
      <c r="AW134" t="s">
        <v>1282</v>
      </c>
    </row>
    <row r="135" spans="1:49">
      <c r="A135" s="1">
        <f>HYPERLINK("https://lsnyc.legalserver.org/matter/dynamic-profile/view/1899157","19-1899157")</f>
        <v>0</v>
      </c>
      <c r="B135" t="s">
        <v>62</v>
      </c>
      <c r="C135" t="s">
        <v>227</v>
      </c>
      <c r="D135" t="s">
        <v>282</v>
      </c>
      <c r="E135" t="s">
        <v>548</v>
      </c>
      <c r="F135" t="s">
        <v>653</v>
      </c>
      <c r="G135" t="s">
        <v>677</v>
      </c>
      <c r="H135">
        <v>10456</v>
      </c>
      <c r="I135" t="s">
        <v>683</v>
      </c>
      <c r="L135" t="s">
        <v>741</v>
      </c>
      <c r="O135">
        <v>1993</v>
      </c>
      <c r="P135" t="s">
        <v>751</v>
      </c>
      <c r="Q135" t="s">
        <v>758</v>
      </c>
      <c r="R135" t="s">
        <v>895</v>
      </c>
      <c r="T135" t="s">
        <v>1065</v>
      </c>
      <c r="U135">
        <v>50</v>
      </c>
      <c r="V135" t="s">
        <v>1103</v>
      </c>
      <c r="W135" t="s">
        <v>1115</v>
      </c>
      <c r="X135">
        <v>9</v>
      </c>
      <c r="Y135">
        <v>1</v>
      </c>
      <c r="Z135">
        <v>2</v>
      </c>
      <c r="AA135">
        <v>48.76</v>
      </c>
      <c r="AD135" t="s">
        <v>1122</v>
      </c>
      <c r="AE135">
        <v>10400</v>
      </c>
      <c r="AK135">
        <v>2.15</v>
      </c>
      <c r="AL135" t="s">
        <v>1189</v>
      </c>
      <c r="AM135" t="s">
        <v>1221</v>
      </c>
      <c r="AO135" t="s">
        <v>1235</v>
      </c>
      <c r="AP135" t="s">
        <v>1247</v>
      </c>
      <c r="AQ135" t="s">
        <v>1189</v>
      </c>
      <c r="AR135" t="s">
        <v>683</v>
      </c>
      <c r="AS135" t="s">
        <v>1257</v>
      </c>
      <c r="AT135" t="s">
        <v>1269</v>
      </c>
      <c r="AW135" t="s">
        <v>1282</v>
      </c>
    </row>
    <row r="136" spans="1:49">
      <c r="A136" s="1">
        <f>HYPERLINK("https://lsnyc.legalserver.org/matter/dynamic-profile/view/1902639","19-1902639")</f>
        <v>0</v>
      </c>
      <c r="B136" t="s">
        <v>87</v>
      </c>
      <c r="C136" t="s">
        <v>228</v>
      </c>
      <c r="D136" t="s">
        <v>386</v>
      </c>
      <c r="E136" t="s">
        <v>549</v>
      </c>
      <c r="F136" t="s">
        <v>654</v>
      </c>
      <c r="G136" t="s">
        <v>677</v>
      </c>
      <c r="H136">
        <v>10463</v>
      </c>
      <c r="I136" t="s">
        <v>683</v>
      </c>
      <c r="J136" t="s">
        <v>716</v>
      </c>
      <c r="K136" t="s">
        <v>732</v>
      </c>
      <c r="O136">
        <v>1367</v>
      </c>
      <c r="Q136" t="s">
        <v>758</v>
      </c>
      <c r="R136" t="s">
        <v>896</v>
      </c>
      <c r="T136" t="s">
        <v>1066</v>
      </c>
      <c r="U136">
        <v>0</v>
      </c>
      <c r="W136" t="s">
        <v>1118</v>
      </c>
      <c r="X136">
        <v>3</v>
      </c>
      <c r="Y136">
        <v>1</v>
      </c>
      <c r="Z136">
        <v>0</v>
      </c>
      <c r="AA136">
        <v>156.7</v>
      </c>
      <c r="AD136" t="s">
        <v>1122</v>
      </c>
      <c r="AE136">
        <v>19572</v>
      </c>
      <c r="AK136">
        <v>2.9</v>
      </c>
      <c r="AL136" t="s">
        <v>1168</v>
      </c>
      <c r="AM136" t="s">
        <v>1218</v>
      </c>
      <c r="AO136" t="s">
        <v>1235</v>
      </c>
      <c r="AP136" t="s">
        <v>1167</v>
      </c>
      <c r="AQ136" t="s">
        <v>1167</v>
      </c>
      <c r="AR136" t="s">
        <v>683</v>
      </c>
      <c r="AS136" t="s">
        <v>1257</v>
      </c>
      <c r="AT136" t="s">
        <v>1269</v>
      </c>
      <c r="AW136" t="s">
        <v>1282</v>
      </c>
    </row>
    <row r="137" spans="1:49">
      <c r="A137" s="1">
        <f>HYPERLINK("https://lsnyc.legalserver.org/matter/dynamic-profile/view/1902588","19-1902588")</f>
        <v>0</v>
      </c>
      <c r="B137" t="s">
        <v>71</v>
      </c>
      <c r="C137" t="s">
        <v>229</v>
      </c>
      <c r="D137" t="s">
        <v>350</v>
      </c>
      <c r="E137" t="s">
        <v>550</v>
      </c>
      <c r="F137" t="s">
        <v>655</v>
      </c>
      <c r="G137" t="s">
        <v>677</v>
      </c>
      <c r="H137">
        <v>10473</v>
      </c>
      <c r="I137" t="s">
        <v>682</v>
      </c>
      <c r="J137" t="s">
        <v>717</v>
      </c>
      <c r="K137" t="s">
        <v>732</v>
      </c>
      <c r="L137" t="s">
        <v>738</v>
      </c>
      <c r="O137">
        <v>1718</v>
      </c>
      <c r="Q137" t="s">
        <v>758</v>
      </c>
      <c r="R137" t="s">
        <v>897</v>
      </c>
      <c r="U137">
        <v>157</v>
      </c>
      <c r="V137" t="s">
        <v>1102</v>
      </c>
      <c r="W137" t="s">
        <v>1115</v>
      </c>
      <c r="X137">
        <v>20</v>
      </c>
      <c r="Y137">
        <v>1</v>
      </c>
      <c r="Z137">
        <v>2</v>
      </c>
      <c r="AA137">
        <v>43.38</v>
      </c>
      <c r="AE137">
        <v>9252</v>
      </c>
      <c r="AF137" t="s">
        <v>1153</v>
      </c>
      <c r="AK137">
        <v>2.75</v>
      </c>
      <c r="AL137" t="s">
        <v>1178</v>
      </c>
      <c r="AM137" t="s">
        <v>77</v>
      </c>
      <c r="AN137" t="s">
        <v>1116</v>
      </c>
      <c r="AO137" t="s">
        <v>1235</v>
      </c>
      <c r="AP137" t="s">
        <v>1159</v>
      </c>
      <c r="AQ137" t="s">
        <v>1178</v>
      </c>
      <c r="AR137" t="s">
        <v>683</v>
      </c>
      <c r="AS137" t="s">
        <v>1257</v>
      </c>
      <c r="AT137" t="s">
        <v>1270</v>
      </c>
      <c r="AU137" t="s">
        <v>684</v>
      </c>
      <c r="AW137" t="s">
        <v>1282</v>
      </c>
    </row>
    <row r="138" spans="1:49">
      <c r="A138" s="1">
        <f>HYPERLINK("https://lsnyc.legalserver.org/matter/dynamic-profile/view/1902113","19-1902113")</f>
        <v>0</v>
      </c>
      <c r="B138" t="s">
        <v>98</v>
      </c>
      <c r="C138" t="s">
        <v>230</v>
      </c>
      <c r="D138" t="s">
        <v>387</v>
      </c>
      <c r="E138" t="s">
        <v>551</v>
      </c>
      <c r="F138" t="s">
        <v>656</v>
      </c>
      <c r="G138" t="s">
        <v>677</v>
      </c>
      <c r="H138">
        <v>10467</v>
      </c>
      <c r="I138" t="s">
        <v>683</v>
      </c>
      <c r="L138" t="s">
        <v>738</v>
      </c>
      <c r="O138">
        <v>0</v>
      </c>
      <c r="Q138" t="s">
        <v>758</v>
      </c>
      <c r="R138" t="s">
        <v>898</v>
      </c>
      <c r="U138">
        <v>0</v>
      </c>
      <c r="X138">
        <v>0</v>
      </c>
      <c r="Y138">
        <v>1</v>
      </c>
      <c r="Z138">
        <v>0</v>
      </c>
      <c r="AA138">
        <v>192.15</v>
      </c>
      <c r="AD138" t="s">
        <v>1122</v>
      </c>
      <c r="AE138">
        <v>24000</v>
      </c>
      <c r="AK138">
        <v>1.25</v>
      </c>
      <c r="AL138" t="s">
        <v>1197</v>
      </c>
      <c r="AM138" t="s">
        <v>98</v>
      </c>
      <c r="AO138" t="s">
        <v>1235</v>
      </c>
      <c r="AP138" t="s">
        <v>1197</v>
      </c>
      <c r="AQ138" t="s">
        <v>1197</v>
      </c>
      <c r="AR138" t="s">
        <v>683</v>
      </c>
      <c r="AS138" t="s">
        <v>1257</v>
      </c>
      <c r="AT138" t="s">
        <v>1270</v>
      </c>
      <c r="AW138" t="s">
        <v>1282</v>
      </c>
    </row>
    <row r="139" spans="1:49">
      <c r="A139" s="1">
        <f>HYPERLINK("https://lsnyc.legalserver.org/matter/dynamic-profile/view/1895686","19-1895686")</f>
        <v>0</v>
      </c>
      <c r="B139" t="s">
        <v>98</v>
      </c>
      <c r="C139" t="s">
        <v>231</v>
      </c>
      <c r="D139" t="s">
        <v>388</v>
      </c>
      <c r="E139" t="s">
        <v>552</v>
      </c>
      <c r="G139" t="s">
        <v>677</v>
      </c>
      <c r="H139">
        <v>10467</v>
      </c>
      <c r="I139" t="s">
        <v>683</v>
      </c>
      <c r="L139" t="s">
        <v>738</v>
      </c>
      <c r="O139">
        <v>0</v>
      </c>
      <c r="Q139" t="s">
        <v>758</v>
      </c>
      <c r="R139" t="s">
        <v>899</v>
      </c>
      <c r="U139">
        <v>0</v>
      </c>
      <c r="X139">
        <v>0</v>
      </c>
      <c r="Y139">
        <v>2</v>
      </c>
      <c r="Z139">
        <v>0</v>
      </c>
      <c r="AA139">
        <v>354.82</v>
      </c>
      <c r="AD139" t="s">
        <v>1122</v>
      </c>
      <c r="AE139">
        <v>60000</v>
      </c>
      <c r="AK139">
        <v>1.5</v>
      </c>
      <c r="AL139" t="s">
        <v>1177</v>
      </c>
      <c r="AM139" t="s">
        <v>98</v>
      </c>
      <c r="AO139" t="s">
        <v>1235</v>
      </c>
      <c r="AP139" t="s">
        <v>1186</v>
      </c>
      <c r="AQ139" t="s">
        <v>1177</v>
      </c>
      <c r="AR139" t="s">
        <v>683</v>
      </c>
      <c r="AS139" t="s">
        <v>1257</v>
      </c>
      <c r="AT139" t="s">
        <v>1270</v>
      </c>
      <c r="AW139" t="s">
        <v>1280</v>
      </c>
    </row>
    <row r="140" spans="1:49">
      <c r="A140" s="1">
        <f>HYPERLINK("https://lsnyc.legalserver.org/matter/dynamic-profile/view/1899919","19-1899919")</f>
        <v>0</v>
      </c>
      <c r="B140" t="s">
        <v>97</v>
      </c>
      <c r="C140" t="s">
        <v>232</v>
      </c>
      <c r="D140" t="s">
        <v>389</v>
      </c>
      <c r="E140" t="s">
        <v>553</v>
      </c>
      <c r="G140" t="s">
        <v>677</v>
      </c>
      <c r="H140">
        <v>10469</v>
      </c>
      <c r="I140" t="s">
        <v>683</v>
      </c>
      <c r="J140" t="s">
        <v>718</v>
      </c>
      <c r="K140" t="s">
        <v>730</v>
      </c>
      <c r="L140" t="s">
        <v>741</v>
      </c>
      <c r="M140" t="s">
        <v>744</v>
      </c>
      <c r="O140">
        <v>1000</v>
      </c>
      <c r="Q140" t="s">
        <v>758</v>
      </c>
      <c r="R140" t="s">
        <v>900</v>
      </c>
      <c r="T140" t="s">
        <v>1067</v>
      </c>
      <c r="U140">
        <v>0</v>
      </c>
      <c r="V140" t="s">
        <v>1104</v>
      </c>
      <c r="X140">
        <v>0</v>
      </c>
      <c r="Y140">
        <v>2</v>
      </c>
      <c r="Z140">
        <v>0</v>
      </c>
      <c r="AA140">
        <v>172.02</v>
      </c>
      <c r="AD140" t="s">
        <v>1122</v>
      </c>
      <c r="AE140">
        <v>29088</v>
      </c>
      <c r="AK140">
        <v>2.25</v>
      </c>
      <c r="AL140" t="s">
        <v>1183</v>
      </c>
      <c r="AM140" t="s">
        <v>97</v>
      </c>
      <c r="AO140" t="s">
        <v>1235</v>
      </c>
      <c r="AP140" t="s">
        <v>1210</v>
      </c>
      <c r="AQ140" t="s">
        <v>1183</v>
      </c>
      <c r="AR140" t="s">
        <v>683</v>
      </c>
      <c r="AS140" t="s">
        <v>1257</v>
      </c>
      <c r="AT140" t="s">
        <v>1270</v>
      </c>
      <c r="AU140" t="s">
        <v>684</v>
      </c>
      <c r="AW140" t="s">
        <v>1282</v>
      </c>
    </row>
    <row r="141" spans="1:49">
      <c r="A141" s="1">
        <f>HYPERLINK("https://lsnyc.legalserver.org/matter/dynamic-profile/view/1895682","19-1895682")</f>
        <v>0</v>
      </c>
      <c r="B141" t="s">
        <v>98</v>
      </c>
      <c r="C141" t="s">
        <v>233</v>
      </c>
      <c r="D141" t="s">
        <v>390</v>
      </c>
      <c r="E141" t="s">
        <v>554</v>
      </c>
      <c r="F141" t="s">
        <v>621</v>
      </c>
      <c r="G141" t="s">
        <v>677</v>
      </c>
      <c r="H141">
        <v>10458</v>
      </c>
      <c r="I141" t="s">
        <v>683</v>
      </c>
      <c r="O141">
        <v>0</v>
      </c>
      <c r="Q141" t="s">
        <v>758</v>
      </c>
      <c r="R141" t="s">
        <v>901</v>
      </c>
      <c r="U141">
        <v>0</v>
      </c>
      <c r="X141">
        <v>0</v>
      </c>
      <c r="Y141">
        <v>1</v>
      </c>
      <c r="Z141">
        <v>0</v>
      </c>
      <c r="AA141">
        <v>86.47</v>
      </c>
      <c r="AD141" t="s">
        <v>1123</v>
      </c>
      <c r="AE141">
        <v>10800</v>
      </c>
      <c r="AK141">
        <v>1.25</v>
      </c>
      <c r="AL141" t="s">
        <v>1209</v>
      </c>
      <c r="AM141" t="s">
        <v>98</v>
      </c>
      <c r="AO141" t="s">
        <v>1235</v>
      </c>
      <c r="AP141" t="s">
        <v>1186</v>
      </c>
      <c r="AQ141" t="s">
        <v>1209</v>
      </c>
      <c r="AR141" t="s">
        <v>683</v>
      </c>
      <c r="AS141" t="s">
        <v>1257</v>
      </c>
      <c r="AT141" t="s">
        <v>1270</v>
      </c>
      <c r="AW141" t="s">
        <v>1280</v>
      </c>
    </row>
    <row r="142" spans="1:49">
      <c r="A142" s="1">
        <f>HYPERLINK("https://lsnyc.legalserver.org/matter/dynamic-profile/view/1899676","19-1899676")</f>
        <v>0</v>
      </c>
      <c r="B142" t="s">
        <v>99</v>
      </c>
      <c r="C142" t="s">
        <v>234</v>
      </c>
      <c r="D142" t="s">
        <v>391</v>
      </c>
      <c r="E142" t="s">
        <v>555</v>
      </c>
      <c r="F142" t="s">
        <v>657</v>
      </c>
      <c r="G142" t="s">
        <v>677</v>
      </c>
      <c r="H142">
        <v>10462</v>
      </c>
      <c r="I142" t="s">
        <v>683</v>
      </c>
      <c r="K142" t="s">
        <v>737</v>
      </c>
      <c r="L142" t="s">
        <v>739</v>
      </c>
      <c r="O142">
        <v>1290.1</v>
      </c>
      <c r="P142" t="s">
        <v>757</v>
      </c>
      <c r="Q142" t="s">
        <v>762</v>
      </c>
      <c r="R142" t="s">
        <v>902</v>
      </c>
      <c r="T142" t="s">
        <v>1068</v>
      </c>
      <c r="U142">
        <v>3857</v>
      </c>
      <c r="V142" t="s">
        <v>1102</v>
      </c>
      <c r="W142" t="s">
        <v>1115</v>
      </c>
      <c r="X142">
        <v>3</v>
      </c>
      <c r="Y142">
        <v>2</v>
      </c>
      <c r="Z142">
        <v>0</v>
      </c>
      <c r="AA142">
        <v>41.02</v>
      </c>
      <c r="AD142" t="s">
        <v>1123</v>
      </c>
      <c r="AE142">
        <v>6936</v>
      </c>
      <c r="AK142">
        <v>0.2</v>
      </c>
      <c r="AL142" t="s">
        <v>1210</v>
      </c>
      <c r="AM142" t="s">
        <v>99</v>
      </c>
      <c r="AO142" t="s">
        <v>1235</v>
      </c>
      <c r="AP142" t="s">
        <v>1191</v>
      </c>
      <c r="AQ142" t="s">
        <v>1210</v>
      </c>
      <c r="AR142" t="s">
        <v>683</v>
      </c>
      <c r="AS142" t="s">
        <v>1258</v>
      </c>
      <c r="AT142" t="s">
        <v>1270</v>
      </c>
      <c r="AU142" t="s">
        <v>684</v>
      </c>
      <c r="AW142" t="s">
        <v>1278</v>
      </c>
    </row>
    <row r="143" spans="1:49">
      <c r="A143" s="1">
        <f>HYPERLINK("https://lsnyc.legalserver.org/matter/dynamic-profile/view/1903469","19-1903469")</f>
        <v>0</v>
      </c>
      <c r="B143" t="s">
        <v>100</v>
      </c>
      <c r="C143" t="s">
        <v>235</v>
      </c>
      <c r="D143" t="s">
        <v>392</v>
      </c>
      <c r="E143" t="s">
        <v>556</v>
      </c>
      <c r="F143" t="s">
        <v>658</v>
      </c>
      <c r="G143" t="s">
        <v>677</v>
      </c>
      <c r="H143">
        <v>10468</v>
      </c>
      <c r="I143" t="s">
        <v>683</v>
      </c>
      <c r="O143">
        <v>0</v>
      </c>
      <c r="Q143" t="s">
        <v>759</v>
      </c>
      <c r="R143" t="s">
        <v>903</v>
      </c>
      <c r="T143" t="s">
        <v>1069</v>
      </c>
      <c r="U143">
        <v>0</v>
      </c>
      <c r="X143">
        <v>0</v>
      </c>
      <c r="Y143">
        <v>1</v>
      </c>
      <c r="Z143">
        <v>2</v>
      </c>
      <c r="AA143">
        <v>39.38</v>
      </c>
      <c r="AD143" t="s">
        <v>1122</v>
      </c>
      <c r="AE143">
        <v>8400</v>
      </c>
      <c r="AK143">
        <v>0.35</v>
      </c>
      <c r="AL143" t="s">
        <v>1196</v>
      </c>
      <c r="AM143" t="s">
        <v>100</v>
      </c>
      <c r="AO143" t="s">
        <v>1235</v>
      </c>
      <c r="AP143" t="s">
        <v>1196</v>
      </c>
      <c r="AQ143" t="s">
        <v>1196</v>
      </c>
      <c r="AR143" t="s">
        <v>683</v>
      </c>
      <c r="AS143" t="s">
        <v>1261</v>
      </c>
      <c r="AT143" t="s">
        <v>1270</v>
      </c>
      <c r="AW143" t="s">
        <v>1281</v>
      </c>
    </row>
    <row r="144" spans="1:49">
      <c r="A144" s="1">
        <f>HYPERLINK("https://lsnyc.legalserver.org/matter/dynamic-profile/view/1896843","19-1896843")</f>
        <v>0</v>
      </c>
      <c r="B144" t="s">
        <v>101</v>
      </c>
      <c r="C144" t="s">
        <v>166</v>
      </c>
      <c r="D144" t="s">
        <v>393</v>
      </c>
      <c r="E144" t="s">
        <v>557</v>
      </c>
      <c r="F144" t="s">
        <v>647</v>
      </c>
      <c r="G144" t="s">
        <v>677</v>
      </c>
      <c r="H144">
        <v>10463</v>
      </c>
      <c r="I144" t="s">
        <v>683</v>
      </c>
      <c r="O144">
        <v>0</v>
      </c>
      <c r="Q144" t="s">
        <v>762</v>
      </c>
      <c r="R144" t="s">
        <v>904</v>
      </c>
      <c r="U144">
        <v>0</v>
      </c>
      <c r="X144">
        <v>0</v>
      </c>
      <c r="Y144">
        <v>1</v>
      </c>
      <c r="Z144">
        <v>0</v>
      </c>
      <c r="AA144">
        <v>85.7</v>
      </c>
      <c r="AD144" t="s">
        <v>1126</v>
      </c>
      <c r="AE144">
        <v>10704</v>
      </c>
      <c r="AK144">
        <v>4.25</v>
      </c>
      <c r="AL144" t="s">
        <v>1162</v>
      </c>
      <c r="AM144" t="s">
        <v>1232</v>
      </c>
      <c r="AO144" t="s">
        <v>1235</v>
      </c>
      <c r="AP144" t="s">
        <v>1249</v>
      </c>
      <c r="AQ144" t="s">
        <v>1162</v>
      </c>
      <c r="AR144" t="s">
        <v>683</v>
      </c>
      <c r="AS144" t="s">
        <v>1261</v>
      </c>
      <c r="AT144" t="s">
        <v>1270</v>
      </c>
      <c r="AV144" t="s">
        <v>1277</v>
      </c>
      <c r="AW144" t="s">
        <v>1281</v>
      </c>
    </row>
    <row r="145" spans="1:49">
      <c r="A145" s="1">
        <f>HYPERLINK("https://lsnyc.legalserver.org/matter/dynamic-profile/view/1901197","19-1901197")</f>
        <v>0</v>
      </c>
      <c r="B145" t="s">
        <v>84</v>
      </c>
      <c r="C145" t="s">
        <v>236</v>
      </c>
      <c r="D145" t="s">
        <v>394</v>
      </c>
      <c r="E145" t="s">
        <v>558</v>
      </c>
      <c r="F145" t="s">
        <v>659</v>
      </c>
      <c r="G145" t="s">
        <v>678</v>
      </c>
      <c r="H145">
        <v>11226</v>
      </c>
      <c r="I145" t="s">
        <v>683</v>
      </c>
      <c r="L145" t="s">
        <v>739</v>
      </c>
      <c r="O145">
        <v>0</v>
      </c>
      <c r="R145" t="s">
        <v>905</v>
      </c>
      <c r="T145" t="s">
        <v>1070</v>
      </c>
      <c r="U145">
        <v>0</v>
      </c>
      <c r="X145">
        <v>0</v>
      </c>
      <c r="Y145">
        <v>1</v>
      </c>
      <c r="Z145">
        <v>0</v>
      </c>
      <c r="AA145">
        <v>79.55</v>
      </c>
      <c r="AD145" t="s">
        <v>1122</v>
      </c>
      <c r="AE145">
        <v>9936</v>
      </c>
      <c r="AK145">
        <v>1.8</v>
      </c>
      <c r="AL145" t="s">
        <v>1160</v>
      </c>
      <c r="AM145" t="s">
        <v>84</v>
      </c>
      <c r="AO145" t="s">
        <v>1236</v>
      </c>
      <c r="AP145" t="s">
        <v>1205</v>
      </c>
      <c r="AR145" t="s">
        <v>683</v>
      </c>
      <c r="AT145" t="s">
        <v>1270</v>
      </c>
      <c r="AW145" t="s">
        <v>1281</v>
      </c>
    </row>
    <row r="146" spans="1:49">
      <c r="A146" s="1">
        <f>HYPERLINK("https://lsnyc.legalserver.org/matter/dynamic-profile/view/1898969","19-1898969")</f>
        <v>0</v>
      </c>
      <c r="B146" t="s">
        <v>92</v>
      </c>
      <c r="C146" t="s">
        <v>194</v>
      </c>
      <c r="D146" t="s">
        <v>395</v>
      </c>
      <c r="E146" t="s">
        <v>559</v>
      </c>
      <c r="F146">
        <v>3</v>
      </c>
      <c r="G146" t="s">
        <v>677</v>
      </c>
      <c r="H146">
        <v>10456</v>
      </c>
      <c r="I146" t="s">
        <v>682</v>
      </c>
      <c r="J146" t="s">
        <v>719</v>
      </c>
      <c r="K146" t="s">
        <v>730</v>
      </c>
      <c r="L146" t="s">
        <v>740</v>
      </c>
      <c r="O146">
        <v>693</v>
      </c>
      <c r="P146" t="s">
        <v>753</v>
      </c>
      <c r="R146" t="s">
        <v>906</v>
      </c>
      <c r="T146" t="s">
        <v>1071</v>
      </c>
      <c r="U146">
        <v>0</v>
      </c>
      <c r="V146" t="s">
        <v>1104</v>
      </c>
      <c r="X146">
        <v>7</v>
      </c>
      <c r="Y146">
        <v>1</v>
      </c>
      <c r="Z146">
        <v>0</v>
      </c>
      <c r="AA146">
        <v>178.8</v>
      </c>
      <c r="AD146" t="s">
        <v>1122</v>
      </c>
      <c r="AE146">
        <v>22332</v>
      </c>
      <c r="AK146">
        <v>0</v>
      </c>
      <c r="AM146" t="s">
        <v>1226</v>
      </c>
      <c r="AN146" t="s">
        <v>1233</v>
      </c>
      <c r="AO146" t="s">
        <v>1236</v>
      </c>
      <c r="AP146" t="s">
        <v>1184</v>
      </c>
      <c r="AR146" t="s">
        <v>683</v>
      </c>
      <c r="AT146" t="s">
        <v>1270</v>
      </c>
      <c r="AW146" t="s">
        <v>1282</v>
      </c>
    </row>
    <row r="147" spans="1:49">
      <c r="A147" s="1">
        <f>HYPERLINK("https://lsnyc.legalserver.org/matter/dynamic-profile/view/1905599","19-1905599")</f>
        <v>0</v>
      </c>
      <c r="B147" t="s">
        <v>102</v>
      </c>
      <c r="C147" t="s">
        <v>237</v>
      </c>
      <c r="D147" t="s">
        <v>264</v>
      </c>
      <c r="E147" t="s">
        <v>560</v>
      </c>
      <c r="F147">
        <v>4</v>
      </c>
      <c r="G147" t="s">
        <v>677</v>
      </c>
      <c r="H147">
        <v>10452</v>
      </c>
      <c r="I147" t="s">
        <v>684</v>
      </c>
      <c r="O147">
        <v>927.87</v>
      </c>
      <c r="P147" t="s">
        <v>752</v>
      </c>
      <c r="R147" t="s">
        <v>907</v>
      </c>
      <c r="T147" t="s">
        <v>1072</v>
      </c>
      <c r="U147">
        <v>0</v>
      </c>
      <c r="V147" t="s">
        <v>1105</v>
      </c>
      <c r="W147" t="s">
        <v>1116</v>
      </c>
      <c r="X147">
        <v>23</v>
      </c>
      <c r="Y147">
        <v>2</v>
      </c>
      <c r="Z147">
        <v>0</v>
      </c>
      <c r="AA147">
        <v>55.07</v>
      </c>
      <c r="AD147" t="s">
        <v>1123</v>
      </c>
      <c r="AE147">
        <v>9312</v>
      </c>
      <c r="AK147">
        <v>1.5</v>
      </c>
      <c r="AL147" t="s">
        <v>1211</v>
      </c>
      <c r="AM147" t="s">
        <v>1215</v>
      </c>
      <c r="AO147" t="s">
        <v>1236</v>
      </c>
      <c r="AP147" t="s">
        <v>1175</v>
      </c>
      <c r="AR147" t="s">
        <v>683</v>
      </c>
      <c r="AT147" t="s">
        <v>1270</v>
      </c>
      <c r="AW147" t="s">
        <v>1281</v>
      </c>
    </row>
    <row r="148" spans="1:49">
      <c r="A148" s="1">
        <f>HYPERLINK("https://lsnyc.legalserver.org/matter/dynamic-profile/view/1900022","19-1900022")</f>
        <v>0</v>
      </c>
      <c r="B148" t="s">
        <v>97</v>
      </c>
      <c r="C148" t="s">
        <v>238</v>
      </c>
      <c r="D148" t="s">
        <v>396</v>
      </c>
      <c r="E148" t="s">
        <v>561</v>
      </c>
      <c r="F148" t="s">
        <v>660</v>
      </c>
      <c r="G148" t="s">
        <v>677</v>
      </c>
      <c r="H148">
        <v>10468</v>
      </c>
      <c r="I148" t="s">
        <v>683</v>
      </c>
      <c r="O148">
        <v>0</v>
      </c>
      <c r="R148" t="s">
        <v>908</v>
      </c>
      <c r="T148" t="s">
        <v>1073</v>
      </c>
      <c r="U148">
        <v>0</v>
      </c>
      <c r="X148">
        <v>0</v>
      </c>
      <c r="Y148">
        <v>3</v>
      </c>
      <c r="Z148">
        <v>2</v>
      </c>
      <c r="AA148">
        <v>46.5</v>
      </c>
      <c r="AD148" t="s">
        <v>1122</v>
      </c>
      <c r="AE148">
        <v>14028</v>
      </c>
      <c r="AK148">
        <v>2.5</v>
      </c>
      <c r="AL148" t="s">
        <v>1163</v>
      </c>
      <c r="AM148" t="s">
        <v>1232</v>
      </c>
      <c r="AO148" t="s">
        <v>1236</v>
      </c>
      <c r="AP148" t="s">
        <v>1183</v>
      </c>
      <c r="AR148" t="s">
        <v>683</v>
      </c>
      <c r="AT148" t="s">
        <v>1270</v>
      </c>
      <c r="AW148" t="s">
        <v>1278</v>
      </c>
    </row>
    <row r="149" spans="1:49">
      <c r="A149" s="1">
        <f>HYPERLINK("https://lsnyc.legalserver.org/matter/dynamic-profile/view/1905792","19-1905792")</f>
        <v>0</v>
      </c>
      <c r="B149" t="s">
        <v>103</v>
      </c>
      <c r="C149" t="s">
        <v>239</v>
      </c>
      <c r="D149" t="s">
        <v>397</v>
      </c>
      <c r="E149" t="s">
        <v>562</v>
      </c>
      <c r="F149" t="s">
        <v>661</v>
      </c>
      <c r="G149" t="s">
        <v>677</v>
      </c>
      <c r="H149">
        <v>10452</v>
      </c>
      <c r="I149" t="s">
        <v>683</v>
      </c>
      <c r="O149">
        <v>983</v>
      </c>
      <c r="P149" t="s">
        <v>752</v>
      </c>
      <c r="R149" t="s">
        <v>909</v>
      </c>
      <c r="T149" t="s">
        <v>1074</v>
      </c>
      <c r="U149">
        <v>0</v>
      </c>
      <c r="V149" t="s">
        <v>1102</v>
      </c>
      <c r="W149" t="s">
        <v>1116</v>
      </c>
      <c r="X149">
        <v>40</v>
      </c>
      <c r="Y149">
        <v>1</v>
      </c>
      <c r="Z149">
        <v>0</v>
      </c>
      <c r="AA149">
        <v>115.29</v>
      </c>
      <c r="AD149" t="s">
        <v>1122</v>
      </c>
      <c r="AE149">
        <v>14400</v>
      </c>
      <c r="AK149">
        <v>2.25</v>
      </c>
      <c r="AL149" t="s">
        <v>1165</v>
      </c>
      <c r="AM149" t="s">
        <v>75</v>
      </c>
      <c r="AO149" t="s">
        <v>1236</v>
      </c>
      <c r="AP149" t="s">
        <v>1165</v>
      </c>
      <c r="AR149" t="s">
        <v>683</v>
      </c>
      <c r="AT149" t="s">
        <v>1270</v>
      </c>
      <c r="AW149" t="s">
        <v>1282</v>
      </c>
    </row>
    <row r="150" spans="1:49">
      <c r="A150" s="1">
        <f>HYPERLINK("https://lsnyc.legalserver.org/matter/dynamic-profile/view/1903939","19-1903939")</f>
        <v>0</v>
      </c>
      <c r="B150" t="s">
        <v>98</v>
      </c>
      <c r="C150" t="s">
        <v>240</v>
      </c>
      <c r="D150" t="s">
        <v>287</v>
      </c>
      <c r="E150" t="s">
        <v>563</v>
      </c>
      <c r="F150" t="s">
        <v>662</v>
      </c>
      <c r="G150" t="s">
        <v>677</v>
      </c>
      <c r="H150">
        <v>10467</v>
      </c>
      <c r="I150" t="s">
        <v>683</v>
      </c>
      <c r="O150">
        <v>0</v>
      </c>
      <c r="R150" t="s">
        <v>910</v>
      </c>
      <c r="U150">
        <v>0</v>
      </c>
      <c r="X150">
        <v>0</v>
      </c>
      <c r="Y150">
        <v>1</v>
      </c>
      <c r="Z150">
        <v>0</v>
      </c>
      <c r="AA150">
        <v>124.9</v>
      </c>
      <c r="AD150" t="s">
        <v>1122</v>
      </c>
      <c r="AE150">
        <v>15600</v>
      </c>
      <c r="AK150">
        <v>1.5</v>
      </c>
      <c r="AL150" t="s">
        <v>1176</v>
      </c>
      <c r="AM150" t="s">
        <v>98</v>
      </c>
      <c r="AO150" t="s">
        <v>1236</v>
      </c>
      <c r="AP150" t="s">
        <v>1172</v>
      </c>
      <c r="AR150" t="s">
        <v>683</v>
      </c>
      <c r="AT150" t="s">
        <v>1270</v>
      </c>
      <c r="AW150" t="s">
        <v>1282</v>
      </c>
    </row>
    <row r="151" spans="1:49">
      <c r="A151" s="1">
        <f>HYPERLINK("https://lsnyc.legalserver.org/matter/dynamic-profile/view/1899040","19-1899040")</f>
        <v>0</v>
      </c>
      <c r="B151" t="s">
        <v>104</v>
      </c>
      <c r="C151" t="s">
        <v>241</v>
      </c>
      <c r="D151" t="s">
        <v>398</v>
      </c>
      <c r="E151" t="s">
        <v>564</v>
      </c>
      <c r="F151" t="s">
        <v>638</v>
      </c>
      <c r="G151" t="s">
        <v>677</v>
      </c>
      <c r="H151">
        <v>10451</v>
      </c>
      <c r="I151" t="s">
        <v>683</v>
      </c>
      <c r="J151" t="s">
        <v>720</v>
      </c>
      <c r="K151" t="s">
        <v>733</v>
      </c>
      <c r="L151" t="s">
        <v>740</v>
      </c>
      <c r="O151">
        <v>400</v>
      </c>
      <c r="P151" t="s">
        <v>752</v>
      </c>
      <c r="R151" t="s">
        <v>911</v>
      </c>
      <c r="S151" t="s">
        <v>945</v>
      </c>
      <c r="T151" t="s">
        <v>1075</v>
      </c>
      <c r="U151">
        <v>0</v>
      </c>
      <c r="V151" t="s">
        <v>1112</v>
      </c>
      <c r="X151">
        <v>16</v>
      </c>
      <c r="Y151">
        <v>3</v>
      </c>
      <c r="Z151">
        <v>1</v>
      </c>
      <c r="AA151">
        <v>14.45</v>
      </c>
      <c r="AD151" t="s">
        <v>1122</v>
      </c>
      <c r="AE151">
        <v>3720</v>
      </c>
      <c r="AK151">
        <v>1</v>
      </c>
      <c r="AL151" t="s">
        <v>1166</v>
      </c>
      <c r="AM151" t="s">
        <v>1226</v>
      </c>
      <c r="AO151" t="s">
        <v>1236</v>
      </c>
      <c r="AP151" t="s">
        <v>1184</v>
      </c>
      <c r="AR151" t="s">
        <v>683</v>
      </c>
      <c r="AT151" t="s">
        <v>1271</v>
      </c>
      <c r="AW151" t="s">
        <v>1282</v>
      </c>
    </row>
    <row r="152" spans="1:49">
      <c r="A152" s="1">
        <f>HYPERLINK("https://lsnyc.legalserver.org/matter/dynamic-profile/view/1895694","19-1895694")</f>
        <v>0</v>
      </c>
      <c r="B152" t="s">
        <v>100</v>
      </c>
      <c r="C152" t="s">
        <v>133</v>
      </c>
      <c r="D152" t="s">
        <v>399</v>
      </c>
      <c r="E152" t="s">
        <v>565</v>
      </c>
      <c r="G152" t="s">
        <v>677</v>
      </c>
      <c r="H152">
        <v>10461</v>
      </c>
      <c r="I152" t="s">
        <v>683</v>
      </c>
      <c r="O152">
        <v>0</v>
      </c>
      <c r="R152" t="s">
        <v>912</v>
      </c>
      <c r="S152" t="s">
        <v>946</v>
      </c>
      <c r="T152" t="s">
        <v>1076</v>
      </c>
      <c r="U152">
        <v>0</v>
      </c>
      <c r="X152">
        <v>0</v>
      </c>
      <c r="Y152">
        <v>1</v>
      </c>
      <c r="Z152">
        <v>1</v>
      </c>
      <c r="AA152">
        <v>0</v>
      </c>
      <c r="AD152" t="s">
        <v>1122</v>
      </c>
      <c r="AE152">
        <v>0</v>
      </c>
      <c r="AK152">
        <v>12.05</v>
      </c>
      <c r="AL152" t="s">
        <v>1166</v>
      </c>
      <c r="AM152" t="s">
        <v>100</v>
      </c>
      <c r="AO152" t="s">
        <v>1236</v>
      </c>
      <c r="AP152" t="s">
        <v>1250</v>
      </c>
      <c r="AR152" t="s">
        <v>683</v>
      </c>
      <c r="AT152" t="s">
        <v>1271</v>
      </c>
      <c r="AW152" t="s">
        <v>1281</v>
      </c>
    </row>
    <row r="153" spans="1:49">
      <c r="A153" s="1">
        <f>HYPERLINK("https://lsnyc.legalserver.org/matter/dynamic-profile/view/1895850","19-1895850")</f>
        <v>0</v>
      </c>
      <c r="B153" t="s">
        <v>62</v>
      </c>
      <c r="C153" t="s">
        <v>242</v>
      </c>
      <c r="D153" t="s">
        <v>400</v>
      </c>
      <c r="E153" t="s">
        <v>566</v>
      </c>
      <c r="F153" t="s">
        <v>663</v>
      </c>
      <c r="G153" t="s">
        <v>681</v>
      </c>
      <c r="H153">
        <v>11102</v>
      </c>
      <c r="I153" t="s">
        <v>683</v>
      </c>
      <c r="L153" t="s">
        <v>738</v>
      </c>
      <c r="O153">
        <v>992</v>
      </c>
      <c r="Q153" t="s">
        <v>758</v>
      </c>
      <c r="R153" t="s">
        <v>913</v>
      </c>
      <c r="T153" t="s">
        <v>1077</v>
      </c>
      <c r="U153">
        <v>206</v>
      </c>
      <c r="X153">
        <v>20</v>
      </c>
      <c r="Y153">
        <v>1</v>
      </c>
      <c r="Z153">
        <v>0</v>
      </c>
      <c r="AA153">
        <v>278.62</v>
      </c>
      <c r="AD153" t="s">
        <v>1122</v>
      </c>
      <c r="AE153">
        <v>34800</v>
      </c>
      <c r="AK153">
        <v>1.05</v>
      </c>
      <c r="AL153" t="s">
        <v>1189</v>
      </c>
      <c r="AM153" t="s">
        <v>1216</v>
      </c>
      <c r="AO153" t="s">
        <v>1235</v>
      </c>
      <c r="AP153" t="s">
        <v>1243</v>
      </c>
      <c r="AQ153" t="s">
        <v>1189</v>
      </c>
      <c r="AR153" t="s">
        <v>683</v>
      </c>
      <c r="AS153" t="s">
        <v>1257</v>
      </c>
      <c r="AT153" t="s">
        <v>1272</v>
      </c>
      <c r="AW153" t="s">
        <v>1282</v>
      </c>
    </row>
    <row r="154" spans="1:49">
      <c r="A154" s="1">
        <f>HYPERLINK("https://lsnyc.legalserver.org/matter/dynamic-profile/view/1898142","19-1898142")</f>
        <v>0</v>
      </c>
      <c r="B154" t="s">
        <v>62</v>
      </c>
      <c r="C154" t="s">
        <v>243</v>
      </c>
      <c r="D154" t="s">
        <v>401</v>
      </c>
      <c r="E154" t="s">
        <v>567</v>
      </c>
      <c r="F154" t="s">
        <v>664</v>
      </c>
      <c r="G154" t="s">
        <v>677</v>
      </c>
      <c r="H154">
        <v>10459</v>
      </c>
      <c r="I154" t="s">
        <v>683</v>
      </c>
      <c r="L154" t="s">
        <v>738</v>
      </c>
      <c r="O154">
        <v>1800</v>
      </c>
      <c r="Q154" t="s">
        <v>758</v>
      </c>
      <c r="R154" t="s">
        <v>914</v>
      </c>
      <c r="T154" t="s">
        <v>1078</v>
      </c>
      <c r="U154">
        <v>1</v>
      </c>
      <c r="X154">
        <v>0</v>
      </c>
      <c r="Y154">
        <v>1</v>
      </c>
      <c r="Z154">
        <v>2</v>
      </c>
      <c r="AA154">
        <v>0</v>
      </c>
      <c r="AD154" t="s">
        <v>1122</v>
      </c>
      <c r="AE154">
        <v>0</v>
      </c>
      <c r="AK154">
        <v>0.6</v>
      </c>
      <c r="AL154" t="s">
        <v>1164</v>
      </c>
      <c r="AM154" t="s">
        <v>1216</v>
      </c>
      <c r="AO154" t="s">
        <v>1235</v>
      </c>
      <c r="AP154" t="s">
        <v>1187</v>
      </c>
      <c r="AQ154" t="s">
        <v>1164</v>
      </c>
      <c r="AR154" t="s">
        <v>683</v>
      </c>
      <c r="AS154" t="s">
        <v>1257</v>
      </c>
      <c r="AT154" t="s">
        <v>1272</v>
      </c>
      <c r="AW154" t="s">
        <v>1282</v>
      </c>
    </row>
    <row r="155" spans="1:49">
      <c r="A155" s="1">
        <f>HYPERLINK("https://lsnyc.legalserver.org/matter/dynamic-profile/view/1895960","19-1895960")</f>
        <v>0</v>
      </c>
      <c r="B155" t="s">
        <v>51</v>
      </c>
      <c r="C155" t="s">
        <v>190</v>
      </c>
      <c r="D155" t="s">
        <v>402</v>
      </c>
      <c r="E155" t="s">
        <v>568</v>
      </c>
      <c r="F155" t="s">
        <v>665</v>
      </c>
      <c r="G155" t="s">
        <v>677</v>
      </c>
      <c r="H155">
        <v>10462</v>
      </c>
      <c r="I155" t="s">
        <v>683</v>
      </c>
      <c r="O155">
        <v>0</v>
      </c>
      <c r="Q155" t="s">
        <v>758</v>
      </c>
      <c r="R155" t="s">
        <v>915</v>
      </c>
      <c r="T155" t="s">
        <v>1079</v>
      </c>
      <c r="U155">
        <v>0</v>
      </c>
      <c r="X155">
        <v>0</v>
      </c>
      <c r="Y155">
        <v>2</v>
      </c>
      <c r="Z155">
        <v>0</v>
      </c>
      <c r="AA155">
        <v>384.39</v>
      </c>
      <c r="AD155" t="s">
        <v>1122</v>
      </c>
      <c r="AE155">
        <v>65000</v>
      </c>
      <c r="AK155">
        <v>3.5</v>
      </c>
      <c r="AL155" t="s">
        <v>1209</v>
      </c>
      <c r="AM155" t="s">
        <v>54</v>
      </c>
      <c r="AO155" t="s">
        <v>1235</v>
      </c>
      <c r="AP155" t="s">
        <v>1244</v>
      </c>
      <c r="AQ155" t="s">
        <v>1241</v>
      </c>
      <c r="AR155" t="s">
        <v>683</v>
      </c>
      <c r="AS155" t="s">
        <v>1257</v>
      </c>
      <c r="AT155" t="s">
        <v>1273</v>
      </c>
      <c r="AW155" t="s">
        <v>1280</v>
      </c>
    </row>
    <row r="156" spans="1:49">
      <c r="A156" s="1">
        <f>HYPERLINK("https://lsnyc.legalserver.org/matter/dynamic-profile/view/1895877","19-1895877")</f>
        <v>0</v>
      </c>
      <c r="B156" t="s">
        <v>50</v>
      </c>
      <c r="C156" t="s">
        <v>244</v>
      </c>
      <c r="D156" t="s">
        <v>403</v>
      </c>
      <c r="E156" t="s">
        <v>569</v>
      </c>
      <c r="F156">
        <v>22</v>
      </c>
      <c r="G156" t="s">
        <v>680</v>
      </c>
      <c r="H156">
        <v>10030</v>
      </c>
      <c r="I156" t="s">
        <v>683</v>
      </c>
      <c r="O156">
        <v>0</v>
      </c>
      <c r="Q156" t="s">
        <v>758</v>
      </c>
      <c r="R156" t="s">
        <v>916</v>
      </c>
      <c r="T156" t="s">
        <v>1080</v>
      </c>
      <c r="U156">
        <v>0</v>
      </c>
      <c r="X156">
        <v>0</v>
      </c>
      <c r="Y156">
        <v>2</v>
      </c>
      <c r="Z156">
        <v>0</v>
      </c>
      <c r="AA156">
        <v>313.42</v>
      </c>
      <c r="AD156" t="s">
        <v>1122</v>
      </c>
      <c r="AE156">
        <v>53000</v>
      </c>
      <c r="AK156">
        <v>5</v>
      </c>
      <c r="AL156" t="s">
        <v>1187</v>
      </c>
      <c r="AM156" t="s">
        <v>54</v>
      </c>
      <c r="AO156" t="s">
        <v>1235</v>
      </c>
      <c r="AP156" t="s">
        <v>1244</v>
      </c>
      <c r="AQ156" t="s">
        <v>1242</v>
      </c>
      <c r="AR156" t="s">
        <v>683</v>
      </c>
      <c r="AS156" t="s">
        <v>1257</v>
      </c>
      <c r="AT156" t="s">
        <v>1273</v>
      </c>
      <c r="AW156" t="s">
        <v>1280</v>
      </c>
    </row>
    <row r="157" spans="1:49">
      <c r="A157" s="1">
        <f>HYPERLINK("https://lsnyc.legalserver.org/matter/dynamic-profile/view/1896697","19-1896697")</f>
        <v>0</v>
      </c>
      <c r="B157" t="s">
        <v>50</v>
      </c>
      <c r="C157" t="s">
        <v>245</v>
      </c>
      <c r="D157" t="s">
        <v>404</v>
      </c>
      <c r="E157" t="s">
        <v>570</v>
      </c>
      <c r="F157" t="s">
        <v>666</v>
      </c>
      <c r="G157" t="s">
        <v>677</v>
      </c>
      <c r="H157">
        <v>10462</v>
      </c>
      <c r="I157" t="s">
        <v>683</v>
      </c>
      <c r="O157">
        <v>0</v>
      </c>
      <c r="Q157" t="s">
        <v>758</v>
      </c>
      <c r="R157" t="s">
        <v>917</v>
      </c>
      <c r="T157" t="s">
        <v>1081</v>
      </c>
      <c r="U157">
        <v>0</v>
      </c>
      <c r="X157">
        <v>0</v>
      </c>
      <c r="Y157">
        <v>2</v>
      </c>
      <c r="Z157">
        <v>0</v>
      </c>
      <c r="AA157">
        <v>53.22</v>
      </c>
      <c r="AD157" t="s">
        <v>1122</v>
      </c>
      <c r="AE157">
        <v>9000</v>
      </c>
      <c r="AK157">
        <v>4</v>
      </c>
      <c r="AL157" t="s">
        <v>1187</v>
      </c>
      <c r="AM157" t="s">
        <v>54</v>
      </c>
      <c r="AO157" t="s">
        <v>1235</v>
      </c>
      <c r="AP157" t="s">
        <v>1251</v>
      </c>
      <c r="AQ157" t="s">
        <v>1242</v>
      </c>
      <c r="AR157" t="s">
        <v>683</v>
      </c>
      <c r="AS157" t="s">
        <v>1257</v>
      </c>
      <c r="AT157" t="s">
        <v>1273</v>
      </c>
      <c r="AW157" t="s">
        <v>1279</v>
      </c>
    </row>
    <row r="158" spans="1:49">
      <c r="A158" s="1">
        <f>HYPERLINK("https://lsnyc.legalserver.org/matter/dynamic-profile/view/1896632","19-1896632")</f>
        <v>0</v>
      </c>
      <c r="B158" t="s">
        <v>50</v>
      </c>
      <c r="C158" t="s">
        <v>246</v>
      </c>
      <c r="D158" t="s">
        <v>405</v>
      </c>
      <c r="E158" t="s">
        <v>571</v>
      </c>
      <c r="G158" t="s">
        <v>677</v>
      </c>
      <c r="H158">
        <v>10452</v>
      </c>
      <c r="I158" t="s">
        <v>683</v>
      </c>
      <c r="O158">
        <v>0</v>
      </c>
      <c r="Q158" t="s">
        <v>759</v>
      </c>
      <c r="R158" t="s">
        <v>918</v>
      </c>
      <c r="T158" t="s">
        <v>1082</v>
      </c>
      <c r="U158">
        <v>0</v>
      </c>
      <c r="X158">
        <v>0</v>
      </c>
      <c r="Y158">
        <v>3</v>
      </c>
      <c r="Z158">
        <v>2</v>
      </c>
      <c r="AA158">
        <v>165.73</v>
      </c>
      <c r="AD158" t="s">
        <v>1122</v>
      </c>
      <c r="AE158">
        <v>50000</v>
      </c>
      <c r="AK158">
        <v>6.5</v>
      </c>
      <c r="AL158" t="s">
        <v>1187</v>
      </c>
      <c r="AM158" t="s">
        <v>54</v>
      </c>
      <c r="AO158" t="s">
        <v>1235</v>
      </c>
      <c r="AP158" t="s">
        <v>1251</v>
      </c>
      <c r="AQ158" t="s">
        <v>1242</v>
      </c>
      <c r="AR158" t="s">
        <v>683</v>
      </c>
      <c r="AS158" t="s">
        <v>1258</v>
      </c>
      <c r="AT158" t="s">
        <v>1273</v>
      </c>
      <c r="AW158" t="s">
        <v>1279</v>
      </c>
    </row>
    <row r="159" spans="1:49">
      <c r="A159" s="1">
        <f>HYPERLINK("https://lsnyc.legalserver.org/matter/dynamic-profile/view/1896002","19-1896002")</f>
        <v>0</v>
      </c>
      <c r="B159" t="s">
        <v>53</v>
      </c>
      <c r="C159" t="s">
        <v>247</v>
      </c>
      <c r="D159" t="s">
        <v>406</v>
      </c>
      <c r="E159" t="s">
        <v>572</v>
      </c>
      <c r="G159" t="s">
        <v>677</v>
      </c>
      <c r="H159">
        <v>10471</v>
      </c>
      <c r="I159" t="s">
        <v>683</v>
      </c>
      <c r="O159">
        <v>0</v>
      </c>
      <c r="R159" t="s">
        <v>919</v>
      </c>
      <c r="T159" t="s">
        <v>1083</v>
      </c>
      <c r="U159">
        <v>0</v>
      </c>
      <c r="X159">
        <v>0</v>
      </c>
      <c r="Y159">
        <v>1</v>
      </c>
      <c r="Z159">
        <v>0</v>
      </c>
      <c r="AA159">
        <v>89.34999999999999</v>
      </c>
      <c r="AD159" t="s">
        <v>1122</v>
      </c>
      <c r="AE159">
        <v>11160</v>
      </c>
      <c r="AK159">
        <v>8</v>
      </c>
      <c r="AL159" t="s">
        <v>1207</v>
      </c>
      <c r="AM159" t="s">
        <v>54</v>
      </c>
      <c r="AO159" t="s">
        <v>1236</v>
      </c>
      <c r="AP159" t="s">
        <v>1244</v>
      </c>
      <c r="AR159" t="s">
        <v>683</v>
      </c>
      <c r="AT159" t="s">
        <v>1273</v>
      </c>
      <c r="AW159" t="s">
        <v>1279</v>
      </c>
    </row>
    <row r="160" spans="1:49">
      <c r="A160" s="1">
        <f>HYPERLINK("https://lsnyc.legalserver.org/matter/dynamic-profile/view/1896666","19-1896666")</f>
        <v>0</v>
      </c>
      <c r="B160" t="s">
        <v>50</v>
      </c>
      <c r="C160" t="s">
        <v>248</v>
      </c>
      <c r="D160" t="s">
        <v>407</v>
      </c>
      <c r="E160" t="s">
        <v>573</v>
      </c>
      <c r="F160" t="s">
        <v>667</v>
      </c>
      <c r="G160" t="s">
        <v>677</v>
      </c>
      <c r="H160">
        <v>10472</v>
      </c>
      <c r="I160" t="s">
        <v>683</v>
      </c>
      <c r="O160">
        <v>0</v>
      </c>
      <c r="R160" t="s">
        <v>920</v>
      </c>
      <c r="T160" t="s">
        <v>1084</v>
      </c>
      <c r="U160">
        <v>0</v>
      </c>
      <c r="X160">
        <v>0</v>
      </c>
      <c r="Y160">
        <v>2</v>
      </c>
      <c r="Z160">
        <v>0</v>
      </c>
      <c r="AA160">
        <v>488.47</v>
      </c>
      <c r="AD160" t="s">
        <v>1122</v>
      </c>
      <c r="AE160">
        <v>82600</v>
      </c>
      <c r="AK160">
        <v>4.75</v>
      </c>
      <c r="AL160" t="s">
        <v>1206</v>
      </c>
      <c r="AM160" t="s">
        <v>54</v>
      </c>
      <c r="AO160" t="s">
        <v>1236</v>
      </c>
      <c r="AP160" t="s">
        <v>1251</v>
      </c>
      <c r="AR160" t="s">
        <v>683</v>
      </c>
      <c r="AT160" t="s">
        <v>1273</v>
      </c>
      <c r="AW160" t="s">
        <v>1279</v>
      </c>
    </row>
    <row r="161" spans="1:49">
      <c r="A161" s="1">
        <f>HYPERLINK("https://lsnyc.legalserver.org/matter/dynamic-profile/view/1896014","19-1896014")</f>
        <v>0</v>
      </c>
      <c r="B161" t="s">
        <v>53</v>
      </c>
      <c r="C161" t="s">
        <v>249</v>
      </c>
      <c r="D161" t="s">
        <v>408</v>
      </c>
      <c r="E161" t="s">
        <v>574</v>
      </c>
      <c r="G161" t="s">
        <v>677</v>
      </c>
      <c r="H161">
        <v>10466</v>
      </c>
      <c r="I161" t="s">
        <v>683</v>
      </c>
      <c r="O161">
        <v>0</v>
      </c>
      <c r="R161" t="s">
        <v>921</v>
      </c>
      <c r="T161" t="s">
        <v>1085</v>
      </c>
      <c r="U161">
        <v>0</v>
      </c>
      <c r="X161">
        <v>0</v>
      </c>
      <c r="Y161">
        <v>4</v>
      </c>
      <c r="Z161">
        <v>0</v>
      </c>
      <c r="AA161">
        <v>161.55</v>
      </c>
      <c r="AD161" t="s">
        <v>1122</v>
      </c>
      <c r="AE161">
        <v>41600</v>
      </c>
      <c r="AK161">
        <v>7.2</v>
      </c>
      <c r="AL161" t="s">
        <v>1161</v>
      </c>
      <c r="AM161" t="s">
        <v>54</v>
      </c>
      <c r="AO161" t="s">
        <v>1236</v>
      </c>
      <c r="AP161" t="s">
        <v>1244</v>
      </c>
      <c r="AR161" t="s">
        <v>683</v>
      </c>
      <c r="AT161" t="s">
        <v>1273</v>
      </c>
      <c r="AW161" t="s">
        <v>1280</v>
      </c>
    </row>
    <row r="162" spans="1:49">
      <c r="A162" s="1">
        <f>HYPERLINK("https://lsnyc.legalserver.org/matter/dynamic-profile/view/1895979","19-1895979")</f>
        <v>0</v>
      </c>
      <c r="B162" t="s">
        <v>51</v>
      </c>
      <c r="C162" t="s">
        <v>250</v>
      </c>
      <c r="D162" t="s">
        <v>409</v>
      </c>
      <c r="E162" t="s">
        <v>575</v>
      </c>
      <c r="G162" t="s">
        <v>677</v>
      </c>
      <c r="H162">
        <v>10465</v>
      </c>
      <c r="I162" t="s">
        <v>683</v>
      </c>
      <c r="O162">
        <v>0</v>
      </c>
      <c r="R162" t="s">
        <v>922</v>
      </c>
      <c r="T162" t="s">
        <v>1086</v>
      </c>
      <c r="U162">
        <v>0</v>
      </c>
      <c r="X162">
        <v>0</v>
      </c>
      <c r="Y162">
        <v>4</v>
      </c>
      <c r="Z162">
        <v>1</v>
      </c>
      <c r="AA162">
        <v>222.74</v>
      </c>
      <c r="AD162" t="s">
        <v>1122</v>
      </c>
      <c r="AE162">
        <v>67200</v>
      </c>
      <c r="AK162">
        <v>5.75</v>
      </c>
      <c r="AL162" t="s">
        <v>1160</v>
      </c>
      <c r="AM162" t="s">
        <v>54</v>
      </c>
      <c r="AO162" t="s">
        <v>1236</v>
      </c>
      <c r="AP162" t="s">
        <v>1244</v>
      </c>
      <c r="AR162" t="s">
        <v>683</v>
      </c>
      <c r="AT162" t="s">
        <v>1273</v>
      </c>
      <c r="AW162" t="s">
        <v>1279</v>
      </c>
    </row>
    <row r="163" spans="1:49">
      <c r="A163" s="1">
        <f>HYPERLINK("https://lsnyc.legalserver.org/matter/dynamic-profile/view/1906159","19-1906159")</f>
        <v>0</v>
      </c>
      <c r="B163" t="s">
        <v>87</v>
      </c>
      <c r="C163" t="s">
        <v>232</v>
      </c>
      <c r="D163" t="s">
        <v>389</v>
      </c>
      <c r="E163" t="s">
        <v>553</v>
      </c>
      <c r="F163" t="s">
        <v>668</v>
      </c>
      <c r="G163" t="s">
        <v>677</v>
      </c>
      <c r="H163">
        <v>10469</v>
      </c>
      <c r="I163" t="s">
        <v>683</v>
      </c>
      <c r="J163" t="s">
        <v>718</v>
      </c>
      <c r="K163" t="s">
        <v>732</v>
      </c>
      <c r="L163" t="s">
        <v>740</v>
      </c>
      <c r="M163" t="s">
        <v>744</v>
      </c>
      <c r="O163">
        <v>1000</v>
      </c>
      <c r="P163" t="s">
        <v>749</v>
      </c>
      <c r="Q163" t="s">
        <v>758</v>
      </c>
      <c r="R163" t="s">
        <v>900</v>
      </c>
      <c r="T163" t="s">
        <v>1067</v>
      </c>
      <c r="U163">
        <v>0</v>
      </c>
      <c r="V163" t="s">
        <v>1113</v>
      </c>
      <c r="X163">
        <v>0</v>
      </c>
      <c r="Y163">
        <v>2</v>
      </c>
      <c r="Z163">
        <v>0</v>
      </c>
      <c r="AA163">
        <v>172.02</v>
      </c>
      <c r="AD163" t="s">
        <v>1122</v>
      </c>
      <c r="AE163">
        <v>29088</v>
      </c>
      <c r="AK163">
        <v>1.35</v>
      </c>
      <c r="AL163" t="s">
        <v>1170</v>
      </c>
      <c r="AM163" t="s">
        <v>97</v>
      </c>
      <c r="AO163" t="s">
        <v>1235</v>
      </c>
      <c r="AP163" t="s">
        <v>1160</v>
      </c>
      <c r="AQ163" t="s">
        <v>1170</v>
      </c>
      <c r="AR163" t="s">
        <v>683</v>
      </c>
      <c r="AS163" t="s">
        <v>1257</v>
      </c>
      <c r="AT163" t="s">
        <v>1274</v>
      </c>
      <c r="AW163" t="s">
        <v>1282</v>
      </c>
    </row>
    <row r="164" spans="1:49">
      <c r="A164" s="1">
        <f>HYPERLINK("https://lsnyc.legalserver.org/matter/dynamic-profile/view/1906186","19-1906186")</f>
        <v>0</v>
      </c>
      <c r="B164" t="s">
        <v>105</v>
      </c>
      <c r="C164" t="s">
        <v>251</v>
      </c>
      <c r="D164" t="s">
        <v>410</v>
      </c>
      <c r="E164" t="s">
        <v>576</v>
      </c>
      <c r="G164" t="s">
        <v>678</v>
      </c>
      <c r="H164">
        <v>11212</v>
      </c>
      <c r="I164" t="s">
        <v>683</v>
      </c>
      <c r="J164" t="s">
        <v>721</v>
      </c>
      <c r="K164" t="s">
        <v>730</v>
      </c>
      <c r="L164" t="s">
        <v>738</v>
      </c>
      <c r="O164">
        <v>0</v>
      </c>
      <c r="R164" t="s">
        <v>923</v>
      </c>
      <c r="T164" t="s">
        <v>1087</v>
      </c>
      <c r="U164">
        <v>0</v>
      </c>
      <c r="V164" t="s">
        <v>1104</v>
      </c>
      <c r="X164">
        <v>0</v>
      </c>
      <c r="Y164">
        <v>1</v>
      </c>
      <c r="Z164">
        <v>0</v>
      </c>
      <c r="AA164">
        <v>0</v>
      </c>
      <c r="AD164" t="s">
        <v>1122</v>
      </c>
      <c r="AE164">
        <v>0</v>
      </c>
      <c r="AK164">
        <v>0.75</v>
      </c>
      <c r="AL164" t="s">
        <v>1160</v>
      </c>
      <c r="AM164" t="s">
        <v>97</v>
      </c>
      <c r="AO164" t="s">
        <v>1236</v>
      </c>
      <c r="AP164" t="s">
        <v>1160</v>
      </c>
      <c r="AR164" t="s">
        <v>683</v>
      </c>
      <c r="AT164" t="s">
        <v>1274</v>
      </c>
      <c r="AW164" t="s">
        <v>1282</v>
      </c>
    </row>
    <row r="165" spans="1:49">
      <c r="A165" s="1">
        <f>HYPERLINK("https://lsnyc.legalserver.org/matter/dynamic-profile/view/1906321","19-1906321")</f>
        <v>0</v>
      </c>
      <c r="B165" t="s">
        <v>97</v>
      </c>
      <c r="C165" t="s">
        <v>237</v>
      </c>
      <c r="D165" t="s">
        <v>293</v>
      </c>
      <c r="E165" t="s">
        <v>577</v>
      </c>
      <c r="F165" t="s">
        <v>669</v>
      </c>
      <c r="G165" t="s">
        <v>677</v>
      </c>
      <c r="H165">
        <v>10455</v>
      </c>
      <c r="I165" t="s">
        <v>683</v>
      </c>
      <c r="J165" t="s">
        <v>722</v>
      </c>
      <c r="K165" t="s">
        <v>732</v>
      </c>
      <c r="L165" t="s">
        <v>742</v>
      </c>
      <c r="M165" t="s">
        <v>746</v>
      </c>
      <c r="O165">
        <v>901</v>
      </c>
      <c r="P165" t="s">
        <v>749</v>
      </c>
      <c r="R165" t="s">
        <v>924</v>
      </c>
      <c r="T165" t="s">
        <v>1088</v>
      </c>
      <c r="U165">
        <v>0</v>
      </c>
      <c r="V165" t="s">
        <v>1112</v>
      </c>
      <c r="X165">
        <v>0</v>
      </c>
      <c r="Y165">
        <v>1</v>
      </c>
      <c r="Z165">
        <v>0</v>
      </c>
      <c r="AA165">
        <v>27.38</v>
      </c>
      <c r="AD165" t="s">
        <v>1122</v>
      </c>
      <c r="AE165">
        <v>3420</v>
      </c>
      <c r="AK165">
        <v>1.25</v>
      </c>
      <c r="AL165" t="s">
        <v>1212</v>
      </c>
      <c r="AM165" t="s">
        <v>97</v>
      </c>
      <c r="AO165" t="s">
        <v>1236</v>
      </c>
      <c r="AP165" t="s">
        <v>1170</v>
      </c>
      <c r="AR165" t="s">
        <v>683</v>
      </c>
      <c r="AT165" t="s">
        <v>1274</v>
      </c>
      <c r="AU165" t="s">
        <v>684</v>
      </c>
      <c r="AW165" t="s">
        <v>1282</v>
      </c>
    </row>
    <row r="166" spans="1:49">
      <c r="A166" s="1">
        <f>HYPERLINK("https://lsnyc.legalserver.org/matter/dynamic-profile/view/1900943","19-1900943")</f>
        <v>0</v>
      </c>
      <c r="B166" t="s">
        <v>50</v>
      </c>
      <c r="C166" t="s">
        <v>252</v>
      </c>
      <c r="D166" t="s">
        <v>264</v>
      </c>
      <c r="E166" t="s">
        <v>578</v>
      </c>
      <c r="F166" t="s">
        <v>670</v>
      </c>
      <c r="G166" t="s">
        <v>677</v>
      </c>
      <c r="H166">
        <v>10451</v>
      </c>
      <c r="I166" t="s">
        <v>683</v>
      </c>
      <c r="J166" t="s">
        <v>723</v>
      </c>
      <c r="K166" t="s">
        <v>732</v>
      </c>
      <c r="O166">
        <v>792</v>
      </c>
      <c r="P166" t="s">
        <v>748</v>
      </c>
      <c r="R166" t="s">
        <v>925</v>
      </c>
      <c r="T166" t="s">
        <v>1089</v>
      </c>
      <c r="U166">
        <v>288</v>
      </c>
      <c r="V166" t="s">
        <v>1114</v>
      </c>
      <c r="W166" t="s">
        <v>1116</v>
      </c>
      <c r="X166">
        <v>5</v>
      </c>
      <c r="Y166">
        <v>1</v>
      </c>
      <c r="Z166">
        <v>0</v>
      </c>
      <c r="AA166">
        <v>208.17</v>
      </c>
      <c r="AD166" t="s">
        <v>1122</v>
      </c>
      <c r="AE166">
        <v>26000</v>
      </c>
      <c r="AK166">
        <v>5.05</v>
      </c>
      <c r="AL166" t="s">
        <v>1162</v>
      </c>
      <c r="AM166" t="s">
        <v>1222</v>
      </c>
      <c r="AO166" t="s">
        <v>1236</v>
      </c>
      <c r="AP166" t="s">
        <v>1171</v>
      </c>
      <c r="AR166" t="s">
        <v>683</v>
      </c>
      <c r="AT166" t="s">
        <v>1274</v>
      </c>
      <c r="AU166" t="s">
        <v>684</v>
      </c>
      <c r="AW166" t="s">
        <v>1280</v>
      </c>
    </row>
    <row r="167" spans="1:49">
      <c r="A167" s="1">
        <f>HYPERLINK("https://lsnyc.legalserver.org/matter/dynamic-profile/view/1905740","19-1905740")</f>
        <v>0</v>
      </c>
      <c r="B167" t="s">
        <v>97</v>
      </c>
      <c r="C167" t="s">
        <v>253</v>
      </c>
      <c r="D167" t="s">
        <v>307</v>
      </c>
      <c r="E167" t="s">
        <v>579</v>
      </c>
      <c r="F167" t="s">
        <v>640</v>
      </c>
      <c r="G167" t="s">
        <v>677</v>
      </c>
      <c r="H167">
        <v>10453</v>
      </c>
      <c r="I167" t="s">
        <v>683</v>
      </c>
      <c r="J167" t="s">
        <v>724</v>
      </c>
      <c r="K167" t="s">
        <v>732</v>
      </c>
      <c r="L167" t="s">
        <v>738</v>
      </c>
      <c r="M167" t="s">
        <v>745</v>
      </c>
      <c r="O167">
        <v>1250</v>
      </c>
      <c r="P167" t="s">
        <v>749</v>
      </c>
      <c r="Q167" t="s">
        <v>758</v>
      </c>
      <c r="R167" t="s">
        <v>926</v>
      </c>
      <c r="S167" t="s">
        <v>947</v>
      </c>
      <c r="T167" t="s">
        <v>1090</v>
      </c>
      <c r="U167">
        <v>50</v>
      </c>
      <c r="V167" t="s">
        <v>1102</v>
      </c>
      <c r="W167" t="s">
        <v>1121</v>
      </c>
      <c r="X167">
        <v>2</v>
      </c>
      <c r="Y167">
        <v>1</v>
      </c>
      <c r="Z167">
        <v>0</v>
      </c>
      <c r="AA167">
        <v>33.82</v>
      </c>
      <c r="AD167" t="s">
        <v>1122</v>
      </c>
      <c r="AE167">
        <v>4224</v>
      </c>
      <c r="AK167">
        <v>1.25</v>
      </c>
      <c r="AL167" t="s">
        <v>1179</v>
      </c>
      <c r="AM167" t="s">
        <v>97</v>
      </c>
      <c r="AO167" t="s">
        <v>1235</v>
      </c>
      <c r="AP167" t="s">
        <v>1165</v>
      </c>
      <c r="AQ167" t="s">
        <v>1179</v>
      </c>
      <c r="AR167" t="s">
        <v>683</v>
      </c>
      <c r="AS167" t="s">
        <v>1257</v>
      </c>
      <c r="AT167" t="s">
        <v>1275</v>
      </c>
      <c r="AU167" t="s">
        <v>684</v>
      </c>
      <c r="AW167" t="s">
        <v>1282</v>
      </c>
    </row>
    <row r="168" spans="1:49">
      <c r="A168" s="1">
        <f>HYPERLINK("https://lsnyc.legalserver.org/matter/dynamic-profile/view/1899546","19-1899546")</f>
        <v>0</v>
      </c>
      <c r="B168" t="s">
        <v>106</v>
      </c>
      <c r="C168" t="s">
        <v>254</v>
      </c>
      <c r="D168" t="s">
        <v>411</v>
      </c>
      <c r="E168" t="s">
        <v>580</v>
      </c>
      <c r="F168" t="s">
        <v>618</v>
      </c>
      <c r="G168" t="s">
        <v>677</v>
      </c>
      <c r="H168">
        <v>10473</v>
      </c>
      <c r="I168" t="s">
        <v>683</v>
      </c>
      <c r="L168" t="s">
        <v>738</v>
      </c>
      <c r="O168">
        <v>0</v>
      </c>
      <c r="Q168" t="s">
        <v>758</v>
      </c>
      <c r="R168" t="s">
        <v>927</v>
      </c>
      <c r="T168" t="s">
        <v>1091</v>
      </c>
      <c r="U168">
        <v>0</v>
      </c>
      <c r="X168">
        <v>0</v>
      </c>
      <c r="Y168">
        <v>3</v>
      </c>
      <c r="Z168">
        <v>1</v>
      </c>
      <c r="AA168">
        <v>120.33</v>
      </c>
      <c r="AD168" t="s">
        <v>1122</v>
      </c>
      <c r="AE168">
        <v>30984</v>
      </c>
      <c r="AK168">
        <v>0.5</v>
      </c>
      <c r="AL168" t="s">
        <v>1213</v>
      </c>
      <c r="AM168" t="s">
        <v>1230</v>
      </c>
      <c r="AO168" t="s">
        <v>1235</v>
      </c>
      <c r="AP168" t="s">
        <v>1191</v>
      </c>
      <c r="AQ168" t="s">
        <v>1177</v>
      </c>
      <c r="AR168" t="s">
        <v>683</v>
      </c>
      <c r="AS168" t="s">
        <v>1257</v>
      </c>
      <c r="AT168" t="s">
        <v>1275</v>
      </c>
      <c r="AW168" t="s">
        <v>1282</v>
      </c>
    </row>
    <row r="169" spans="1:49">
      <c r="A169" s="1">
        <f>HYPERLINK("https://lsnyc.legalserver.org/matter/dynamic-profile/view/1899453","19-1899453")</f>
        <v>0</v>
      </c>
      <c r="B169" t="s">
        <v>97</v>
      </c>
      <c r="C169" t="s">
        <v>255</v>
      </c>
      <c r="D169" t="s">
        <v>412</v>
      </c>
      <c r="E169" t="s">
        <v>581</v>
      </c>
      <c r="F169" t="s">
        <v>671</v>
      </c>
      <c r="G169" t="s">
        <v>677</v>
      </c>
      <c r="H169">
        <v>10473</v>
      </c>
      <c r="I169" t="s">
        <v>683</v>
      </c>
      <c r="J169" t="s">
        <v>725</v>
      </c>
      <c r="L169" t="s">
        <v>738</v>
      </c>
      <c r="O169">
        <v>1050</v>
      </c>
      <c r="Q169" t="s">
        <v>758</v>
      </c>
      <c r="R169" t="s">
        <v>928</v>
      </c>
      <c r="T169" t="s">
        <v>1092</v>
      </c>
      <c r="U169">
        <v>0</v>
      </c>
      <c r="V169" t="s">
        <v>1105</v>
      </c>
      <c r="W169" t="s">
        <v>1116</v>
      </c>
      <c r="X169">
        <v>41</v>
      </c>
      <c r="Y169">
        <v>2</v>
      </c>
      <c r="Z169">
        <v>1</v>
      </c>
      <c r="AA169">
        <v>115.07</v>
      </c>
      <c r="AD169" t="s">
        <v>1122</v>
      </c>
      <c r="AE169">
        <v>24544</v>
      </c>
      <c r="AK169">
        <v>1.25</v>
      </c>
      <c r="AL169" t="s">
        <v>1203</v>
      </c>
      <c r="AM169" t="s">
        <v>1218</v>
      </c>
      <c r="AO169" t="s">
        <v>1235</v>
      </c>
      <c r="AP169" t="s">
        <v>1252</v>
      </c>
      <c r="AQ169" t="s">
        <v>1203</v>
      </c>
      <c r="AR169" t="s">
        <v>683</v>
      </c>
      <c r="AS169" t="s">
        <v>1257</v>
      </c>
      <c r="AT169" t="s">
        <v>1275</v>
      </c>
      <c r="AW169" t="s">
        <v>1282</v>
      </c>
    </row>
    <row r="170" spans="1:49">
      <c r="A170" s="1">
        <f>HYPERLINK("https://lsnyc.legalserver.org/matter/dynamic-profile/view/1900245","19-1900245")</f>
        <v>0</v>
      </c>
      <c r="B170" t="s">
        <v>97</v>
      </c>
      <c r="C170" t="s">
        <v>256</v>
      </c>
      <c r="D170" t="s">
        <v>413</v>
      </c>
      <c r="E170" t="s">
        <v>582</v>
      </c>
      <c r="F170">
        <v>214</v>
      </c>
      <c r="G170" t="s">
        <v>677</v>
      </c>
      <c r="H170">
        <v>10463</v>
      </c>
      <c r="I170" t="s">
        <v>683</v>
      </c>
      <c r="J170" t="s">
        <v>726</v>
      </c>
      <c r="K170" t="s">
        <v>732</v>
      </c>
      <c r="L170" t="s">
        <v>741</v>
      </c>
      <c r="M170" t="s">
        <v>744</v>
      </c>
      <c r="O170">
        <v>722</v>
      </c>
      <c r="P170" t="s">
        <v>752</v>
      </c>
      <c r="Q170" t="s">
        <v>758</v>
      </c>
      <c r="R170" t="s">
        <v>929</v>
      </c>
      <c r="T170" t="s">
        <v>1093</v>
      </c>
      <c r="U170">
        <v>70</v>
      </c>
      <c r="X170">
        <v>6</v>
      </c>
      <c r="Y170">
        <v>1</v>
      </c>
      <c r="Z170">
        <v>0</v>
      </c>
      <c r="AA170">
        <v>192.47</v>
      </c>
      <c r="AD170" t="s">
        <v>1122</v>
      </c>
      <c r="AE170">
        <v>24040</v>
      </c>
      <c r="AK170">
        <v>1.8</v>
      </c>
      <c r="AL170" t="s">
        <v>1205</v>
      </c>
      <c r="AM170" t="s">
        <v>97</v>
      </c>
      <c r="AO170" t="s">
        <v>1235</v>
      </c>
      <c r="AP170" t="s">
        <v>1164</v>
      </c>
      <c r="AQ170" t="s">
        <v>1205</v>
      </c>
      <c r="AR170" t="s">
        <v>683</v>
      </c>
      <c r="AS170" t="s">
        <v>1257</v>
      </c>
      <c r="AT170" t="s">
        <v>1275</v>
      </c>
      <c r="AU170" t="s">
        <v>684</v>
      </c>
      <c r="AW170" t="s">
        <v>1282</v>
      </c>
    </row>
    <row r="171" spans="1:49">
      <c r="A171" s="1">
        <f>HYPERLINK("https://lsnyc.legalserver.org/matter/dynamic-profile/view/1899790","19-1899790")</f>
        <v>0</v>
      </c>
      <c r="B171" t="s">
        <v>62</v>
      </c>
      <c r="C171" t="s">
        <v>257</v>
      </c>
      <c r="D171" t="s">
        <v>342</v>
      </c>
      <c r="E171" t="s">
        <v>583</v>
      </c>
      <c r="F171" t="s">
        <v>672</v>
      </c>
      <c r="G171" t="s">
        <v>677</v>
      </c>
      <c r="H171">
        <v>10460</v>
      </c>
      <c r="I171" t="s">
        <v>683</v>
      </c>
      <c r="J171" t="s">
        <v>727</v>
      </c>
      <c r="K171" t="s">
        <v>732</v>
      </c>
      <c r="O171">
        <v>1300</v>
      </c>
      <c r="Q171" t="s">
        <v>758</v>
      </c>
      <c r="R171" t="s">
        <v>930</v>
      </c>
      <c r="U171">
        <v>0</v>
      </c>
      <c r="X171">
        <v>1</v>
      </c>
      <c r="Y171">
        <v>1</v>
      </c>
      <c r="Z171">
        <v>0</v>
      </c>
      <c r="AA171">
        <v>17.68</v>
      </c>
      <c r="AD171" t="s">
        <v>1122</v>
      </c>
      <c r="AE171">
        <v>2208</v>
      </c>
      <c r="AK171">
        <v>1.25</v>
      </c>
      <c r="AL171" t="s">
        <v>1185</v>
      </c>
      <c r="AM171" t="s">
        <v>1228</v>
      </c>
      <c r="AO171" t="s">
        <v>1235</v>
      </c>
      <c r="AP171" t="s">
        <v>1210</v>
      </c>
      <c r="AQ171" t="s">
        <v>1185</v>
      </c>
      <c r="AR171" t="s">
        <v>683</v>
      </c>
      <c r="AS171" t="s">
        <v>1257</v>
      </c>
      <c r="AT171" t="s">
        <v>1275</v>
      </c>
      <c r="AW171" t="s">
        <v>1282</v>
      </c>
    </row>
    <row r="172" spans="1:49">
      <c r="A172" s="1">
        <f>HYPERLINK("https://lsnyc.legalserver.org/matter/dynamic-profile/view/1899367","19-1899367")</f>
        <v>0</v>
      </c>
      <c r="B172" t="s">
        <v>50</v>
      </c>
      <c r="C172" t="s">
        <v>112</v>
      </c>
      <c r="D172" t="s">
        <v>414</v>
      </c>
      <c r="E172" t="s">
        <v>584</v>
      </c>
      <c r="G172" t="s">
        <v>677</v>
      </c>
      <c r="H172">
        <v>10472</v>
      </c>
      <c r="I172" t="s">
        <v>683</v>
      </c>
      <c r="L172" t="s">
        <v>741</v>
      </c>
      <c r="O172">
        <v>0</v>
      </c>
      <c r="R172" t="s">
        <v>931</v>
      </c>
      <c r="T172" t="s">
        <v>1094</v>
      </c>
      <c r="U172">
        <v>0</v>
      </c>
      <c r="X172">
        <v>0</v>
      </c>
      <c r="Y172">
        <v>1</v>
      </c>
      <c r="Z172">
        <v>0</v>
      </c>
      <c r="AA172">
        <v>74.08</v>
      </c>
      <c r="AD172" t="s">
        <v>1122</v>
      </c>
      <c r="AE172">
        <v>9252</v>
      </c>
      <c r="AK172">
        <v>13</v>
      </c>
      <c r="AL172" t="s">
        <v>1166</v>
      </c>
      <c r="AM172" t="s">
        <v>1221</v>
      </c>
      <c r="AO172" t="s">
        <v>1236</v>
      </c>
      <c r="AP172" t="s">
        <v>1200</v>
      </c>
      <c r="AR172" t="s">
        <v>683</v>
      </c>
      <c r="AT172" t="s">
        <v>1275</v>
      </c>
      <c r="AW172" t="s">
        <v>1280</v>
      </c>
    </row>
    <row r="173" spans="1:49">
      <c r="A173" s="1">
        <f>HYPERLINK("https://lsnyc.legalserver.org/matter/dynamic-profile/view/1896104","19-1896104")</f>
        <v>0</v>
      </c>
      <c r="B173" t="s">
        <v>83</v>
      </c>
      <c r="C173" t="s">
        <v>258</v>
      </c>
      <c r="D173" t="s">
        <v>415</v>
      </c>
      <c r="E173" t="s">
        <v>585</v>
      </c>
      <c r="F173" t="s">
        <v>673</v>
      </c>
      <c r="G173" t="s">
        <v>677</v>
      </c>
      <c r="H173">
        <v>10462</v>
      </c>
      <c r="I173" t="s">
        <v>682</v>
      </c>
      <c r="J173" t="s">
        <v>728</v>
      </c>
      <c r="K173" t="s">
        <v>730</v>
      </c>
      <c r="L173" t="s">
        <v>740</v>
      </c>
      <c r="O173">
        <v>1200</v>
      </c>
      <c r="P173" t="s">
        <v>752</v>
      </c>
      <c r="R173" t="s">
        <v>932</v>
      </c>
      <c r="S173" t="s">
        <v>948</v>
      </c>
      <c r="T173" t="s">
        <v>1095</v>
      </c>
      <c r="U173">
        <v>0</v>
      </c>
      <c r="V173" t="s">
        <v>1104</v>
      </c>
      <c r="W173" t="s">
        <v>1116</v>
      </c>
      <c r="X173">
        <v>2</v>
      </c>
      <c r="Y173">
        <v>1</v>
      </c>
      <c r="Z173">
        <v>1</v>
      </c>
      <c r="AA173">
        <v>105.17</v>
      </c>
      <c r="AD173" t="s">
        <v>1122</v>
      </c>
      <c r="AE173">
        <v>17784</v>
      </c>
      <c r="AK173">
        <v>9.25</v>
      </c>
      <c r="AL173" t="s">
        <v>1214</v>
      </c>
      <c r="AM173" t="s">
        <v>1230</v>
      </c>
      <c r="AN173" t="s">
        <v>1233</v>
      </c>
      <c r="AO173" t="s">
        <v>1236</v>
      </c>
      <c r="AP173" t="s">
        <v>1253</v>
      </c>
      <c r="AR173" t="s">
        <v>683</v>
      </c>
      <c r="AT173" t="s">
        <v>1275</v>
      </c>
      <c r="AU173" t="s">
        <v>684</v>
      </c>
      <c r="AW173" t="s">
        <v>1282</v>
      </c>
    </row>
    <row r="174" spans="1:49">
      <c r="A174" s="1">
        <f>HYPERLINK("https://lsnyc.legalserver.org/matter/dynamic-profile/view/1904465","19-1904465")</f>
        <v>0</v>
      </c>
      <c r="B174" t="s">
        <v>97</v>
      </c>
      <c r="C174" t="s">
        <v>259</v>
      </c>
      <c r="D174" t="s">
        <v>416</v>
      </c>
      <c r="E174" t="s">
        <v>586</v>
      </c>
      <c r="F174" t="s">
        <v>674</v>
      </c>
      <c r="G174" t="s">
        <v>677</v>
      </c>
      <c r="H174">
        <v>10467</v>
      </c>
      <c r="I174" t="s">
        <v>683</v>
      </c>
      <c r="K174" t="s">
        <v>732</v>
      </c>
      <c r="L174" t="s">
        <v>740</v>
      </c>
      <c r="M174" t="s">
        <v>743</v>
      </c>
      <c r="O174">
        <v>545</v>
      </c>
      <c r="P174" t="s">
        <v>749</v>
      </c>
      <c r="R174" t="s">
        <v>933</v>
      </c>
      <c r="T174" t="s">
        <v>1096</v>
      </c>
      <c r="U174">
        <v>0</v>
      </c>
      <c r="V174" t="s">
        <v>1102</v>
      </c>
      <c r="X174">
        <v>30</v>
      </c>
      <c r="Y174">
        <v>1</v>
      </c>
      <c r="Z174">
        <v>1</v>
      </c>
      <c r="AA174">
        <v>92.70999999999999</v>
      </c>
      <c r="AD174" t="s">
        <v>1122</v>
      </c>
      <c r="AE174">
        <v>15678</v>
      </c>
      <c r="AK174">
        <v>1.75</v>
      </c>
      <c r="AL174" t="s">
        <v>1165</v>
      </c>
      <c r="AM174" t="s">
        <v>97</v>
      </c>
      <c r="AO174" t="s">
        <v>1236</v>
      </c>
      <c r="AP174" t="s">
        <v>1158</v>
      </c>
      <c r="AR174" t="s">
        <v>683</v>
      </c>
      <c r="AT174" t="s">
        <v>1275</v>
      </c>
      <c r="AW174" t="s">
        <v>1282</v>
      </c>
    </row>
    <row r="175" spans="1:49">
      <c r="A175" s="1">
        <f>HYPERLINK("https://lsnyc.legalserver.org/matter/dynamic-profile/view/1903315","19-1903315")</f>
        <v>0</v>
      </c>
      <c r="B175" t="s">
        <v>87</v>
      </c>
      <c r="C175" t="s">
        <v>260</v>
      </c>
      <c r="D175" t="s">
        <v>417</v>
      </c>
      <c r="E175" t="s">
        <v>587</v>
      </c>
      <c r="F175" t="s">
        <v>675</v>
      </c>
      <c r="G175" t="s">
        <v>677</v>
      </c>
      <c r="H175">
        <v>10461</v>
      </c>
      <c r="I175" t="s">
        <v>683</v>
      </c>
      <c r="O175">
        <v>1350</v>
      </c>
      <c r="P175" t="s">
        <v>748</v>
      </c>
      <c r="R175" t="s">
        <v>934</v>
      </c>
      <c r="T175" t="s">
        <v>1097</v>
      </c>
      <c r="U175">
        <v>3</v>
      </c>
      <c r="X175">
        <v>13</v>
      </c>
      <c r="Y175">
        <v>2</v>
      </c>
      <c r="Z175">
        <v>0</v>
      </c>
      <c r="AA175">
        <v>110.14</v>
      </c>
      <c r="AD175" t="s">
        <v>1122</v>
      </c>
      <c r="AE175">
        <v>18624</v>
      </c>
      <c r="AK175">
        <v>0.6</v>
      </c>
      <c r="AL175" t="s">
        <v>1199</v>
      </c>
      <c r="AM175" t="s">
        <v>1216</v>
      </c>
      <c r="AO175" t="s">
        <v>1236</v>
      </c>
      <c r="AP175" t="s">
        <v>1193</v>
      </c>
      <c r="AR175" t="s">
        <v>683</v>
      </c>
      <c r="AT175" t="s">
        <v>1275</v>
      </c>
      <c r="AW175" t="s">
        <v>1282</v>
      </c>
    </row>
    <row r="176" spans="1:49">
      <c r="A176" s="1">
        <f>HYPERLINK("https://lsnyc.legalserver.org/matter/dynamic-profile/view/1896511","19-1896511")</f>
        <v>0</v>
      </c>
      <c r="B176" t="s">
        <v>106</v>
      </c>
      <c r="C176" t="s">
        <v>131</v>
      </c>
      <c r="D176" t="s">
        <v>267</v>
      </c>
      <c r="E176" t="s">
        <v>588</v>
      </c>
      <c r="F176" t="s">
        <v>609</v>
      </c>
      <c r="G176" t="s">
        <v>677</v>
      </c>
      <c r="H176">
        <v>10452</v>
      </c>
      <c r="I176" t="s">
        <v>683</v>
      </c>
      <c r="O176">
        <v>0</v>
      </c>
      <c r="R176" t="s">
        <v>935</v>
      </c>
      <c r="U176">
        <v>0</v>
      </c>
      <c r="X176">
        <v>0</v>
      </c>
      <c r="Y176">
        <v>1</v>
      </c>
      <c r="Z176">
        <v>0</v>
      </c>
      <c r="AA176">
        <v>288.23</v>
      </c>
      <c r="AD176" t="s">
        <v>1122</v>
      </c>
      <c r="AE176">
        <v>36000</v>
      </c>
      <c r="AK176">
        <v>1.5</v>
      </c>
      <c r="AL176" t="s">
        <v>1173</v>
      </c>
      <c r="AM176" t="s">
        <v>61</v>
      </c>
      <c r="AO176" t="s">
        <v>1236</v>
      </c>
      <c r="AP176" t="s">
        <v>1254</v>
      </c>
      <c r="AR176" t="s">
        <v>683</v>
      </c>
      <c r="AT176" t="s">
        <v>1275</v>
      </c>
      <c r="AW176" t="s">
        <v>1281</v>
      </c>
    </row>
    <row r="177" spans="1:49">
      <c r="A177" s="1">
        <f>HYPERLINK("https://lsnyc.legalserver.org/matter/dynamic-profile/view/1895894","19-1895894")</f>
        <v>0</v>
      </c>
      <c r="B177" t="s">
        <v>50</v>
      </c>
      <c r="C177" t="s">
        <v>261</v>
      </c>
      <c r="D177" t="s">
        <v>418</v>
      </c>
      <c r="E177" t="s">
        <v>589</v>
      </c>
      <c r="G177" t="s">
        <v>677</v>
      </c>
      <c r="H177">
        <v>10455</v>
      </c>
      <c r="I177" t="s">
        <v>683</v>
      </c>
      <c r="O177">
        <v>0</v>
      </c>
      <c r="Q177" t="s">
        <v>758</v>
      </c>
      <c r="R177" t="s">
        <v>936</v>
      </c>
      <c r="T177" t="s">
        <v>1098</v>
      </c>
      <c r="U177">
        <v>0</v>
      </c>
      <c r="X177">
        <v>0</v>
      </c>
      <c r="Y177">
        <v>3</v>
      </c>
      <c r="Z177">
        <v>0</v>
      </c>
      <c r="AA177">
        <v>632.4400000000001</v>
      </c>
      <c r="AD177" t="s">
        <v>1122</v>
      </c>
      <c r="AE177">
        <v>134900</v>
      </c>
      <c r="AK177">
        <v>4.5</v>
      </c>
      <c r="AL177" t="s">
        <v>1187</v>
      </c>
      <c r="AM177" t="s">
        <v>54</v>
      </c>
      <c r="AO177" t="s">
        <v>1235</v>
      </c>
      <c r="AP177" t="s">
        <v>1244</v>
      </c>
      <c r="AQ177" t="s">
        <v>1242</v>
      </c>
      <c r="AR177" t="s">
        <v>683</v>
      </c>
      <c r="AS177" t="s">
        <v>1257</v>
      </c>
      <c r="AT177" t="s">
        <v>1276</v>
      </c>
      <c r="AW177" t="s">
        <v>1279</v>
      </c>
    </row>
    <row r="178" spans="1:49">
      <c r="A178" s="1">
        <f>HYPERLINK("https://lsnyc.legalserver.org/matter/dynamic-profile/view/1897278","19-1897278")</f>
        <v>0</v>
      </c>
      <c r="B178" t="s">
        <v>50</v>
      </c>
      <c r="C178" t="s">
        <v>262</v>
      </c>
      <c r="D178" t="s">
        <v>419</v>
      </c>
      <c r="E178" t="s">
        <v>590</v>
      </c>
      <c r="F178" t="s">
        <v>676</v>
      </c>
      <c r="G178" t="s">
        <v>677</v>
      </c>
      <c r="H178">
        <v>10467</v>
      </c>
      <c r="I178" t="s">
        <v>683</v>
      </c>
      <c r="O178">
        <v>0</v>
      </c>
      <c r="Q178" t="s">
        <v>758</v>
      </c>
      <c r="R178" t="s">
        <v>937</v>
      </c>
      <c r="T178" t="s">
        <v>1099</v>
      </c>
      <c r="U178">
        <v>0</v>
      </c>
      <c r="X178">
        <v>0</v>
      </c>
      <c r="Y178">
        <v>1</v>
      </c>
      <c r="Z178">
        <v>2</v>
      </c>
      <c r="AA178">
        <v>224.29</v>
      </c>
      <c r="AD178" t="s">
        <v>1122</v>
      </c>
      <c r="AE178">
        <v>47840</v>
      </c>
      <c r="AK178">
        <v>3.5</v>
      </c>
      <c r="AL178" t="s">
        <v>1187</v>
      </c>
      <c r="AM178" t="s">
        <v>54</v>
      </c>
      <c r="AO178" t="s">
        <v>1235</v>
      </c>
      <c r="AP178" t="s">
        <v>1237</v>
      </c>
      <c r="AQ178" t="s">
        <v>1242</v>
      </c>
      <c r="AR178" t="s">
        <v>683</v>
      </c>
      <c r="AS178" t="s">
        <v>1257</v>
      </c>
      <c r="AT178" t="s">
        <v>1276</v>
      </c>
      <c r="AW178" t="s">
        <v>1280</v>
      </c>
    </row>
    <row r="179" spans="1:49">
      <c r="A179" s="1">
        <f>HYPERLINK("https://lsnyc.legalserver.org/matter/dynamic-profile/view/1898110","19-1898110")</f>
        <v>0</v>
      </c>
      <c r="B179" t="s">
        <v>50</v>
      </c>
      <c r="C179" t="s">
        <v>263</v>
      </c>
      <c r="D179" t="s">
        <v>420</v>
      </c>
      <c r="E179" t="s">
        <v>591</v>
      </c>
      <c r="G179" t="s">
        <v>677</v>
      </c>
      <c r="H179">
        <v>10462</v>
      </c>
      <c r="I179" t="s">
        <v>683</v>
      </c>
      <c r="K179" t="s">
        <v>731</v>
      </c>
      <c r="L179" t="s">
        <v>738</v>
      </c>
      <c r="O179">
        <v>0</v>
      </c>
      <c r="R179" t="s">
        <v>938</v>
      </c>
      <c r="U179">
        <v>3</v>
      </c>
      <c r="X179">
        <v>13</v>
      </c>
      <c r="Y179">
        <v>2</v>
      </c>
      <c r="Z179">
        <v>0</v>
      </c>
      <c r="AA179">
        <v>318.56</v>
      </c>
      <c r="AD179" t="s">
        <v>1122</v>
      </c>
      <c r="AE179">
        <v>53868</v>
      </c>
      <c r="AK179">
        <v>2.75</v>
      </c>
      <c r="AL179" t="s">
        <v>1162</v>
      </c>
      <c r="AM179" t="s">
        <v>1219</v>
      </c>
      <c r="AO179" t="s">
        <v>1236</v>
      </c>
      <c r="AP179" t="s">
        <v>1187</v>
      </c>
      <c r="AR179" t="s">
        <v>683</v>
      </c>
      <c r="AT179" t="s">
        <v>1276</v>
      </c>
      <c r="AU179" t="s">
        <v>684</v>
      </c>
      <c r="AV179" t="s">
        <v>1276</v>
      </c>
      <c r="AW179" t="s">
        <v>1280</v>
      </c>
    </row>
    <row r="180" spans="1:49">
      <c r="A180" s="1">
        <f>HYPERLINK("https://lsnyc.legalserver.org/matter/dynamic-profile/view/1900611","19-1900611")</f>
        <v>0</v>
      </c>
      <c r="B180" t="s">
        <v>50</v>
      </c>
      <c r="C180" t="s">
        <v>151</v>
      </c>
      <c r="D180" t="s">
        <v>282</v>
      </c>
      <c r="E180" t="s">
        <v>592</v>
      </c>
      <c r="F180" t="s">
        <v>602</v>
      </c>
      <c r="G180" t="s">
        <v>677</v>
      </c>
      <c r="H180">
        <v>10474</v>
      </c>
      <c r="I180" t="s">
        <v>683</v>
      </c>
      <c r="O180">
        <v>0</v>
      </c>
      <c r="R180" t="s">
        <v>939</v>
      </c>
      <c r="T180" t="s">
        <v>1100</v>
      </c>
      <c r="U180">
        <v>0</v>
      </c>
      <c r="X180">
        <v>0</v>
      </c>
      <c r="Y180">
        <v>2</v>
      </c>
      <c r="Z180">
        <v>0</v>
      </c>
      <c r="AA180">
        <v>514.96</v>
      </c>
      <c r="AD180" t="s">
        <v>1122</v>
      </c>
      <c r="AE180">
        <v>87080</v>
      </c>
      <c r="AK180">
        <v>2</v>
      </c>
      <c r="AL180" t="s">
        <v>1201</v>
      </c>
      <c r="AM180" t="s">
        <v>54</v>
      </c>
      <c r="AO180" t="s">
        <v>1236</v>
      </c>
      <c r="AP180" t="s">
        <v>1238</v>
      </c>
      <c r="AR180" t="s">
        <v>683</v>
      </c>
      <c r="AT180" t="s">
        <v>1276</v>
      </c>
      <c r="AW180" t="s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31</v>
      </c>
    </row>
    <row r="2" spans="1:49">
      <c r="A2" s="1">
        <f>HYPERLINK("https://lsnyc.legalserver.org/matter/dynamic-profile/view/1903259","19-1903259")</f>
        <v>0</v>
      </c>
      <c r="B2" t="s">
        <v>56</v>
      </c>
      <c r="C2" t="s">
        <v>1286</v>
      </c>
      <c r="D2" t="s">
        <v>1359</v>
      </c>
      <c r="E2" t="s">
        <v>1430</v>
      </c>
      <c r="F2" t="s">
        <v>621</v>
      </c>
      <c r="G2" t="s">
        <v>677</v>
      </c>
      <c r="H2">
        <v>10462</v>
      </c>
      <c r="I2" t="s">
        <v>682</v>
      </c>
      <c r="J2" t="s">
        <v>1538</v>
      </c>
      <c r="K2" t="s">
        <v>732</v>
      </c>
      <c r="L2" t="s">
        <v>741</v>
      </c>
      <c r="M2" t="s">
        <v>744</v>
      </c>
      <c r="O2">
        <v>1700</v>
      </c>
      <c r="P2" t="s">
        <v>753</v>
      </c>
      <c r="R2" t="s">
        <v>1568</v>
      </c>
      <c r="S2" t="s">
        <v>1658</v>
      </c>
      <c r="T2" t="s">
        <v>1668</v>
      </c>
      <c r="U2">
        <v>4</v>
      </c>
      <c r="V2" t="s">
        <v>1105</v>
      </c>
      <c r="W2" t="s">
        <v>1116</v>
      </c>
      <c r="X2">
        <v>3</v>
      </c>
      <c r="Y2">
        <v>1</v>
      </c>
      <c r="Z2">
        <v>1</v>
      </c>
      <c r="AA2">
        <v>0</v>
      </c>
      <c r="AD2" t="s">
        <v>1123</v>
      </c>
      <c r="AE2">
        <v>0</v>
      </c>
      <c r="AJ2">
        <v>1.1</v>
      </c>
      <c r="AK2" t="s">
        <v>1193</v>
      </c>
      <c r="AL2" t="s">
        <v>1231</v>
      </c>
      <c r="AM2" t="s">
        <v>1233</v>
      </c>
      <c r="AN2" t="s">
        <v>1236</v>
      </c>
      <c r="AO2" t="s">
        <v>1193</v>
      </c>
      <c r="AQ2" t="s">
        <v>683</v>
      </c>
      <c r="AS2" t="s">
        <v>1747</v>
      </c>
      <c r="AT2" t="s">
        <v>684</v>
      </c>
      <c r="AV2" t="s">
        <v>1282</v>
      </c>
    </row>
    <row r="3" spans="1:49">
      <c r="A3" s="1">
        <f>HYPERLINK("https://lsnyc.legalserver.org/matter/dynamic-profile/view/1905412","19-1905412")</f>
        <v>0</v>
      </c>
      <c r="B3" t="s">
        <v>82</v>
      </c>
      <c r="C3" t="s">
        <v>1287</v>
      </c>
      <c r="D3" t="s">
        <v>1360</v>
      </c>
      <c r="E3" t="s">
        <v>1431</v>
      </c>
      <c r="F3" t="s">
        <v>1499</v>
      </c>
      <c r="G3" t="s">
        <v>677</v>
      </c>
      <c r="H3">
        <v>10457</v>
      </c>
      <c r="I3" t="s">
        <v>682</v>
      </c>
      <c r="K3" t="s">
        <v>734</v>
      </c>
      <c r="L3" t="s">
        <v>738</v>
      </c>
      <c r="O3">
        <v>885.9299999999999</v>
      </c>
      <c r="P3" t="s">
        <v>749</v>
      </c>
      <c r="Q3" t="s">
        <v>758</v>
      </c>
      <c r="R3" t="s">
        <v>1569</v>
      </c>
      <c r="U3">
        <v>73</v>
      </c>
      <c r="V3" t="s">
        <v>1102</v>
      </c>
      <c r="W3" t="s">
        <v>1116</v>
      </c>
      <c r="X3">
        <v>43</v>
      </c>
      <c r="Y3">
        <v>1</v>
      </c>
      <c r="Z3">
        <v>0</v>
      </c>
      <c r="AA3">
        <v>480.38</v>
      </c>
      <c r="AD3" t="s">
        <v>1122</v>
      </c>
      <c r="AE3">
        <v>60000</v>
      </c>
      <c r="AJ3">
        <v>1.25</v>
      </c>
      <c r="AK3" t="s">
        <v>1165</v>
      </c>
      <c r="AL3" t="s">
        <v>1225</v>
      </c>
      <c r="AM3" t="s">
        <v>1233</v>
      </c>
      <c r="AN3" t="s">
        <v>1235</v>
      </c>
      <c r="AO3" t="s">
        <v>1169</v>
      </c>
      <c r="AP3" t="s">
        <v>1165</v>
      </c>
      <c r="AQ3" t="s">
        <v>683</v>
      </c>
      <c r="AR3" t="s">
        <v>1257</v>
      </c>
      <c r="AS3" t="s">
        <v>1277</v>
      </c>
      <c r="AT3" t="s">
        <v>684</v>
      </c>
      <c r="AV3" t="s">
        <v>1282</v>
      </c>
    </row>
    <row r="4" spans="1:49">
      <c r="A4" s="1">
        <f>HYPERLINK("https://lsnyc.legalserver.org/matter/dynamic-profile/view/1905440","19-1905440")</f>
        <v>0</v>
      </c>
      <c r="B4" t="s">
        <v>82</v>
      </c>
      <c r="C4" t="s">
        <v>1288</v>
      </c>
      <c r="D4" t="s">
        <v>1361</v>
      </c>
      <c r="E4" t="s">
        <v>1432</v>
      </c>
      <c r="F4" t="s">
        <v>646</v>
      </c>
      <c r="G4" t="s">
        <v>677</v>
      </c>
      <c r="H4">
        <v>10456</v>
      </c>
      <c r="I4" t="s">
        <v>682</v>
      </c>
      <c r="L4" t="s">
        <v>738</v>
      </c>
      <c r="O4">
        <v>255</v>
      </c>
      <c r="P4" t="s">
        <v>749</v>
      </c>
      <c r="Q4" t="s">
        <v>758</v>
      </c>
      <c r="R4" t="s">
        <v>1570</v>
      </c>
      <c r="T4" t="s">
        <v>1669</v>
      </c>
      <c r="U4">
        <v>65</v>
      </c>
      <c r="V4" t="s">
        <v>1105</v>
      </c>
      <c r="W4" t="s">
        <v>1116</v>
      </c>
      <c r="X4">
        <v>6</v>
      </c>
      <c r="Y4">
        <v>1</v>
      </c>
      <c r="Z4">
        <v>0</v>
      </c>
      <c r="AA4">
        <v>76.86</v>
      </c>
      <c r="AE4">
        <v>9600</v>
      </c>
      <c r="AJ4">
        <v>1</v>
      </c>
      <c r="AK4" t="s">
        <v>1211</v>
      </c>
      <c r="AL4" t="s">
        <v>1225</v>
      </c>
      <c r="AM4" t="s">
        <v>1233</v>
      </c>
      <c r="AN4" t="s">
        <v>1235</v>
      </c>
      <c r="AO4" t="s">
        <v>1169</v>
      </c>
      <c r="AP4" t="s">
        <v>1170</v>
      </c>
      <c r="AQ4" t="s">
        <v>683</v>
      </c>
      <c r="AR4" t="s">
        <v>1257</v>
      </c>
      <c r="AS4" t="s">
        <v>1277</v>
      </c>
      <c r="AT4" t="s">
        <v>684</v>
      </c>
      <c r="AV4" t="s">
        <v>1282</v>
      </c>
    </row>
    <row r="5" spans="1:49">
      <c r="A5" s="1">
        <f>HYPERLINK("https://lsnyc.legalserver.org/matter/dynamic-profile/view/1905408","19-1905408")</f>
        <v>0</v>
      </c>
      <c r="B5" t="s">
        <v>82</v>
      </c>
      <c r="C5" t="s">
        <v>1289</v>
      </c>
      <c r="D5" t="s">
        <v>415</v>
      </c>
      <c r="E5" t="s">
        <v>1433</v>
      </c>
      <c r="F5" t="s">
        <v>644</v>
      </c>
      <c r="G5" t="s">
        <v>677</v>
      </c>
      <c r="H5">
        <v>10468</v>
      </c>
      <c r="I5" t="s">
        <v>682</v>
      </c>
      <c r="L5" t="s">
        <v>738</v>
      </c>
      <c r="O5">
        <v>795.78</v>
      </c>
      <c r="P5" t="s">
        <v>749</v>
      </c>
      <c r="Q5" t="s">
        <v>758</v>
      </c>
      <c r="R5" t="s">
        <v>1571</v>
      </c>
      <c r="T5" t="s">
        <v>1670</v>
      </c>
      <c r="U5">
        <v>83</v>
      </c>
      <c r="V5" t="s">
        <v>1102</v>
      </c>
      <c r="W5" t="s">
        <v>1116</v>
      </c>
      <c r="X5">
        <v>33</v>
      </c>
      <c r="Y5">
        <v>2</v>
      </c>
      <c r="Z5">
        <v>0</v>
      </c>
      <c r="AA5">
        <v>236.55</v>
      </c>
      <c r="AD5" t="s">
        <v>1122</v>
      </c>
      <c r="AE5">
        <v>40000</v>
      </c>
      <c r="AJ5">
        <v>1</v>
      </c>
      <c r="AK5" t="s">
        <v>1211</v>
      </c>
      <c r="AL5" t="s">
        <v>1225</v>
      </c>
      <c r="AM5" t="s">
        <v>1233</v>
      </c>
      <c r="AN5" t="s">
        <v>1235</v>
      </c>
      <c r="AO5" t="s">
        <v>1169</v>
      </c>
      <c r="AP5" t="s">
        <v>1170</v>
      </c>
      <c r="AQ5" t="s">
        <v>683</v>
      </c>
      <c r="AR5" t="s">
        <v>1257</v>
      </c>
      <c r="AS5" t="s">
        <v>1277</v>
      </c>
      <c r="AT5" t="s">
        <v>684</v>
      </c>
      <c r="AV5" t="s">
        <v>1282</v>
      </c>
    </row>
    <row r="6" spans="1:49">
      <c r="A6" s="1">
        <f>HYPERLINK("https://lsnyc.legalserver.org/matter/dynamic-profile/view/1905416","19-1905416")</f>
        <v>0</v>
      </c>
      <c r="B6" t="s">
        <v>82</v>
      </c>
      <c r="C6" t="s">
        <v>176</v>
      </c>
      <c r="D6" t="s">
        <v>1362</v>
      </c>
      <c r="E6" t="s">
        <v>1434</v>
      </c>
      <c r="F6" t="s">
        <v>1500</v>
      </c>
      <c r="G6" t="s">
        <v>677</v>
      </c>
      <c r="H6">
        <v>10458</v>
      </c>
      <c r="I6" t="s">
        <v>682</v>
      </c>
      <c r="L6" t="s">
        <v>738</v>
      </c>
      <c r="O6">
        <v>2000</v>
      </c>
      <c r="P6" t="s">
        <v>749</v>
      </c>
      <c r="Q6" t="s">
        <v>758</v>
      </c>
      <c r="R6" t="s">
        <v>1572</v>
      </c>
      <c r="T6" t="s">
        <v>1671</v>
      </c>
      <c r="U6">
        <v>36</v>
      </c>
      <c r="V6" t="s">
        <v>1102</v>
      </c>
      <c r="W6" t="s">
        <v>1116</v>
      </c>
      <c r="X6">
        <v>1</v>
      </c>
      <c r="Y6">
        <v>1</v>
      </c>
      <c r="Z6">
        <v>0</v>
      </c>
      <c r="AA6">
        <v>112.09</v>
      </c>
      <c r="AE6">
        <v>14000</v>
      </c>
      <c r="AJ6">
        <v>1</v>
      </c>
      <c r="AK6" t="s">
        <v>1175</v>
      </c>
      <c r="AL6" t="s">
        <v>1225</v>
      </c>
      <c r="AM6" t="s">
        <v>1233</v>
      </c>
      <c r="AN6" t="s">
        <v>1235</v>
      </c>
      <c r="AO6" t="s">
        <v>1169</v>
      </c>
      <c r="AP6" t="s">
        <v>1165</v>
      </c>
      <c r="AQ6" t="s">
        <v>683</v>
      </c>
      <c r="AR6" t="s">
        <v>1257</v>
      </c>
      <c r="AS6" t="s">
        <v>1277</v>
      </c>
      <c r="AT6" t="s">
        <v>684</v>
      </c>
      <c r="AV6" t="s">
        <v>1282</v>
      </c>
    </row>
    <row r="7" spans="1:49">
      <c r="A7" s="1">
        <f>HYPERLINK("https://lsnyc.legalserver.org/matter/dynamic-profile/view/1901676","19-1901676")</f>
        <v>0</v>
      </c>
      <c r="B7" t="s">
        <v>63</v>
      </c>
      <c r="C7" t="s">
        <v>1290</v>
      </c>
      <c r="D7" t="s">
        <v>1363</v>
      </c>
      <c r="E7" t="s">
        <v>534</v>
      </c>
      <c r="F7">
        <v>402</v>
      </c>
      <c r="G7" t="s">
        <v>677</v>
      </c>
      <c r="H7">
        <v>10453</v>
      </c>
      <c r="I7" t="s">
        <v>682</v>
      </c>
      <c r="L7" t="s">
        <v>738</v>
      </c>
      <c r="O7">
        <v>1048</v>
      </c>
      <c r="P7" t="s">
        <v>749</v>
      </c>
      <c r="Q7" t="s">
        <v>758</v>
      </c>
      <c r="R7" t="s">
        <v>1573</v>
      </c>
      <c r="U7">
        <v>146</v>
      </c>
      <c r="V7" t="s">
        <v>1105</v>
      </c>
      <c r="W7" t="s">
        <v>1116</v>
      </c>
      <c r="X7">
        <v>4</v>
      </c>
      <c r="Y7">
        <v>2</v>
      </c>
      <c r="Z7">
        <v>1</v>
      </c>
      <c r="AA7">
        <v>109.7</v>
      </c>
      <c r="AD7" t="s">
        <v>1123</v>
      </c>
      <c r="AE7">
        <v>23400</v>
      </c>
      <c r="AJ7">
        <v>1</v>
      </c>
      <c r="AK7" t="s">
        <v>1185</v>
      </c>
      <c r="AL7" t="s">
        <v>1229</v>
      </c>
      <c r="AM7" t="s">
        <v>1233</v>
      </c>
      <c r="AN7" t="s">
        <v>1235</v>
      </c>
      <c r="AO7" t="s">
        <v>1185</v>
      </c>
      <c r="AP7" t="s">
        <v>1177</v>
      </c>
      <c r="AQ7" t="s">
        <v>683</v>
      </c>
      <c r="AR7" t="s">
        <v>1257</v>
      </c>
      <c r="AS7" t="s">
        <v>1277</v>
      </c>
      <c r="AT7" t="s">
        <v>684</v>
      </c>
      <c r="AV7" t="s">
        <v>1282</v>
      </c>
    </row>
    <row r="8" spans="1:49">
      <c r="A8" s="1">
        <f>HYPERLINK("https://lsnyc.legalserver.org/matter/dynamic-profile/view/1905411","19-1905411")</f>
        <v>0</v>
      </c>
      <c r="B8" t="s">
        <v>82</v>
      </c>
      <c r="C8" t="s">
        <v>120</v>
      </c>
      <c r="D8" t="s">
        <v>1364</v>
      </c>
      <c r="E8" t="s">
        <v>1435</v>
      </c>
      <c r="F8" t="s">
        <v>599</v>
      </c>
      <c r="G8" t="s">
        <v>677</v>
      </c>
      <c r="H8">
        <v>10457</v>
      </c>
      <c r="I8" t="s">
        <v>682</v>
      </c>
      <c r="L8" t="s">
        <v>738</v>
      </c>
      <c r="O8">
        <v>0</v>
      </c>
      <c r="P8" t="s">
        <v>749</v>
      </c>
      <c r="Q8" t="s">
        <v>758</v>
      </c>
      <c r="R8" t="s">
        <v>1574</v>
      </c>
      <c r="U8">
        <v>10</v>
      </c>
      <c r="V8" t="s">
        <v>1105</v>
      </c>
      <c r="W8" t="s">
        <v>1116</v>
      </c>
      <c r="X8">
        <v>28</v>
      </c>
      <c r="Y8">
        <v>2</v>
      </c>
      <c r="Z8">
        <v>0</v>
      </c>
      <c r="AA8">
        <v>212.89</v>
      </c>
      <c r="AD8" t="s">
        <v>1123</v>
      </c>
      <c r="AE8">
        <v>36000</v>
      </c>
      <c r="AJ8">
        <v>1.5</v>
      </c>
      <c r="AK8" t="s">
        <v>1211</v>
      </c>
      <c r="AL8" t="s">
        <v>1225</v>
      </c>
      <c r="AM8" t="s">
        <v>1233</v>
      </c>
      <c r="AN8" t="s">
        <v>1235</v>
      </c>
      <c r="AO8" t="s">
        <v>1169</v>
      </c>
      <c r="AP8" t="s">
        <v>1170</v>
      </c>
      <c r="AQ8" t="s">
        <v>683</v>
      </c>
      <c r="AR8" t="s">
        <v>1257</v>
      </c>
      <c r="AS8" t="s">
        <v>1277</v>
      </c>
      <c r="AT8" t="s">
        <v>684</v>
      </c>
      <c r="AV8" t="s">
        <v>1282</v>
      </c>
    </row>
    <row r="9" spans="1:49">
      <c r="A9" s="1">
        <f>HYPERLINK("https://lsnyc.legalserver.org/matter/dynamic-profile/view/1906045","19-1906045")</f>
        <v>0</v>
      </c>
      <c r="B9" t="s">
        <v>57</v>
      </c>
      <c r="C9" t="s">
        <v>1291</v>
      </c>
      <c r="D9" t="s">
        <v>1365</v>
      </c>
      <c r="E9" t="s">
        <v>1436</v>
      </c>
      <c r="F9" t="s">
        <v>1501</v>
      </c>
      <c r="G9" t="s">
        <v>677</v>
      </c>
      <c r="H9">
        <v>10467</v>
      </c>
      <c r="I9" t="s">
        <v>682</v>
      </c>
      <c r="J9" t="s">
        <v>1539</v>
      </c>
      <c r="K9" t="s">
        <v>734</v>
      </c>
      <c r="L9" t="s">
        <v>739</v>
      </c>
      <c r="O9">
        <v>811</v>
      </c>
      <c r="P9" t="s">
        <v>752</v>
      </c>
      <c r="Q9" t="s">
        <v>758</v>
      </c>
      <c r="R9" t="s">
        <v>1575</v>
      </c>
      <c r="T9" t="s">
        <v>1672</v>
      </c>
      <c r="U9">
        <v>55</v>
      </c>
      <c r="V9" t="s">
        <v>1102</v>
      </c>
      <c r="W9" t="s">
        <v>1117</v>
      </c>
      <c r="X9">
        <v>42</v>
      </c>
      <c r="Y9">
        <v>1</v>
      </c>
      <c r="Z9">
        <v>0</v>
      </c>
      <c r="AA9">
        <v>73.02</v>
      </c>
      <c r="AD9" t="s">
        <v>1123</v>
      </c>
      <c r="AE9">
        <v>9120</v>
      </c>
      <c r="AJ9">
        <v>0.6</v>
      </c>
      <c r="AK9" t="s">
        <v>1206</v>
      </c>
      <c r="AL9" t="s">
        <v>1231</v>
      </c>
      <c r="AM9" t="s">
        <v>1233</v>
      </c>
      <c r="AN9" t="s">
        <v>1235</v>
      </c>
      <c r="AO9" t="s">
        <v>1206</v>
      </c>
      <c r="AP9" t="s">
        <v>1160</v>
      </c>
      <c r="AQ9" t="s">
        <v>683</v>
      </c>
      <c r="AR9" t="s">
        <v>1258</v>
      </c>
      <c r="AS9" t="s">
        <v>1277</v>
      </c>
      <c r="AT9" t="s">
        <v>684</v>
      </c>
      <c r="AV9" t="s">
        <v>1281</v>
      </c>
    </row>
    <row r="10" spans="1:49">
      <c r="A10" s="1">
        <f>HYPERLINK("https://lsnyc.legalserver.org/matter/dynamic-profile/view/1905415","19-1905415")</f>
        <v>0</v>
      </c>
      <c r="B10" t="s">
        <v>82</v>
      </c>
      <c r="C10" t="s">
        <v>1292</v>
      </c>
      <c r="D10" t="s">
        <v>1366</v>
      </c>
      <c r="E10" t="s">
        <v>1437</v>
      </c>
      <c r="F10" t="s">
        <v>666</v>
      </c>
      <c r="G10" t="s">
        <v>677</v>
      </c>
      <c r="H10">
        <v>10458</v>
      </c>
      <c r="I10" t="s">
        <v>682</v>
      </c>
      <c r="K10" t="s">
        <v>736</v>
      </c>
      <c r="L10" t="s">
        <v>739</v>
      </c>
      <c r="O10">
        <v>814.0599999999999</v>
      </c>
      <c r="P10" t="s">
        <v>749</v>
      </c>
      <c r="Q10" t="s">
        <v>759</v>
      </c>
      <c r="R10" t="s">
        <v>1576</v>
      </c>
      <c r="T10" t="s">
        <v>1673</v>
      </c>
      <c r="U10">
        <v>54</v>
      </c>
      <c r="V10" t="s">
        <v>1102</v>
      </c>
      <c r="W10" t="s">
        <v>1116</v>
      </c>
      <c r="X10">
        <v>40</v>
      </c>
      <c r="Y10">
        <v>1</v>
      </c>
      <c r="Z10">
        <v>0</v>
      </c>
      <c r="AA10">
        <v>360.29</v>
      </c>
      <c r="AD10" t="s">
        <v>1123</v>
      </c>
      <c r="AE10">
        <v>45000</v>
      </c>
      <c r="AJ10">
        <v>2.5</v>
      </c>
      <c r="AK10" t="s">
        <v>1165</v>
      </c>
      <c r="AL10" t="s">
        <v>1225</v>
      </c>
      <c r="AM10" t="s">
        <v>1233</v>
      </c>
      <c r="AN10" t="s">
        <v>1235</v>
      </c>
      <c r="AO10" t="s">
        <v>1169</v>
      </c>
      <c r="AP10" t="s">
        <v>1170</v>
      </c>
      <c r="AQ10" t="s">
        <v>683</v>
      </c>
      <c r="AR10" t="s">
        <v>1258</v>
      </c>
      <c r="AS10" t="s">
        <v>1277</v>
      </c>
      <c r="AT10" t="s">
        <v>684</v>
      </c>
      <c r="AV10" t="s">
        <v>1282</v>
      </c>
    </row>
    <row r="11" spans="1:49">
      <c r="A11" s="1">
        <f>HYPERLINK("https://lsnyc.legalserver.org/matter/dynamic-profile/view/1905259","19-1905259")</f>
        <v>0</v>
      </c>
      <c r="B11" t="s">
        <v>82</v>
      </c>
      <c r="C11" t="s">
        <v>1293</v>
      </c>
      <c r="D11" t="s">
        <v>1367</v>
      </c>
      <c r="E11" t="s">
        <v>1438</v>
      </c>
      <c r="F11" t="s">
        <v>659</v>
      </c>
      <c r="G11" t="s">
        <v>677</v>
      </c>
      <c r="H11">
        <v>10452</v>
      </c>
      <c r="I11" t="s">
        <v>683</v>
      </c>
      <c r="K11" t="s">
        <v>1557</v>
      </c>
      <c r="L11" t="s">
        <v>739</v>
      </c>
      <c r="M11" t="s">
        <v>744</v>
      </c>
      <c r="O11">
        <v>1085</v>
      </c>
      <c r="P11" t="s">
        <v>752</v>
      </c>
      <c r="Q11" t="s">
        <v>762</v>
      </c>
      <c r="R11" t="s">
        <v>1577</v>
      </c>
      <c r="T11" t="s">
        <v>1674</v>
      </c>
      <c r="U11">
        <v>39</v>
      </c>
      <c r="V11" t="s">
        <v>1102</v>
      </c>
      <c r="W11" t="s">
        <v>1116</v>
      </c>
      <c r="X11">
        <v>20</v>
      </c>
      <c r="Y11">
        <v>1</v>
      </c>
      <c r="Z11">
        <v>0</v>
      </c>
      <c r="AA11">
        <v>195.11</v>
      </c>
      <c r="AD11" t="s">
        <v>1122</v>
      </c>
      <c r="AE11">
        <v>24369</v>
      </c>
      <c r="AJ11">
        <v>1.25</v>
      </c>
      <c r="AK11" t="s">
        <v>1166</v>
      </c>
      <c r="AL11" t="s">
        <v>1284</v>
      </c>
      <c r="AN11" t="s">
        <v>1235</v>
      </c>
      <c r="AO11" t="s">
        <v>1166</v>
      </c>
      <c r="AP11" t="s">
        <v>1206</v>
      </c>
      <c r="AQ11" t="s">
        <v>683</v>
      </c>
      <c r="AR11" t="s">
        <v>1258</v>
      </c>
      <c r="AS11" t="s">
        <v>1277</v>
      </c>
      <c r="AT11" t="s">
        <v>684</v>
      </c>
      <c r="AV11" t="s">
        <v>1282</v>
      </c>
    </row>
    <row r="12" spans="1:49">
      <c r="A12" s="1">
        <f>HYPERLINK("https://lsnyc.legalserver.org/matter/dynamic-profile/view/1904528","19-1904528")</f>
        <v>0</v>
      </c>
      <c r="B12" t="s">
        <v>57</v>
      </c>
      <c r="C12" t="s">
        <v>1294</v>
      </c>
      <c r="D12" t="s">
        <v>1365</v>
      </c>
      <c r="E12" t="s">
        <v>1436</v>
      </c>
      <c r="F12" t="s">
        <v>1501</v>
      </c>
      <c r="G12" t="s">
        <v>677</v>
      </c>
      <c r="H12">
        <v>10467</v>
      </c>
      <c r="I12" t="s">
        <v>682</v>
      </c>
      <c r="J12" t="s">
        <v>1539</v>
      </c>
      <c r="K12" t="s">
        <v>1557</v>
      </c>
      <c r="L12" t="s">
        <v>739</v>
      </c>
      <c r="O12">
        <v>811</v>
      </c>
      <c r="P12" t="s">
        <v>752</v>
      </c>
      <c r="Q12" t="s">
        <v>762</v>
      </c>
      <c r="R12" t="s">
        <v>1575</v>
      </c>
      <c r="T12" t="s">
        <v>1672</v>
      </c>
      <c r="U12">
        <v>40</v>
      </c>
      <c r="V12" t="s">
        <v>1102</v>
      </c>
      <c r="W12" t="s">
        <v>1117</v>
      </c>
      <c r="X12">
        <v>42</v>
      </c>
      <c r="Y12">
        <v>1</v>
      </c>
      <c r="Z12">
        <v>0</v>
      </c>
      <c r="AA12">
        <v>73.02</v>
      </c>
      <c r="AD12" t="s">
        <v>1123</v>
      </c>
      <c r="AE12">
        <v>9120</v>
      </c>
      <c r="AJ12">
        <v>1.5</v>
      </c>
      <c r="AK12" t="s">
        <v>1173</v>
      </c>
      <c r="AL12" t="s">
        <v>1231</v>
      </c>
      <c r="AM12" t="s">
        <v>1233</v>
      </c>
      <c r="AN12" t="s">
        <v>1235</v>
      </c>
      <c r="AO12" t="s">
        <v>1176</v>
      </c>
      <c r="AP12" t="s">
        <v>1173</v>
      </c>
      <c r="AQ12" t="s">
        <v>683</v>
      </c>
      <c r="AR12" t="s">
        <v>1258</v>
      </c>
      <c r="AS12" t="s">
        <v>1277</v>
      </c>
      <c r="AT12" t="s">
        <v>684</v>
      </c>
      <c r="AV12" t="s">
        <v>1281</v>
      </c>
    </row>
    <row r="13" spans="1:49">
      <c r="A13" s="1">
        <f>HYPERLINK("https://lsnyc.legalserver.org/matter/dynamic-profile/view/1905438","19-1905438")</f>
        <v>0</v>
      </c>
      <c r="B13" t="s">
        <v>82</v>
      </c>
      <c r="C13" t="s">
        <v>1295</v>
      </c>
      <c r="D13" t="s">
        <v>1368</v>
      </c>
      <c r="E13" t="s">
        <v>1439</v>
      </c>
      <c r="F13" t="s">
        <v>655</v>
      </c>
      <c r="G13" t="s">
        <v>677</v>
      </c>
      <c r="H13">
        <v>10452</v>
      </c>
      <c r="I13" t="s">
        <v>682</v>
      </c>
      <c r="L13" t="s">
        <v>739</v>
      </c>
      <c r="O13">
        <v>718.41</v>
      </c>
      <c r="P13" t="s">
        <v>749</v>
      </c>
      <c r="Q13" t="s">
        <v>1565</v>
      </c>
      <c r="R13" t="s">
        <v>1578</v>
      </c>
      <c r="T13" t="s">
        <v>1675</v>
      </c>
      <c r="U13">
        <v>61</v>
      </c>
      <c r="V13" t="s">
        <v>1102</v>
      </c>
      <c r="W13" t="s">
        <v>1117</v>
      </c>
      <c r="X13">
        <v>30</v>
      </c>
      <c r="Y13">
        <v>1</v>
      </c>
      <c r="Z13">
        <v>0</v>
      </c>
      <c r="AA13">
        <v>131.43</v>
      </c>
      <c r="AD13" t="s">
        <v>1122</v>
      </c>
      <c r="AE13">
        <v>16416</v>
      </c>
      <c r="AJ13">
        <v>1</v>
      </c>
      <c r="AK13" t="s">
        <v>1211</v>
      </c>
      <c r="AL13" t="s">
        <v>1225</v>
      </c>
      <c r="AM13" t="s">
        <v>1233</v>
      </c>
      <c r="AN13" t="s">
        <v>1235</v>
      </c>
      <c r="AO13" t="s">
        <v>1169</v>
      </c>
      <c r="AP13" t="s">
        <v>1170</v>
      </c>
      <c r="AQ13" t="s">
        <v>683</v>
      </c>
      <c r="AR13" t="s">
        <v>1258</v>
      </c>
      <c r="AS13" t="s">
        <v>1277</v>
      </c>
      <c r="AT13" t="s">
        <v>684</v>
      </c>
      <c r="AV13" t="s">
        <v>1282</v>
      </c>
    </row>
    <row r="14" spans="1:49">
      <c r="A14" s="1">
        <f>HYPERLINK("https://lsnyc.legalserver.org/matter/dynamic-profile/view/1904129","19-1904129")</f>
        <v>0</v>
      </c>
      <c r="B14" t="s">
        <v>57</v>
      </c>
      <c r="C14" t="s">
        <v>1296</v>
      </c>
      <c r="D14" t="s">
        <v>1369</v>
      </c>
      <c r="E14" t="s">
        <v>1440</v>
      </c>
      <c r="F14">
        <v>614</v>
      </c>
      <c r="G14" t="s">
        <v>677</v>
      </c>
      <c r="H14">
        <v>10457</v>
      </c>
      <c r="I14" t="s">
        <v>682</v>
      </c>
      <c r="J14" t="s">
        <v>1540</v>
      </c>
      <c r="K14" t="s">
        <v>732</v>
      </c>
      <c r="L14" t="s">
        <v>740</v>
      </c>
      <c r="M14" t="s">
        <v>744</v>
      </c>
      <c r="O14">
        <v>1268</v>
      </c>
      <c r="P14" t="s">
        <v>752</v>
      </c>
      <c r="Q14" t="s">
        <v>1566</v>
      </c>
      <c r="R14" t="s">
        <v>1579</v>
      </c>
      <c r="S14" t="s">
        <v>1659</v>
      </c>
      <c r="T14" t="s">
        <v>1676</v>
      </c>
      <c r="U14">
        <v>0</v>
      </c>
      <c r="V14" t="s">
        <v>1101</v>
      </c>
      <c r="W14" t="s">
        <v>1120</v>
      </c>
      <c r="X14">
        <v>1</v>
      </c>
      <c r="Y14">
        <v>1</v>
      </c>
      <c r="Z14">
        <v>1</v>
      </c>
      <c r="AA14">
        <v>52.66</v>
      </c>
      <c r="AD14" t="s">
        <v>1122</v>
      </c>
      <c r="AE14">
        <v>8904</v>
      </c>
      <c r="AJ14">
        <v>0.5</v>
      </c>
      <c r="AK14" t="s">
        <v>1157</v>
      </c>
      <c r="AL14" t="s">
        <v>1231</v>
      </c>
      <c r="AM14" t="s">
        <v>1233</v>
      </c>
      <c r="AN14" t="s">
        <v>1235</v>
      </c>
      <c r="AO14" t="s">
        <v>1157</v>
      </c>
      <c r="AP14" t="s">
        <v>1157</v>
      </c>
      <c r="AQ14" t="s">
        <v>683</v>
      </c>
      <c r="AR14" t="s">
        <v>1258</v>
      </c>
      <c r="AS14" t="s">
        <v>1277</v>
      </c>
      <c r="AT14" t="s">
        <v>684</v>
      </c>
      <c r="AV14" t="s">
        <v>1282</v>
      </c>
    </row>
    <row r="15" spans="1:49">
      <c r="A15" s="1">
        <f>HYPERLINK("https://lsnyc.legalserver.org/matter/dynamic-profile/view/1904525","19-1904525")</f>
        <v>0</v>
      </c>
      <c r="B15" t="s">
        <v>57</v>
      </c>
      <c r="C15" t="s">
        <v>1294</v>
      </c>
      <c r="D15" t="s">
        <v>1365</v>
      </c>
      <c r="E15" t="s">
        <v>1436</v>
      </c>
      <c r="F15" t="s">
        <v>1501</v>
      </c>
      <c r="G15" t="s">
        <v>677</v>
      </c>
      <c r="H15">
        <v>10467</v>
      </c>
      <c r="I15" t="s">
        <v>682</v>
      </c>
      <c r="J15" t="s">
        <v>1539</v>
      </c>
      <c r="K15" t="s">
        <v>730</v>
      </c>
      <c r="L15" t="s">
        <v>740</v>
      </c>
      <c r="M15" t="s">
        <v>744</v>
      </c>
      <c r="O15">
        <v>811</v>
      </c>
      <c r="P15" t="s">
        <v>752</v>
      </c>
      <c r="Q15" t="s">
        <v>1567</v>
      </c>
      <c r="R15" t="s">
        <v>1575</v>
      </c>
      <c r="T15" t="s">
        <v>1672</v>
      </c>
      <c r="U15">
        <v>55</v>
      </c>
      <c r="V15" t="s">
        <v>1102</v>
      </c>
      <c r="W15" t="s">
        <v>1117</v>
      </c>
      <c r="X15">
        <v>42</v>
      </c>
      <c r="Y15">
        <v>1</v>
      </c>
      <c r="Z15">
        <v>0</v>
      </c>
      <c r="AA15">
        <v>73.02</v>
      </c>
      <c r="AD15" t="s">
        <v>1123</v>
      </c>
      <c r="AE15">
        <v>9120</v>
      </c>
      <c r="AG15" t="s">
        <v>1742</v>
      </c>
      <c r="AH15" t="s">
        <v>1155</v>
      </c>
      <c r="AI15" t="s">
        <v>1743</v>
      </c>
      <c r="AJ15">
        <v>3.5</v>
      </c>
      <c r="AK15" t="s">
        <v>1168</v>
      </c>
      <c r="AL15" t="s">
        <v>1231</v>
      </c>
      <c r="AM15" t="s">
        <v>1233</v>
      </c>
      <c r="AN15" t="s">
        <v>1235</v>
      </c>
      <c r="AO15" t="s">
        <v>1176</v>
      </c>
      <c r="AP15" t="s">
        <v>1165</v>
      </c>
      <c r="AQ15" t="s">
        <v>683</v>
      </c>
      <c r="AR15" t="s">
        <v>1260</v>
      </c>
      <c r="AS15" t="s">
        <v>1277</v>
      </c>
      <c r="AT15" t="s">
        <v>684</v>
      </c>
      <c r="AV15" t="s">
        <v>1282</v>
      </c>
    </row>
    <row r="16" spans="1:49">
      <c r="A16" s="1">
        <f>HYPERLINK("https://lsnyc.legalserver.org/matter/dynamic-profile/view/1904449","19-1904449")</f>
        <v>0</v>
      </c>
      <c r="B16" t="s">
        <v>80</v>
      </c>
      <c r="C16" t="s">
        <v>1297</v>
      </c>
      <c r="D16" t="s">
        <v>1370</v>
      </c>
      <c r="E16" t="s">
        <v>1441</v>
      </c>
      <c r="F16" t="s">
        <v>638</v>
      </c>
      <c r="G16" t="s">
        <v>677</v>
      </c>
      <c r="H16">
        <v>10452</v>
      </c>
      <c r="I16" t="s">
        <v>682</v>
      </c>
      <c r="K16" t="s">
        <v>731</v>
      </c>
      <c r="L16" t="s">
        <v>738</v>
      </c>
      <c r="O16">
        <v>702.21</v>
      </c>
      <c r="R16" t="s">
        <v>1580</v>
      </c>
      <c r="T16" t="s">
        <v>1677</v>
      </c>
      <c r="U16">
        <v>42</v>
      </c>
      <c r="V16" t="s">
        <v>1104</v>
      </c>
      <c r="W16" t="s">
        <v>1116</v>
      </c>
      <c r="X16">
        <v>4</v>
      </c>
      <c r="Y16">
        <v>1</v>
      </c>
      <c r="Z16">
        <v>2</v>
      </c>
      <c r="AA16">
        <v>49.4</v>
      </c>
      <c r="AD16" t="s">
        <v>1123</v>
      </c>
      <c r="AE16">
        <v>10536</v>
      </c>
      <c r="AJ16">
        <v>1.5</v>
      </c>
      <c r="AK16" t="s">
        <v>1170</v>
      </c>
      <c r="AL16" t="s">
        <v>1219</v>
      </c>
      <c r="AM16" t="s">
        <v>1233</v>
      </c>
      <c r="AN16" t="s">
        <v>1236</v>
      </c>
      <c r="AO16" t="s">
        <v>1158</v>
      </c>
      <c r="AQ16" t="s">
        <v>683</v>
      </c>
      <c r="AS16" t="s">
        <v>1277</v>
      </c>
      <c r="AT16" t="s">
        <v>684</v>
      </c>
      <c r="AV16" t="s">
        <v>1282</v>
      </c>
    </row>
    <row r="17" spans="1:48">
      <c r="A17" s="1">
        <f>HYPERLINK("https://lsnyc.legalserver.org/matter/dynamic-profile/view/1904815","19-1904815")</f>
        <v>0</v>
      </c>
      <c r="B17" t="s">
        <v>78</v>
      </c>
      <c r="C17" t="s">
        <v>1298</v>
      </c>
      <c r="D17" t="s">
        <v>1371</v>
      </c>
      <c r="E17" t="s">
        <v>1442</v>
      </c>
      <c r="F17">
        <v>225</v>
      </c>
      <c r="G17" t="s">
        <v>677</v>
      </c>
      <c r="H17">
        <v>10457</v>
      </c>
      <c r="I17" t="s">
        <v>683</v>
      </c>
      <c r="K17" t="s">
        <v>731</v>
      </c>
      <c r="L17" t="s">
        <v>738</v>
      </c>
      <c r="O17">
        <v>222</v>
      </c>
      <c r="R17" t="s">
        <v>1581</v>
      </c>
      <c r="T17" t="s">
        <v>1678</v>
      </c>
      <c r="U17">
        <v>75</v>
      </c>
      <c r="V17" t="s">
        <v>1106</v>
      </c>
      <c r="W17" t="s">
        <v>1115</v>
      </c>
      <c r="X17">
        <v>40</v>
      </c>
      <c r="Y17">
        <v>2</v>
      </c>
      <c r="Z17">
        <v>0</v>
      </c>
      <c r="AA17">
        <v>51.8</v>
      </c>
      <c r="AD17" t="s">
        <v>1123</v>
      </c>
      <c r="AE17">
        <v>8760</v>
      </c>
      <c r="AJ17">
        <v>1.75</v>
      </c>
      <c r="AK17" t="s">
        <v>1179</v>
      </c>
      <c r="AL17" t="s">
        <v>1219</v>
      </c>
      <c r="AN17" t="s">
        <v>1236</v>
      </c>
      <c r="AO17" t="s">
        <v>1161</v>
      </c>
      <c r="AQ17" t="s">
        <v>683</v>
      </c>
      <c r="AS17" t="s">
        <v>1277</v>
      </c>
      <c r="AT17" t="s">
        <v>684</v>
      </c>
      <c r="AV17" t="s">
        <v>1282</v>
      </c>
    </row>
    <row r="18" spans="1:48">
      <c r="A18" s="1">
        <f>HYPERLINK("https://lsnyc.legalserver.org/matter/dynamic-profile/view/1905963","19-1905963")</f>
        <v>0</v>
      </c>
      <c r="B18" t="s">
        <v>76</v>
      </c>
      <c r="C18" t="s">
        <v>1299</v>
      </c>
      <c r="D18" t="s">
        <v>1372</v>
      </c>
      <c r="E18" t="s">
        <v>583</v>
      </c>
      <c r="F18" t="s">
        <v>1502</v>
      </c>
      <c r="G18" t="s">
        <v>677</v>
      </c>
      <c r="H18">
        <v>10460</v>
      </c>
      <c r="I18" t="s">
        <v>683</v>
      </c>
      <c r="K18" t="s">
        <v>731</v>
      </c>
      <c r="L18" t="s">
        <v>738</v>
      </c>
      <c r="O18">
        <v>1300</v>
      </c>
      <c r="P18" t="s">
        <v>752</v>
      </c>
      <c r="R18" t="s">
        <v>1582</v>
      </c>
      <c r="T18" t="s">
        <v>1679</v>
      </c>
      <c r="U18">
        <v>136</v>
      </c>
      <c r="V18" t="s">
        <v>1107</v>
      </c>
      <c r="W18" t="s">
        <v>1120</v>
      </c>
      <c r="X18">
        <v>1</v>
      </c>
      <c r="Y18">
        <v>1</v>
      </c>
      <c r="Z18">
        <v>0</v>
      </c>
      <c r="AA18">
        <v>83.3</v>
      </c>
      <c r="AD18" t="s">
        <v>1122</v>
      </c>
      <c r="AE18">
        <v>10404</v>
      </c>
      <c r="AJ18">
        <v>0.66</v>
      </c>
      <c r="AK18" t="s">
        <v>1211</v>
      </c>
      <c r="AL18" t="s">
        <v>1224</v>
      </c>
      <c r="AN18" t="s">
        <v>1236</v>
      </c>
      <c r="AO18" t="s">
        <v>1211</v>
      </c>
      <c r="AQ18" t="s">
        <v>683</v>
      </c>
      <c r="AS18" t="s">
        <v>1277</v>
      </c>
      <c r="AT18" t="s">
        <v>684</v>
      </c>
      <c r="AV18" t="s">
        <v>1282</v>
      </c>
    </row>
    <row r="19" spans="1:48">
      <c r="A19" s="1">
        <f>HYPERLINK("https://lsnyc.legalserver.org/matter/dynamic-profile/view/1905766","19-1905766")</f>
        <v>0</v>
      </c>
      <c r="B19" t="s">
        <v>82</v>
      </c>
      <c r="C19" t="s">
        <v>1300</v>
      </c>
      <c r="D19" t="s">
        <v>264</v>
      </c>
      <c r="E19" t="s">
        <v>487</v>
      </c>
      <c r="F19" t="s">
        <v>1503</v>
      </c>
      <c r="G19" t="s">
        <v>677</v>
      </c>
      <c r="H19">
        <v>10457</v>
      </c>
      <c r="I19" t="s">
        <v>683</v>
      </c>
      <c r="K19" t="s">
        <v>731</v>
      </c>
      <c r="L19" t="s">
        <v>738</v>
      </c>
      <c r="O19">
        <v>905</v>
      </c>
      <c r="P19" t="s">
        <v>752</v>
      </c>
      <c r="R19" t="s">
        <v>1583</v>
      </c>
      <c r="T19" t="s">
        <v>1680</v>
      </c>
      <c r="U19">
        <v>150</v>
      </c>
      <c r="V19" t="s">
        <v>1105</v>
      </c>
      <c r="W19" t="s">
        <v>1115</v>
      </c>
      <c r="X19">
        <v>10</v>
      </c>
      <c r="Y19">
        <v>2</v>
      </c>
      <c r="Z19">
        <v>1</v>
      </c>
      <c r="AA19">
        <v>169.98</v>
      </c>
      <c r="AD19" t="s">
        <v>1122</v>
      </c>
      <c r="AE19">
        <v>36256</v>
      </c>
      <c r="AJ19">
        <v>0.75</v>
      </c>
      <c r="AK19" t="s">
        <v>1165</v>
      </c>
      <c r="AL19" t="s">
        <v>1224</v>
      </c>
      <c r="AN19" t="s">
        <v>1236</v>
      </c>
      <c r="AO19" t="s">
        <v>1165</v>
      </c>
      <c r="AQ19" t="s">
        <v>683</v>
      </c>
      <c r="AS19" t="s">
        <v>1277</v>
      </c>
      <c r="AT19" t="s">
        <v>684</v>
      </c>
      <c r="AV19" t="s">
        <v>1282</v>
      </c>
    </row>
    <row r="20" spans="1:48">
      <c r="A20" s="1">
        <f>HYPERLINK("https://lsnyc.legalserver.org/matter/dynamic-profile/view/1905305","19-1905305")</f>
        <v>0</v>
      </c>
      <c r="B20" t="s">
        <v>1284</v>
      </c>
      <c r="C20" t="s">
        <v>245</v>
      </c>
      <c r="D20" t="s">
        <v>1373</v>
      </c>
      <c r="E20" t="s">
        <v>1443</v>
      </c>
      <c r="G20" t="s">
        <v>677</v>
      </c>
      <c r="H20">
        <v>10459</v>
      </c>
      <c r="I20" t="s">
        <v>682</v>
      </c>
      <c r="K20" t="s">
        <v>731</v>
      </c>
      <c r="L20" t="s">
        <v>738</v>
      </c>
      <c r="O20">
        <v>743.21</v>
      </c>
      <c r="P20" t="s">
        <v>749</v>
      </c>
      <c r="R20" t="s">
        <v>1584</v>
      </c>
      <c r="S20" t="s">
        <v>1660</v>
      </c>
      <c r="U20">
        <v>11</v>
      </c>
      <c r="V20" t="s">
        <v>1102</v>
      </c>
      <c r="W20" t="s">
        <v>1116</v>
      </c>
      <c r="X20">
        <v>3</v>
      </c>
      <c r="Y20">
        <v>1</v>
      </c>
      <c r="Z20">
        <v>0</v>
      </c>
      <c r="AA20">
        <v>49.96</v>
      </c>
      <c r="AD20" t="s">
        <v>1122</v>
      </c>
      <c r="AE20">
        <v>6240</v>
      </c>
      <c r="AJ20">
        <v>1.5</v>
      </c>
      <c r="AK20" t="s">
        <v>1166</v>
      </c>
      <c r="AL20" t="s">
        <v>1284</v>
      </c>
      <c r="AM20" t="s">
        <v>1234</v>
      </c>
      <c r="AN20" t="s">
        <v>1236</v>
      </c>
      <c r="AO20" t="s">
        <v>1166</v>
      </c>
      <c r="AQ20" t="s">
        <v>683</v>
      </c>
      <c r="AS20" t="s">
        <v>1277</v>
      </c>
      <c r="AT20" t="s">
        <v>684</v>
      </c>
      <c r="AV20" t="s">
        <v>1282</v>
      </c>
    </row>
    <row r="21" spans="1:48">
      <c r="A21" s="1">
        <f>HYPERLINK("https://lsnyc.legalserver.org/matter/dynamic-profile/view/1905267","19-1905267")</f>
        <v>0</v>
      </c>
      <c r="B21" t="s">
        <v>1284</v>
      </c>
      <c r="C21" t="s">
        <v>1301</v>
      </c>
      <c r="D21" t="s">
        <v>1374</v>
      </c>
      <c r="E21" t="s">
        <v>1444</v>
      </c>
      <c r="F21" t="s">
        <v>1504</v>
      </c>
      <c r="G21" t="s">
        <v>677</v>
      </c>
      <c r="H21">
        <v>10451</v>
      </c>
      <c r="I21" t="s">
        <v>682</v>
      </c>
      <c r="K21" t="s">
        <v>731</v>
      </c>
      <c r="L21" t="s">
        <v>738</v>
      </c>
      <c r="O21">
        <v>1630</v>
      </c>
      <c r="P21" t="s">
        <v>749</v>
      </c>
      <c r="R21" t="s">
        <v>1585</v>
      </c>
      <c r="U21">
        <v>0</v>
      </c>
      <c r="V21" t="s">
        <v>1114</v>
      </c>
      <c r="W21" t="s">
        <v>1116</v>
      </c>
      <c r="X21">
        <v>16</v>
      </c>
      <c r="Y21">
        <v>1</v>
      </c>
      <c r="Z21">
        <v>0</v>
      </c>
      <c r="AA21">
        <v>156.61</v>
      </c>
      <c r="AD21" t="s">
        <v>1122</v>
      </c>
      <c r="AE21">
        <v>19560</v>
      </c>
      <c r="AJ21">
        <v>1</v>
      </c>
      <c r="AK21" t="s">
        <v>1166</v>
      </c>
      <c r="AL21" t="s">
        <v>1284</v>
      </c>
      <c r="AM21" t="s">
        <v>1233</v>
      </c>
      <c r="AN21" t="s">
        <v>1236</v>
      </c>
      <c r="AO21" t="s">
        <v>1166</v>
      </c>
      <c r="AQ21" t="s">
        <v>683</v>
      </c>
      <c r="AS21" t="s">
        <v>1277</v>
      </c>
      <c r="AT21" t="s">
        <v>684</v>
      </c>
      <c r="AV21" t="s">
        <v>1282</v>
      </c>
    </row>
    <row r="22" spans="1:48">
      <c r="A22" s="1">
        <f>HYPERLINK("https://lsnyc.legalserver.org/matter/dynamic-profile/view/1905447","19-1905447")</f>
        <v>0</v>
      </c>
      <c r="B22" t="s">
        <v>1284</v>
      </c>
      <c r="C22" t="s">
        <v>1302</v>
      </c>
      <c r="D22" t="s">
        <v>1375</v>
      </c>
      <c r="E22" t="s">
        <v>1445</v>
      </c>
      <c r="F22" t="s">
        <v>643</v>
      </c>
      <c r="G22" t="s">
        <v>677</v>
      </c>
      <c r="H22">
        <v>10451</v>
      </c>
      <c r="I22" t="s">
        <v>682</v>
      </c>
      <c r="K22" t="s">
        <v>735</v>
      </c>
      <c r="L22" t="s">
        <v>738</v>
      </c>
      <c r="O22">
        <v>1200</v>
      </c>
      <c r="P22" t="s">
        <v>749</v>
      </c>
      <c r="R22" t="s">
        <v>1586</v>
      </c>
      <c r="U22">
        <v>0</v>
      </c>
      <c r="V22" t="s">
        <v>1102</v>
      </c>
      <c r="W22" t="s">
        <v>1119</v>
      </c>
      <c r="X22">
        <v>13</v>
      </c>
      <c r="Y22">
        <v>1</v>
      </c>
      <c r="Z22">
        <v>0</v>
      </c>
      <c r="AA22">
        <v>63.41</v>
      </c>
      <c r="AD22" t="s">
        <v>1122</v>
      </c>
      <c r="AE22">
        <v>7920</v>
      </c>
      <c r="AJ22">
        <v>1</v>
      </c>
      <c r="AK22" t="s">
        <v>1166</v>
      </c>
      <c r="AL22" t="s">
        <v>1284</v>
      </c>
      <c r="AM22" t="s">
        <v>1234</v>
      </c>
      <c r="AN22" t="s">
        <v>1236</v>
      </c>
      <c r="AO22" t="s">
        <v>1166</v>
      </c>
      <c r="AQ22" t="s">
        <v>683</v>
      </c>
      <c r="AS22" t="s">
        <v>1277</v>
      </c>
      <c r="AT22" t="s">
        <v>684</v>
      </c>
      <c r="AV22" t="s">
        <v>1282</v>
      </c>
    </row>
    <row r="23" spans="1:48">
      <c r="A23" s="1">
        <f>HYPERLINK("https://lsnyc.legalserver.org/matter/dynamic-profile/view/1905842","19-1905842")</f>
        <v>0</v>
      </c>
      <c r="B23" t="s">
        <v>80</v>
      </c>
      <c r="C23" t="s">
        <v>1303</v>
      </c>
      <c r="D23" t="s">
        <v>1376</v>
      </c>
      <c r="E23" t="s">
        <v>1446</v>
      </c>
      <c r="F23" t="s">
        <v>1505</v>
      </c>
      <c r="G23" t="s">
        <v>677</v>
      </c>
      <c r="H23">
        <v>10467</v>
      </c>
      <c r="I23" t="s">
        <v>682</v>
      </c>
      <c r="L23" t="s">
        <v>738</v>
      </c>
      <c r="O23">
        <v>1254.43</v>
      </c>
      <c r="P23" t="s">
        <v>749</v>
      </c>
      <c r="R23" t="s">
        <v>1587</v>
      </c>
      <c r="T23" t="s">
        <v>1681</v>
      </c>
      <c r="U23">
        <v>70</v>
      </c>
      <c r="V23" t="s">
        <v>1102</v>
      </c>
      <c r="W23" t="s">
        <v>1116</v>
      </c>
      <c r="X23">
        <v>14</v>
      </c>
      <c r="Y23">
        <v>1</v>
      </c>
      <c r="Z23">
        <v>0</v>
      </c>
      <c r="AA23">
        <v>0</v>
      </c>
      <c r="AD23" t="s">
        <v>1123</v>
      </c>
      <c r="AE23">
        <v>0</v>
      </c>
      <c r="AJ23">
        <v>0</v>
      </c>
      <c r="AL23" t="s">
        <v>1229</v>
      </c>
      <c r="AN23" t="s">
        <v>1236</v>
      </c>
      <c r="AO23" t="s">
        <v>1166</v>
      </c>
      <c r="AQ23" t="s">
        <v>683</v>
      </c>
      <c r="AS23" t="s">
        <v>1277</v>
      </c>
      <c r="AT23" t="s">
        <v>684</v>
      </c>
      <c r="AV23" t="s">
        <v>1282</v>
      </c>
    </row>
    <row r="24" spans="1:48">
      <c r="A24" s="1">
        <f>HYPERLINK("https://lsnyc.legalserver.org/matter/dynamic-profile/view/1905899","19-1905899")</f>
        <v>0</v>
      </c>
      <c r="B24" t="s">
        <v>56</v>
      </c>
      <c r="C24" t="s">
        <v>1304</v>
      </c>
      <c r="D24" t="s">
        <v>1377</v>
      </c>
      <c r="E24" t="s">
        <v>1447</v>
      </c>
      <c r="F24" t="s">
        <v>1506</v>
      </c>
      <c r="G24" t="s">
        <v>677</v>
      </c>
      <c r="H24">
        <v>10451</v>
      </c>
      <c r="I24" t="s">
        <v>682</v>
      </c>
      <c r="L24" t="s">
        <v>738</v>
      </c>
      <c r="O24">
        <v>234</v>
      </c>
      <c r="P24" t="s">
        <v>749</v>
      </c>
      <c r="R24" t="s">
        <v>1588</v>
      </c>
      <c r="T24" t="s">
        <v>1682</v>
      </c>
      <c r="U24">
        <v>477</v>
      </c>
      <c r="V24" t="s">
        <v>1102</v>
      </c>
      <c r="W24" t="s">
        <v>1116</v>
      </c>
      <c r="X24">
        <v>24</v>
      </c>
      <c r="Y24">
        <v>1</v>
      </c>
      <c r="Z24">
        <v>0</v>
      </c>
      <c r="AA24">
        <v>72.42</v>
      </c>
      <c r="AD24" t="s">
        <v>1122</v>
      </c>
      <c r="AE24">
        <v>9045</v>
      </c>
      <c r="AJ24">
        <v>0</v>
      </c>
      <c r="AL24" t="s">
        <v>1225</v>
      </c>
      <c r="AM24" t="s">
        <v>1233</v>
      </c>
      <c r="AN24" t="s">
        <v>1236</v>
      </c>
      <c r="AO24" t="s">
        <v>1179</v>
      </c>
      <c r="AQ24" t="s">
        <v>683</v>
      </c>
      <c r="AS24" t="s">
        <v>1277</v>
      </c>
      <c r="AT24" t="s">
        <v>684</v>
      </c>
      <c r="AV24" t="s">
        <v>1282</v>
      </c>
    </row>
    <row r="25" spans="1:48">
      <c r="A25" s="1">
        <f>HYPERLINK("https://lsnyc.legalserver.org/matter/dynamic-profile/view/1905850","19-1905850")</f>
        <v>0</v>
      </c>
      <c r="B25" t="s">
        <v>80</v>
      </c>
      <c r="C25" t="s">
        <v>1297</v>
      </c>
      <c r="D25" t="s">
        <v>1370</v>
      </c>
      <c r="E25" t="s">
        <v>1448</v>
      </c>
      <c r="F25" t="s">
        <v>638</v>
      </c>
      <c r="G25" t="s">
        <v>677</v>
      </c>
      <c r="H25">
        <v>10452</v>
      </c>
      <c r="I25" t="s">
        <v>682</v>
      </c>
      <c r="L25" t="s">
        <v>738</v>
      </c>
      <c r="O25">
        <v>702.21</v>
      </c>
      <c r="P25" t="s">
        <v>749</v>
      </c>
      <c r="R25" t="s">
        <v>1589</v>
      </c>
      <c r="T25" t="s">
        <v>1677</v>
      </c>
      <c r="U25">
        <v>85</v>
      </c>
      <c r="V25" t="s">
        <v>1114</v>
      </c>
      <c r="W25" t="s">
        <v>1116</v>
      </c>
      <c r="X25">
        <v>36</v>
      </c>
      <c r="Y25">
        <v>1</v>
      </c>
      <c r="Z25">
        <v>2</v>
      </c>
      <c r="AA25">
        <v>46.24</v>
      </c>
      <c r="AD25" t="s">
        <v>1123</v>
      </c>
      <c r="AE25">
        <v>9864</v>
      </c>
      <c r="AJ25">
        <v>0.1</v>
      </c>
      <c r="AK25" t="s">
        <v>1170</v>
      </c>
      <c r="AL25" t="s">
        <v>1229</v>
      </c>
      <c r="AM25" t="s">
        <v>1233</v>
      </c>
      <c r="AN25" t="s">
        <v>1236</v>
      </c>
      <c r="AO25" t="s">
        <v>1166</v>
      </c>
      <c r="AQ25" t="s">
        <v>683</v>
      </c>
      <c r="AS25" t="s">
        <v>1277</v>
      </c>
      <c r="AT25" t="s">
        <v>684</v>
      </c>
      <c r="AV25" t="s">
        <v>1282</v>
      </c>
    </row>
    <row r="26" spans="1:48">
      <c r="A26" s="1">
        <f>HYPERLINK("https://lsnyc.legalserver.org/matter/dynamic-profile/view/1904814","19-1904814")</f>
        <v>0</v>
      </c>
      <c r="B26" t="s">
        <v>78</v>
      </c>
      <c r="C26" t="s">
        <v>1305</v>
      </c>
      <c r="D26" t="s">
        <v>1378</v>
      </c>
      <c r="E26" t="s">
        <v>1449</v>
      </c>
      <c r="F26" t="s">
        <v>1507</v>
      </c>
      <c r="G26" t="s">
        <v>677</v>
      </c>
      <c r="H26">
        <v>10452</v>
      </c>
      <c r="I26" t="s">
        <v>683</v>
      </c>
      <c r="L26" t="s">
        <v>738</v>
      </c>
      <c r="O26">
        <v>1350</v>
      </c>
      <c r="R26" t="s">
        <v>1590</v>
      </c>
      <c r="T26" t="s">
        <v>1683</v>
      </c>
      <c r="U26">
        <v>139</v>
      </c>
      <c r="X26">
        <v>12</v>
      </c>
      <c r="Y26">
        <v>2</v>
      </c>
      <c r="Z26">
        <v>0</v>
      </c>
      <c r="AA26">
        <v>179.49</v>
      </c>
      <c r="AD26" t="s">
        <v>1122</v>
      </c>
      <c r="AE26">
        <v>30352</v>
      </c>
      <c r="AJ26">
        <v>2</v>
      </c>
      <c r="AK26" t="s">
        <v>1179</v>
      </c>
      <c r="AL26" t="s">
        <v>1220</v>
      </c>
      <c r="AN26" t="s">
        <v>1236</v>
      </c>
      <c r="AO26" t="s">
        <v>1161</v>
      </c>
      <c r="AQ26" t="s">
        <v>683</v>
      </c>
      <c r="AS26" t="s">
        <v>1277</v>
      </c>
      <c r="AV26" t="s">
        <v>1282</v>
      </c>
    </row>
    <row r="27" spans="1:48">
      <c r="A27" s="1">
        <f>HYPERLINK("https://lsnyc.legalserver.org/matter/dynamic-profile/view/1904795","19-1904795")</f>
        <v>0</v>
      </c>
      <c r="B27" t="s">
        <v>56</v>
      </c>
      <c r="C27" t="s">
        <v>131</v>
      </c>
      <c r="D27" t="s">
        <v>329</v>
      </c>
      <c r="E27" t="s">
        <v>1450</v>
      </c>
      <c r="F27" t="s">
        <v>1508</v>
      </c>
      <c r="G27" t="s">
        <v>677</v>
      </c>
      <c r="H27">
        <v>10457</v>
      </c>
      <c r="I27" t="s">
        <v>682</v>
      </c>
      <c r="L27" t="s">
        <v>738</v>
      </c>
      <c r="O27">
        <v>1476.04</v>
      </c>
      <c r="P27" t="s">
        <v>749</v>
      </c>
      <c r="R27" t="s">
        <v>1591</v>
      </c>
      <c r="T27" t="s">
        <v>1684</v>
      </c>
      <c r="U27">
        <v>222</v>
      </c>
      <c r="V27" t="s">
        <v>1102</v>
      </c>
      <c r="W27" t="s">
        <v>1116</v>
      </c>
      <c r="X27">
        <v>8</v>
      </c>
      <c r="Y27">
        <v>4</v>
      </c>
      <c r="Z27">
        <v>1</v>
      </c>
      <c r="AA27">
        <v>120.65</v>
      </c>
      <c r="AD27" t="s">
        <v>1123</v>
      </c>
      <c r="AE27">
        <v>36400</v>
      </c>
      <c r="AJ27">
        <v>1.5</v>
      </c>
      <c r="AK27" t="s">
        <v>1162</v>
      </c>
      <c r="AL27" t="s">
        <v>1225</v>
      </c>
      <c r="AM27" t="s">
        <v>1233</v>
      </c>
      <c r="AN27" t="s">
        <v>1236</v>
      </c>
      <c r="AO27" t="s">
        <v>1161</v>
      </c>
      <c r="AQ27" t="s">
        <v>683</v>
      </c>
      <c r="AS27" t="s">
        <v>1277</v>
      </c>
      <c r="AT27" t="s">
        <v>684</v>
      </c>
      <c r="AV27" t="s">
        <v>1282</v>
      </c>
    </row>
    <row r="28" spans="1:48">
      <c r="A28" s="1">
        <f>HYPERLINK("https://lsnyc.legalserver.org/matter/dynamic-profile/view/1904774","19-1904774")</f>
        <v>0</v>
      </c>
      <c r="B28" t="s">
        <v>56</v>
      </c>
      <c r="C28" t="s">
        <v>1306</v>
      </c>
      <c r="D28" t="s">
        <v>1379</v>
      </c>
      <c r="E28" t="s">
        <v>1451</v>
      </c>
      <c r="F28" t="s">
        <v>650</v>
      </c>
      <c r="G28" t="s">
        <v>677</v>
      </c>
      <c r="H28">
        <v>10456</v>
      </c>
      <c r="I28" t="s">
        <v>682</v>
      </c>
      <c r="L28" t="s">
        <v>738</v>
      </c>
      <c r="O28">
        <v>982.92</v>
      </c>
      <c r="P28" t="s">
        <v>749</v>
      </c>
      <c r="R28" t="s">
        <v>1592</v>
      </c>
      <c r="T28" t="s">
        <v>1685</v>
      </c>
      <c r="U28">
        <v>56</v>
      </c>
      <c r="W28" t="s">
        <v>1116</v>
      </c>
      <c r="X28">
        <v>48</v>
      </c>
      <c r="Y28">
        <v>2</v>
      </c>
      <c r="Z28">
        <v>0</v>
      </c>
      <c r="AA28">
        <v>454.17</v>
      </c>
      <c r="AE28">
        <v>76800</v>
      </c>
      <c r="AJ28">
        <v>1.25</v>
      </c>
      <c r="AK28" t="s">
        <v>1176</v>
      </c>
      <c r="AL28" t="s">
        <v>1225</v>
      </c>
      <c r="AM28" t="s">
        <v>1233</v>
      </c>
      <c r="AN28" t="s">
        <v>1236</v>
      </c>
      <c r="AO28" t="s">
        <v>1161</v>
      </c>
      <c r="AQ28" t="s">
        <v>683</v>
      </c>
      <c r="AS28" t="s">
        <v>1277</v>
      </c>
      <c r="AT28" t="s">
        <v>684</v>
      </c>
      <c r="AV28" t="s">
        <v>1282</v>
      </c>
    </row>
    <row r="29" spans="1:48">
      <c r="A29" s="1">
        <f>HYPERLINK("https://lsnyc.legalserver.org/matter/dynamic-profile/view/1905892","19-1905892")</f>
        <v>0</v>
      </c>
      <c r="B29" t="s">
        <v>56</v>
      </c>
      <c r="C29" t="s">
        <v>195</v>
      </c>
      <c r="D29" t="s">
        <v>342</v>
      </c>
      <c r="E29" t="s">
        <v>514</v>
      </c>
      <c r="F29" t="s">
        <v>621</v>
      </c>
      <c r="G29" t="s">
        <v>677</v>
      </c>
      <c r="H29">
        <v>10452</v>
      </c>
      <c r="I29" t="s">
        <v>682</v>
      </c>
      <c r="L29" t="s">
        <v>738</v>
      </c>
      <c r="O29">
        <v>1557</v>
      </c>
      <c r="P29" t="s">
        <v>752</v>
      </c>
      <c r="R29" t="s">
        <v>859</v>
      </c>
      <c r="T29" t="s">
        <v>1035</v>
      </c>
      <c r="U29">
        <v>18</v>
      </c>
      <c r="V29" t="s">
        <v>1111</v>
      </c>
      <c r="W29" t="s">
        <v>1115</v>
      </c>
      <c r="X29">
        <v>10</v>
      </c>
      <c r="Y29">
        <v>1</v>
      </c>
      <c r="Z29">
        <v>0</v>
      </c>
      <c r="AA29">
        <v>23.83</v>
      </c>
      <c r="AD29" t="s">
        <v>1122</v>
      </c>
      <c r="AE29">
        <v>2976</v>
      </c>
      <c r="AJ29">
        <v>0</v>
      </c>
      <c r="AL29" t="s">
        <v>1225</v>
      </c>
      <c r="AM29" t="s">
        <v>1233</v>
      </c>
      <c r="AN29" t="s">
        <v>1236</v>
      </c>
      <c r="AO29" t="s">
        <v>1179</v>
      </c>
      <c r="AQ29" t="s">
        <v>683</v>
      </c>
      <c r="AS29" t="s">
        <v>1277</v>
      </c>
      <c r="AT29" t="s">
        <v>684</v>
      </c>
      <c r="AV29" t="s">
        <v>1282</v>
      </c>
    </row>
    <row r="30" spans="1:48">
      <c r="A30" s="1">
        <f>HYPERLINK("https://lsnyc.legalserver.org/matter/dynamic-profile/view/1904812","19-1904812")</f>
        <v>0</v>
      </c>
      <c r="B30" t="s">
        <v>56</v>
      </c>
      <c r="C30" t="s">
        <v>1307</v>
      </c>
      <c r="D30" t="s">
        <v>1380</v>
      </c>
      <c r="E30" t="s">
        <v>1452</v>
      </c>
      <c r="F30">
        <v>602</v>
      </c>
      <c r="G30" t="s">
        <v>677</v>
      </c>
      <c r="H30">
        <v>10452</v>
      </c>
      <c r="I30" t="s">
        <v>682</v>
      </c>
      <c r="L30" t="s">
        <v>738</v>
      </c>
      <c r="O30">
        <v>557</v>
      </c>
      <c r="P30" t="s">
        <v>749</v>
      </c>
      <c r="R30" t="s">
        <v>1593</v>
      </c>
      <c r="T30" t="s">
        <v>1686</v>
      </c>
      <c r="U30">
        <v>82</v>
      </c>
      <c r="V30" t="s">
        <v>1105</v>
      </c>
      <c r="W30" t="s">
        <v>1116</v>
      </c>
      <c r="X30">
        <v>5</v>
      </c>
      <c r="Y30">
        <v>2</v>
      </c>
      <c r="Z30">
        <v>2</v>
      </c>
      <c r="AA30">
        <v>100.97</v>
      </c>
      <c r="AE30">
        <v>26000</v>
      </c>
      <c r="AJ30">
        <v>1.5</v>
      </c>
      <c r="AK30" t="s">
        <v>1176</v>
      </c>
      <c r="AL30" t="s">
        <v>1225</v>
      </c>
      <c r="AM30" t="s">
        <v>1233</v>
      </c>
      <c r="AN30" t="s">
        <v>1236</v>
      </c>
      <c r="AO30" t="s">
        <v>1161</v>
      </c>
      <c r="AQ30" t="s">
        <v>683</v>
      </c>
      <c r="AS30" t="s">
        <v>1277</v>
      </c>
      <c r="AT30" t="s">
        <v>684</v>
      </c>
      <c r="AV30" t="s">
        <v>1282</v>
      </c>
    </row>
    <row r="31" spans="1:48">
      <c r="A31" s="1">
        <f>HYPERLINK("https://lsnyc.legalserver.org/matter/dynamic-profile/view/1904772","19-1904772")</f>
        <v>0</v>
      </c>
      <c r="B31" t="s">
        <v>56</v>
      </c>
      <c r="C31" t="s">
        <v>180</v>
      </c>
      <c r="D31" t="s">
        <v>340</v>
      </c>
      <c r="E31" t="s">
        <v>500</v>
      </c>
      <c r="F31" t="s">
        <v>604</v>
      </c>
      <c r="G31" t="s">
        <v>677</v>
      </c>
      <c r="H31">
        <v>10460</v>
      </c>
      <c r="I31" t="s">
        <v>682</v>
      </c>
      <c r="L31" t="s">
        <v>738</v>
      </c>
      <c r="O31">
        <v>208</v>
      </c>
      <c r="P31" t="s">
        <v>749</v>
      </c>
      <c r="R31" t="s">
        <v>843</v>
      </c>
      <c r="T31" t="s">
        <v>1020</v>
      </c>
      <c r="U31">
        <v>35</v>
      </c>
      <c r="V31" t="s">
        <v>1105</v>
      </c>
      <c r="W31" t="s">
        <v>1116</v>
      </c>
      <c r="X31">
        <v>10</v>
      </c>
      <c r="Y31">
        <v>1</v>
      </c>
      <c r="Z31">
        <v>0</v>
      </c>
      <c r="AA31">
        <v>85.22</v>
      </c>
      <c r="AD31" t="s">
        <v>1123</v>
      </c>
      <c r="AE31">
        <v>10644</v>
      </c>
      <c r="AJ31">
        <v>1.75</v>
      </c>
      <c r="AK31" t="s">
        <v>1162</v>
      </c>
      <c r="AL31" t="s">
        <v>1225</v>
      </c>
      <c r="AM31" t="s">
        <v>1233</v>
      </c>
      <c r="AN31" t="s">
        <v>1236</v>
      </c>
      <c r="AO31" t="s">
        <v>1161</v>
      </c>
      <c r="AQ31" t="s">
        <v>683</v>
      </c>
      <c r="AS31" t="s">
        <v>1277</v>
      </c>
      <c r="AT31" t="s">
        <v>684</v>
      </c>
      <c r="AV31" t="s">
        <v>1282</v>
      </c>
    </row>
    <row r="32" spans="1:48">
      <c r="A32" s="1">
        <f>HYPERLINK("https://lsnyc.legalserver.org/matter/dynamic-profile/view/1906257","19-1906257")</f>
        <v>0</v>
      </c>
      <c r="B32" t="s">
        <v>60</v>
      </c>
      <c r="C32" t="s">
        <v>1308</v>
      </c>
      <c r="D32" t="s">
        <v>1381</v>
      </c>
      <c r="E32" t="s">
        <v>1453</v>
      </c>
      <c r="F32" t="s">
        <v>1509</v>
      </c>
      <c r="G32" t="s">
        <v>677</v>
      </c>
      <c r="H32">
        <v>10472</v>
      </c>
      <c r="I32" t="s">
        <v>682</v>
      </c>
      <c r="L32" t="s">
        <v>738</v>
      </c>
      <c r="O32">
        <v>1907</v>
      </c>
      <c r="P32" t="s">
        <v>749</v>
      </c>
      <c r="T32" t="s">
        <v>1687</v>
      </c>
      <c r="U32">
        <v>59</v>
      </c>
      <c r="V32" t="s">
        <v>1102</v>
      </c>
      <c r="W32" t="s">
        <v>1116</v>
      </c>
      <c r="X32">
        <v>7</v>
      </c>
      <c r="Y32">
        <v>2</v>
      </c>
      <c r="Z32">
        <v>2</v>
      </c>
      <c r="AA32">
        <v>222.14</v>
      </c>
      <c r="AD32" t="s">
        <v>1122</v>
      </c>
      <c r="AE32">
        <v>57200</v>
      </c>
      <c r="AJ32">
        <v>1</v>
      </c>
      <c r="AK32" t="s">
        <v>1179</v>
      </c>
      <c r="AL32" t="s">
        <v>60</v>
      </c>
      <c r="AM32" t="s">
        <v>1233</v>
      </c>
      <c r="AN32" t="s">
        <v>1236</v>
      </c>
      <c r="AO32" t="s">
        <v>1179</v>
      </c>
      <c r="AQ32" t="s">
        <v>683</v>
      </c>
      <c r="AS32" t="s">
        <v>1277</v>
      </c>
      <c r="AT32" t="s">
        <v>684</v>
      </c>
      <c r="AV32" t="s">
        <v>1282</v>
      </c>
    </row>
    <row r="33" spans="1:49">
      <c r="A33" s="1">
        <f>HYPERLINK("https://lsnyc.legalserver.org/matter/dynamic-profile/view/1905894","19-1905894")</f>
        <v>0</v>
      </c>
      <c r="B33" t="s">
        <v>56</v>
      </c>
      <c r="C33" t="s">
        <v>1309</v>
      </c>
      <c r="D33" t="s">
        <v>288</v>
      </c>
      <c r="E33" t="s">
        <v>1454</v>
      </c>
      <c r="F33" t="s">
        <v>618</v>
      </c>
      <c r="G33" t="s">
        <v>677</v>
      </c>
      <c r="H33">
        <v>10456</v>
      </c>
      <c r="I33" t="s">
        <v>682</v>
      </c>
      <c r="L33" t="s">
        <v>738</v>
      </c>
      <c r="O33">
        <v>1511.88</v>
      </c>
      <c r="P33" t="s">
        <v>749</v>
      </c>
      <c r="R33" t="s">
        <v>1594</v>
      </c>
      <c r="T33" t="s">
        <v>1688</v>
      </c>
      <c r="U33">
        <v>30</v>
      </c>
      <c r="V33" t="s">
        <v>1102</v>
      </c>
      <c r="W33" t="s">
        <v>1116</v>
      </c>
      <c r="X33">
        <v>5</v>
      </c>
      <c r="Y33">
        <v>1</v>
      </c>
      <c r="Z33">
        <v>1</v>
      </c>
      <c r="AA33">
        <v>76.88</v>
      </c>
      <c r="AD33" t="s">
        <v>1122</v>
      </c>
      <c r="AE33">
        <v>13000</v>
      </c>
      <c r="AJ33">
        <v>0</v>
      </c>
      <c r="AL33" t="s">
        <v>1225</v>
      </c>
      <c r="AM33" t="s">
        <v>1233</v>
      </c>
      <c r="AN33" t="s">
        <v>1236</v>
      </c>
      <c r="AO33" t="s">
        <v>1179</v>
      </c>
      <c r="AQ33" t="s">
        <v>683</v>
      </c>
      <c r="AS33" t="s">
        <v>1277</v>
      </c>
      <c r="AT33" t="s">
        <v>684</v>
      </c>
      <c r="AV33" t="s">
        <v>1282</v>
      </c>
    </row>
    <row r="34" spans="1:49">
      <c r="A34" s="1">
        <f>HYPERLINK("https://lsnyc.legalserver.org/matter/dynamic-profile/view/1905846","19-1905846")</f>
        <v>0</v>
      </c>
      <c r="B34" t="s">
        <v>80</v>
      </c>
      <c r="C34" t="s">
        <v>1310</v>
      </c>
      <c r="D34" t="s">
        <v>1382</v>
      </c>
      <c r="E34" t="s">
        <v>1455</v>
      </c>
      <c r="F34" t="s">
        <v>642</v>
      </c>
      <c r="G34" t="s">
        <v>677</v>
      </c>
      <c r="H34">
        <v>10452</v>
      </c>
      <c r="I34" t="s">
        <v>682</v>
      </c>
      <c r="L34" t="s">
        <v>738</v>
      </c>
      <c r="O34">
        <v>1075</v>
      </c>
      <c r="P34" t="s">
        <v>749</v>
      </c>
      <c r="R34" t="s">
        <v>1595</v>
      </c>
      <c r="S34" t="s">
        <v>1661</v>
      </c>
      <c r="U34">
        <v>58</v>
      </c>
      <c r="V34" t="s">
        <v>1113</v>
      </c>
      <c r="W34" t="s">
        <v>1120</v>
      </c>
      <c r="X34">
        <v>8</v>
      </c>
      <c r="Y34">
        <v>2</v>
      </c>
      <c r="Z34">
        <v>3</v>
      </c>
      <c r="AA34">
        <v>39.77</v>
      </c>
      <c r="AD34" t="s">
        <v>1122</v>
      </c>
      <c r="AE34">
        <v>12000</v>
      </c>
      <c r="AJ34">
        <v>0</v>
      </c>
      <c r="AL34" t="s">
        <v>1229</v>
      </c>
      <c r="AM34" t="s">
        <v>1233</v>
      </c>
      <c r="AN34" t="s">
        <v>1236</v>
      </c>
      <c r="AO34" t="s">
        <v>1171</v>
      </c>
      <c r="AQ34" t="s">
        <v>683</v>
      </c>
      <c r="AS34" t="s">
        <v>1277</v>
      </c>
      <c r="AT34" t="s">
        <v>684</v>
      </c>
      <c r="AV34" t="s">
        <v>1282</v>
      </c>
    </row>
    <row r="35" spans="1:49">
      <c r="A35" s="1">
        <f>HYPERLINK("https://lsnyc.legalserver.org/matter/dynamic-profile/view/1905901","19-1905901")</f>
        <v>0</v>
      </c>
      <c r="B35" t="s">
        <v>56</v>
      </c>
      <c r="C35" t="s">
        <v>1311</v>
      </c>
      <c r="D35" t="s">
        <v>1383</v>
      </c>
      <c r="E35" t="s">
        <v>1456</v>
      </c>
      <c r="F35">
        <v>2</v>
      </c>
      <c r="G35" t="s">
        <v>677</v>
      </c>
      <c r="H35">
        <v>10456</v>
      </c>
      <c r="I35" t="s">
        <v>682</v>
      </c>
      <c r="L35" t="s">
        <v>738</v>
      </c>
      <c r="O35">
        <v>1800.2</v>
      </c>
      <c r="P35" t="s">
        <v>749</v>
      </c>
      <c r="R35" t="s">
        <v>1596</v>
      </c>
      <c r="U35">
        <v>6</v>
      </c>
      <c r="V35" t="s">
        <v>1102</v>
      </c>
      <c r="W35" t="s">
        <v>1121</v>
      </c>
      <c r="X35">
        <v>1</v>
      </c>
      <c r="Y35">
        <v>2</v>
      </c>
      <c r="Z35">
        <v>1</v>
      </c>
      <c r="AA35">
        <v>180.23</v>
      </c>
      <c r="AD35" t="s">
        <v>1122</v>
      </c>
      <c r="AE35">
        <v>38444</v>
      </c>
      <c r="AJ35">
        <v>0</v>
      </c>
      <c r="AL35" t="s">
        <v>1225</v>
      </c>
      <c r="AM35" t="s">
        <v>1233</v>
      </c>
      <c r="AN35" t="s">
        <v>1236</v>
      </c>
      <c r="AO35" t="s">
        <v>1179</v>
      </c>
      <c r="AQ35" t="s">
        <v>683</v>
      </c>
      <c r="AS35" t="s">
        <v>1277</v>
      </c>
      <c r="AT35" t="s">
        <v>684</v>
      </c>
      <c r="AV35" t="s">
        <v>1282</v>
      </c>
    </row>
    <row r="36" spans="1:49">
      <c r="A36" s="1">
        <f>HYPERLINK("https://lsnyc.legalserver.org/matter/dynamic-profile/view/1905861","19-1905861")</f>
        <v>0</v>
      </c>
      <c r="B36" t="s">
        <v>80</v>
      </c>
      <c r="C36" t="s">
        <v>1312</v>
      </c>
      <c r="D36" t="s">
        <v>266</v>
      </c>
      <c r="E36" t="s">
        <v>1457</v>
      </c>
      <c r="F36" t="s">
        <v>624</v>
      </c>
      <c r="G36" t="s">
        <v>677</v>
      </c>
      <c r="H36">
        <v>10460</v>
      </c>
      <c r="I36" t="s">
        <v>682</v>
      </c>
      <c r="L36" t="s">
        <v>738</v>
      </c>
      <c r="O36">
        <v>1723.03</v>
      </c>
      <c r="P36" t="s">
        <v>749</v>
      </c>
      <c r="R36" t="s">
        <v>1597</v>
      </c>
      <c r="U36">
        <v>0</v>
      </c>
      <c r="V36" t="s">
        <v>1102</v>
      </c>
      <c r="W36" t="s">
        <v>1115</v>
      </c>
      <c r="X36">
        <v>3</v>
      </c>
      <c r="Y36">
        <v>2</v>
      </c>
      <c r="Z36">
        <v>0</v>
      </c>
      <c r="AA36">
        <v>83.73999999999999</v>
      </c>
      <c r="AD36" t="s">
        <v>1122</v>
      </c>
      <c r="AE36">
        <v>14160</v>
      </c>
      <c r="AJ36">
        <v>0.1</v>
      </c>
      <c r="AK36" t="s">
        <v>1170</v>
      </c>
      <c r="AL36" t="s">
        <v>1229</v>
      </c>
      <c r="AM36" t="s">
        <v>1233</v>
      </c>
      <c r="AN36" t="s">
        <v>1236</v>
      </c>
      <c r="AO36" t="s">
        <v>1166</v>
      </c>
      <c r="AQ36" t="s">
        <v>683</v>
      </c>
      <c r="AS36" t="s">
        <v>1277</v>
      </c>
      <c r="AT36" t="s">
        <v>684</v>
      </c>
      <c r="AV36" t="s">
        <v>1282</v>
      </c>
    </row>
    <row r="37" spans="1:49">
      <c r="A37" s="1">
        <f>HYPERLINK("https://lsnyc.legalserver.org/matter/dynamic-profile/view/1906131","19-1906131")</f>
        <v>0</v>
      </c>
      <c r="B37" t="s">
        <v>78</v>
      </c>
      <c r="C37" t="s">
        <v>1313</v>
      </c>
      <c r="D37" t="s">
        <v>1384</v>
      </c>
      <c r="E37" t="s">
        <v>1439</v>
      </c>
      <c r="F37" t="s">
        <v>1510</v>
      </c>
      <c r="G37" t="s">
        <v>677</v>
      </c>
      <c r="H37">
        <v>10452</v>
      </c>
      <c r="I37" t="s">
        <v>682</v>
      </c>
      <c r="K37" t="s">
        <v>734</v>
      </c>
      <c r="L37" t="s">
        <v>739</v>
      </c>
      <c r="O37">
        <v>1191</v>
      </c>
      <c r="P37" t="s">
        <v>755</v>
      </c>
      <c r="R37" t="s">
        <v>1598</v>
      </c>
      <c r="T37" t="s">
        <v>1689</v>
      </c>
      <c r="U37">
        <v>0</v>
      </c>
      <c r="X37">
        <v>20</v>
      </c>
      <c r="Y37">
        <v>1</v>
      </c>
      <c r="Z37">
        <v>0</v>
      </c>
      <c r="AA37">
        <v>96.08</v>
      </c>
      <c r="AD37" t="s">
        <v>1122</v>
      </c>
      <c r="AE37">
        <v>12000</v>
      </c>
      <c r="AJ37">
        <v>0.5</v>
      </c>
      <c r="AK37" t="s">
        <v>1206</v>
      </c>
      <c r="AL37" t="s">
        <v>78</v>
      </c>
      <c r="AM37" t="s">
        <v>1233</v>
      </c>
      <c r="AN37" t="s">
        <v>1236</v>
      </c>
      <c r="AO37" t="s">
        <v>1206</v>
      </c>
      <c r="AQ37" t="s">
        <v>683</v>
      </c>
      <c r="AS37" t="s">
        <v>1277</v>
      </c>
      <c r="AT37" t="s">
        <v>684</v>
      </c>
      <c r="AV37" t="s">
        <v>1282</v>
      </c>
    </row>
    <row r="38" spans="1:49">
      <c r="A38" s="1">
        <f>HYPERLINK("https://lsnyc.legalserver.org/matter/dynamic-profile/view/1904277","19-1904277")</f>
        <v>0</v>
      </c>
      <c r="B38" t="s">
        <v>80</v>
      </c>
      <c r="C38" t="s">
        <v>1312</v>
      </c>
      <c r="D38" t="s">
        <v>266</v>
      </c>
      <c r="E38" t="s">
        <v>1457</v>
      </c>
      <c r="F38" t="s">
        <v>624</v>
      </c>
      <c r="G38" t="s">
        <v>677</v>
      </c>
      <c r="H38">
        <v>10460</v>
      </c>
      <c r="I38" t="s">
        <v>682</v>
      </c>
      <c r="J38" t="s">
        <v>1541</v>
      </c>
      <c r="L38" t="s">
        <v>739</v>
      </c>
      <c r="O38">
        <v>1723.03</v>
      </c>
      <c r="P38" t="s">
        <v>752</v>
      </c>
      <c r="R38" t="s">
        <v>1597</v>
      </c>
      <c r="T38" t="s">
        <v>1690</v>
      </c>
      <c r="U38">
        <v>200</v>
      </c>
      <c r="V38" t="s">
        <v>1111</v>
      </c>
      <c r="W38" t="s">
        <v>1115</v>
      </c>
      <c r="X38">
        <v>3</v>
      </c>
      <c r="Y38">
        <v>2</v>
      </c>
      <c r="Z38">
        <v>0</v>
      </c>
      <c r="AA38">
        <v>83.73999999999999</v>
      </c>
      <c r="AD38" t="s">
        <v>1122</v>
      </c>
      <c r="AE38">
        <v>14160</v>
      </c>
      <c r="AJ38">
        <v>2</v>
      </c>
      <c r="AK38" t="s">
        <v>1170</v>
      </c>
      <c r="AL38" t="s">
        <v>1221</v>
      </c>
      <c r="AM38" t="s">
        <v>1233</v>
      </c>
      <c r="AN38" t="s">
        <v>1236</v>
      </c>
      <c r="AO38" t="s">
        <v>1198</v>
      </c>
      <c r="AQ38" t="s">
        <v>683</v>
      </c>
      <c r="AS38" t="s">
        <v>1277</v>
      </c>
      <c r="AV38" t="s">
        <v>1282</v>
      </c>
    </row>
    <row r="39" spans="1:49">
      <c r="A39" s="1">
        <f>HYPERLINK("https://lsnyc.legalserver.org/matter/dynamic-profile/view/1899726","19-1899726")</f>
        <v>0</v>
      </c>
      <c r="B39" t="s">
        <v>80</v>
      </c>
      <c r="C39" t="s">
        <v>1314</v>
      </c>
      <c r="D39" t="s">
        <v>1385</v>
      </c>
      <c r="E39" t="s">
        <v>1458</v>
      </c>
      <c r="F39">
        <v>220</v>
      </c>
      <c r="G39" t="s">
        <v>677</v>
      </c>
      <c r="H39">
        <v>10459</v>
      </c>
      <c r="I39" t="s">
        <v>682</v>
      </c>
      <c r="L39" t="s">
        <v>739</v>
      </c>
      <c r="O39">
        <v>1041</v>
      </c>
      <c r="P39" t="s">
        <v>749</v>
      </c>
      <c r="R39" t="s">
        <v>1599</v>
      </c>
      <c r="T39" t="s">
        <v>1691</v>
      </c>
      <c r="U39">
        <v>141</v>
      </c>
      <c r="V39" t="s">
        <v>1105</v>
      </c>
      <c r="W39" t="s">
        <v>1120</v>
      </c>
      <c r="X39">
        <v>3</v>
      </c>
      <c r="Y39">
        <v>1</v>
      </c>
      <c r="Z39">
        <v>2</v>
      </c>
      <c r="AA39">
        <v>78.95</v>
      </c>
      <c r="AD39" t="s">
        <v>1123</v>
      </c>
      <c r="AE39">
        <v>16840</v>
      </c>
      <c r="AJ39">
        <v>0.8</v>
      </c>
      <c r="AK39" t="s">
        <v>1195</v>
      </c>
      <c r="AL39" t="s">
        <v>1229</v>
      </c>
      <c r="AM39" t="s">
        <v>1233</v>
      </c>
      <c r="AN39" t="s">
        <v>1236</v>
      </c>
      <c r="AO39" t="s">
        <v>1251</v>
      </c>
      <c r="AQ39" t="s">
        <v>683</v>
      </c>
      <c r="AS39" t="s">
        <v>1277</v>
      </c>
      <c r="AT39" t="s">
        <v>684</v>
      </c>
      <c r="AV39" t="s">
        <v>1282</v>
      </c>
      <c r="AW39" t="s">
        <v>1749</v>
      </c>
    </row>
    <row r="40" spans="1:49">
      <c r="A40" s="1">
        <f>HYPERLINK("https://lsnyc.legalserver.org/matter/dynamic-profile/view/1904698","19-1904698")</f>
        <v>0</v>
      </c>
      <c r="B40" t="s">
        <v>80</v>
      </c>
      <c r="C40" t="s">
        <v>1315</v>
      </c>
      <c r="D40" t="s">
        <v>1386</v>
      </c>
      <c r="E40" t="s">
        <v>1459</v>
      </c>
      <c r="F40">
        <v>12</v>
      </c>
      <c r="G40" t="s">
        <v>677</v>
      </c>
      <c r="H40">
        <v>10451</v>
      </c>
      <c r="I40" t="s">
        <v>682</v>
      </c>
      <c r="K40" t="s">
        <v>1558</v>
      </c>
      <c r="L40" t="s">
        <v>741</v>
      </c>
      <c r="O40">
        <v>0</v>
      </c>
      <c r="P40" t="s">
        <v>755</v>
      </c>
      <c r="R40" t="s">
        <v>1600</v>
      </c>
      <c r="T40" t="s">
        <v>1692</v>
      </c>
      <c r="U40">
        <v>13</v>
      </c>
      <c r="V40" t="s">
        <v>1102</v>
      </c>
      <c r="W40" t="s">
        <v>1116</v>
      </c>
      <c r="X40">
        <v>5</v>
      </c>
      <c r="Y40">
        <v>3</v>
      </c>
      <c r="Z40">
        <v>0</v>
      </c>
      <c r="AA40">
        <v>234.41</v>
      </c>
      <c r="AD40" t="s">
        <v>1122</v>
      </c>
      <c r="AE40">
        <v>50000</v>
      </c>
      <c r="AJ40">
        <v>1.75</v>
      </c>
      <c r="AK40" t="s">
        <v>1161</v>
      </c>
      <c r="AL40" t="s">
        <v>60</v>
      </c>
      <c r="AM40" t="s">
        <v>1233</v>
      </c>
      <c r="AN40" t="s">
        <v>1236</v>
      </c>
      <c r="AO40" t="s">
        <v>1173</v>
      </c>
      <c r="AQ40" t="s">
        <v>683</v>
      </c>
      <c r="AS40" t="s">
        <v>1277</v>
      </c>
      <c r="AT40" t="s">
        <v>682</v>
      </c>
      <c r="AV40" t="s">
        <v>1282</v>
      </c>
    </row>
    <row r="41" spans="1:49">
      <c r="A41" s="1">
        <f>HYPERLINK("https://lsnyc.legalserver.org/matter/dynamic-profile/view/1904468","19-1904468")</f>
        <v>0</v>
      </c>
      <c r="B41" t="s">
        <v>72</v>
      </c>
      <c r="C41" t="s">
        <v>1316</v>
      </c>
      <c r="D41" t="s">
        <v>264</v>
      </c>
      <c r="E41" t="s">
        <v>1460</v>
      </c>
      <c r="F41" t="s">
        <v>639</v>
      </c>
      <c r="G41" t="s">
        <v>677</v>
      </c>
      <c r="H41">
        <v>10470</v>
      </c>
      <c r="I41" t="s">
        <v>682</v>
      </c>
      <c r="K41" t="s">
        <v>733</v>
      </c>
      <c r="L41" t="s">
        <v>741</v>
      </c>
      <c r="O41">
        <v>1532.94</v>
      </c>
      <c r="P41" t="s">
        <v>749</v>
      </c>
      <c r="R41" t="s">
        <v>1601</v>
      </c>
      <c r="T41" t="s">
        <v>1693</v>
      </c>
      <c r="U41">
        <v>63</v>
      </c>
      <c r="W41" t="s">
        <v>1121</v>
      </c>
      <c r="X41">
        <v>4</v>
      </c>
      <c r="Y41">
        <v>1</v>
      </c>
      <c r="Z41">
        <v>3</v>
      </c>
      <c r="AA41">
        <v>21.06</v>
      </c>
      <c r="AD41" t="s">
        <v>1122</v>
      </c>
      <c r="AE41">
        <v>5424</v>
      </c>
      <c r="AJ41">
        <v>0</v>
      </c>
      <c r="AL41" t="s">
        <v>1229</v>
      </c>
      <c r="AM41" t="s">
        <v>1233</v>
      </c>
      <c r="AN41" t="s">
        <v>1236</v>
      </c>
      <c r="AO41" t="s">
        <v>1196</v>
      </c>
      <c r="AQ41" t="s">
        <v>683</v>
      </c>
      <c r="AS41" t="s">
        <v>1277</v>
      </c>
      <c r="AT41" t="s">
        <v>682</v>
      </c>
      <c r="AV41" t="s">
        <v>1282</v>
      </c>
    </row>
    <row r="42" spans="1:49">
      <c r="A42" s="1">
        <f>HYPERLINK("https://lsnyc.legalserver.org/matter/dynamic-profile/view/1903442","19-1903442")</f>
        <v>0</v>
      </c>
      <c r="B42" t="s">
        <v>67</v>
      </c>
      <c r="C42" t="s">
        <v>1317</v>
      </c>
      <c r="D42" t="s">
        <v>1387</v>
      </c>
      <c r="E42" t="s">
        <v>1461</v>
      </c>
      <c r="F42" t="s">
        <v>1511</v>
      </c>
      <c r="G42" t="s">
        <v>677</v>
      </c>
      <c r="H42">
        <v>10453</v>
      </c>
      <c r="I42" t="s">
        <v>683</v>
      </c>
      <c r="J42" t="s">
        <v>1542</v>
      </c>
      <c r="K42" t="s">
        <v>732</v>
      </c>
      <c r="L42" t="s">
        <v>741</v>
      </c>
      <c r="O42">
        <v>300</v>
      </c>
      <c r="R42" t="s">
        <v>1602</v>
      </c>
      <c r="T42" t="s">
        <v>1694</v>
      </c>
      <c r="U42">
        <v>80</v>
      </c>
      <c r="X42">
        <v>14</v>
      </c>
      <c r="Y42">
        <v>1</v>
      </c>
      <c r="Z42">
        <v>0</v>
      </c>
      <c r="AA42">
        <v>70.14</v>
      </c>
      <c r="AD42" t="s">
        <v>1122</v>
      </c>
      <c r="AE42">
        <v>8760</v>
      </c>
      <c r="AJ42">
        <v>2.2</v>
      </c>
      <c r="AK42" t="s">
        <v>1166</v>
      </c>
      <c r="AL42" t="s">
        <v>1216</v>
      </c>
      <c r="AN42" t="s">
        <v>1236</v>
      </c>
      <c r="AO42" t="s">
        <v>1196</v>
      </c>
      <c r="AQ42" t="s">
        <v>683</v>
      </c>
      <c r="AS42" t="s">
        <v>1277</v>
      </c>
      <c r="AV42" t="s">
        <v>1282</v>
      </c>
    </row>
    <row r="43" spans="1:49">
      <c r="A43" s="1">
        <f>HYPERLINK("https://lsnyc.legalserver.org/matter/dynamic-profile/view/1904832","19-1904832")</f>
        <v>0</v>
      </c>
      <c r="B43" t="s">
        <v>56</v>
      </c>
      <c r="C43" t="s">
        <v>1318</v>
      </c>
      <c r="D43" t="s">
        <v>327</v>
      </c>
      <c r="E43" t="s">
        <v>1462</v>
      </c>
      <c r="F43" t="s">
        <v>1512</v>
      </c>
      <c r="G43" t="s">
        <v>677</v>
      </c>
      <c r="H43">
        <v>10452</v>
      </c>
      <c r="I43" t="s">
        <v>683</v>
      </c>
      <c r="J43" t="s">
        <v>1543</v>
      </c>
      <c r="K43" t="s">
        <v>732</v>
      </c>
      <c r="L43" t="s">
        <v>741</v>
      </c>
      <c r="M43" t="s">
        <v>1562</v>
      </c>
      <c r="O43">
        <v>952</v>
      </c>
      <c r="P43" t="s">
        <v>752</v>
      </c>
      <c r="R43" t="s">
        <v>1603</v>
      </c>
      <c r="T43" t="s">
        <v>1695</v>
      </c>
      <c r="U43">
        <v>15000</v>
      </c>
      <c r="V43" t="s">
        <v>1102</v>
      </c>
      <c r="W43" t="s">
        <v>1119</v>
      </c>
      <c r="X43">
        <v>31</v>
      </c>
      <c r="Y43">
        <v>1</v>
      </c>
      <c r="Z43">
        <v>0</v>
      </c>
      <c r="AA43">
        <v>137.29</v>
      </c>
      <c r="AD43" t="s">
        <v>1122</v>
      </c>
      <c r="AE43">
        <v>17148</v>
      </c>
      <c r="AJ43">
        <v>1</v>
      </c>
      <c r="AK43" t="s">
        <v>1161</v>
      </c>
      <c r="AL43" t="s">
        <v>1221</v>
      </c>
      <c r="AN43" t="s">
        <v>1236</v>
      </c>
      <c r="AO43" t="s">
        <v>1161</v>
      </c>
      <c r="AQ43" t="s">
        <v>683</v>
      </c>
      <c r="AS43" t="s">
        <v>1277</v>
      </c>
      <c r="AT43" t="s">
        <v>684</v>
      </c>
      <c r="AV43" t="s">
        <v>1282</v>
      </c>
    </row>
    <row r="44" spans="1:49">
      <c r="A44" s="1">
        <f>HYPERLINK("https://lsnyc.legalserver.org/matter/dynamic-profile/view/1904971","19-1904971")</f>
        <v>0</v>
      </c>
      <c r="B44" t="s">
        <v>56</v>
      </c>
      <c r="C44" t="s">
        <v>166</v>
      </c>
      <c r="D44" t="s">
        <v>1388</v>
      </c>
      <c r="E44" t="s">
        <v>1463</v>
      </c>
      <c r="F44" t="s">
        <v>1513</v>
      </c>
      <c r="G44" t="s">
        <v>677</v>
      </c>
      <c r="H44">
        <v>10457</v>
      </c>
      <c r="I44" t="s">
        <v>683</v>
      </c>
      <c r="J44" t="s">
        <v>1544</v>
      </c>
      <c r="K44" t="s">
        <v>732</v>
      </c>
      <c r="L44" t="s">
        <v>741</v>
      </c>
      <c r="O44">
        <v>0</v>
      </c>
      <c r="P44" t="s">
        <v>755</v>
      </c>
      <c r="R44" t="s">
        <v>1604</v>
      </c>
      <c r="T44" t="s">
        <v>1696</v>
      </c>
      <c r="U44">
        <v>71</v>
      </c>
      <c r="W44" t="s">
        <v>1115</v>
      </c>
      <c r="X44">
        <v>39</v>
      </c>
      <c r="Y44">
        <v>1</v>
      </c>
      <c r="Z44">
        <v>0</v>
      </c>
      <c r="AA44">
        <v>74.08</v>
      </c>
      <c r="AD44" t="s">
        <v>1123</v>
      </c>
      <c r="AE44">
        <v>9252</v>
      </c>
      <c r="AJ44">
        <v>0.6</v>
      </c>
      <c r="AK44" t="s">
        <v>1207</v>
      </c>
      <c r="AL44" t="s">
        <v>1228</v>
      </c>
      <c r="AN44" t="s">
        <v>1236</v>
      </c>
      <c r="AO44" t="s">
        <v>1207</v>
      </c>
      <c r="AQ44" t="s">
        <v>683</v>
      </c>
      <c r="AS44" t="s">
        <v>1277</v>
      </c>
      <c r="AT44" t="s">
        <v>684</v>
      </c>
      <c r="AV44" t="s">
        <v>1282</v>
      </c>
    </row>
    <row r="45" spans="1:49">
      <c r="A45" s="1">
        <f>HYPERLINK("https://lsnyc.legalserver.org/matter/dynamic-profile/view/1898492","19-1898492")</f>
        <v>0</v>
      </c>
      <c r="B45" t="s">
        <v>76</v>
      </c>
      <c r="C45" t="s">
        <v>1319</v>
      </c>
      <c r="D45" t="s">
        <v>1389</v>
      </c>
      <c r="E45" t="s">
        <v>1464</v>
      </c>
      <c r="F45" t="s">
        <v>1514</v>
      </c>
      <c r="G45" t="s">
        <v>677</v>
      </c>
      <c r="H45">
        <v>10455</v>
      </c>
      <c r="I45" t="s">
        <v>682</v>
      </c>
      <c r="L45" t="s">
        <v>741</v>
      </c>
      <c r="O45">
        <v>1515</v>
      </c>
      <c r="P45" t="s">
        <v>752</v>
      </c>
      <c r="R45" t="s">
        <v>1605</v>
      </c>
      <c r="T45" t="s">
        <v>1697</v>
      </c>
      <c r="U45">
        <v>49</v>
      </c>
      <c r="V45" t="s">
        <v>1102</v>
      </c>
      <c r="X45">
        <v>3</v>
      </c>
      <c r="Y45">
        <v>1</v>
      </c>
      <c r="Z45">
        <v>2</v>
      </c>
      <c r="AA45">
        <v>11.7</v>
      </c>
      <c r="AD45" t="s">
        <v>1122</v>
      </c>
      <c r="AE45">
        <v>2496</v>
      </c>
      <c r="AJ45">
        <v>75.65000000000001</v>
      </c>
      <c r="AK45" t="s">
        <v>1160</v>
      </c>
      <c r="AN45" t="s">
        <v>1236</v>
      </c>
      <c r="AO45" t="s">
        <v>1245</v>
      </c>
      <c r="AQ45" t="s">
        <v>682</v>
      </c>
      <c r="AS45" t="s">
        <v>1277</v>
      </c>
      <c r="AT45" t="s">
        <v>682</v>
      </c>
      <c r="AV45" t="s">
        <v>1282</v>
      </c>
    </row>
    <row r="46" spans="1:49">
      <c r="A46" s="1">
        <f>HYPERLINK("https://lsnyc.legalserver.org/matter/dynamic-profile/view/1904758","19-1904758")</f>
        <v>0</v>
      </c>
      <c r="B46" t="s">
        <v>82</v>
      </c>
      <c r="C46" t="s">
        <v>1320</v>
      </c>
      <c r="D46" t="s">
        <v>1390</v>
      </c>
      <c r="E46" t="s">
        <v>1465</v>
      </c>
      <c r="F46" t="s">
        <v>1515</v>
      </c>
      <c r="G46" t="s">
        <v>677</v>
      </c>
      <c r="H46">
        <v>10474</v>
      </c>
      <c r="I46" t="s">
        <v>682</v>
      </c>
      <c r="K46" t="s">
        <v>730</v>
      </c>
      <c r="L46" t="s">
        <v>1560</v>
      </c>
      <c r="M46" t="s">
        <v>744</v>
      </c>
      <c r="O46">
        <v>912.41</v>
      </c>
      <c r="P46" t="s">
        <v>752</v>
      </c>
      <c r="R46" t="s">
        <v>1606</v>
      </c>
      <c r="U46">
        <v>60</v>
      </c>
      <c r="V46" t="s">
        <v>1102</v>
      </c>
      <c r="W46" t="s">
        <v>1116</v>
      </c>
      <c r="X46">
        <v>15</v>
      </c>
      <c r="Y46">
        <v>3</v>
      </c>
      <c r="Z46">
        <v>0</v>
      </c>
      <c r="AA46">
        <v>0</v>
      </c>
      <c r="AD46" t="s">
        <v>1123</v>
      </c>
      <c r="AE46">
        <v>0</v>
      </c>
      <c r="AJ46">
        <v>2.5</v>
      </c>
      <c r="AK46" t="s">
        <v>1162</v>
      </c>
      <c r="AL46" t="s">
        <v>82</v>
      </c>
      <c r="AM46" t="s">
        <v>1233</v>
      </c>
      <c r="AN46" t="s">
        <v>1236</v>
      </c>
      <c r="AO46" t="s">
        <v>1173</v>
      </c>
      <c r="AQ46" t="s">
        <v>683</v>
      </c>
      <c r="AS46" t="s">
        <v>1277</v>
      </c>
      <c r="AT46" t="s">
        <v>684</v>
      </c>
      <c r="AV46" t="s">
        <v>1282</v>
      </c>
    </row>
    <row r="47" spans="1:49">
      <c r="A47" s="1">
        <f>HYPERLINK("https://lsnyc.legalserver.org/matter/dynamic-profile/view/1898235","19-1898235")</f>
        <v>0</v>
      </c>
      <c r="B47" t="s">
        <v>78</v>
      </c>
      <c r="C47" t="s">
        <v>1321</v>
      </c>
      <c r="D47" t="s">
        <v>1391</v>
      </c>
      <c r="E47" t="s">
        <v>1466</v>
      </c>
      <c r="F47" t="s">
        <v>1516</v>
      </c>
      <c r="G47" t="s">
        <v>677</v>
      </c>
      <c r="H47">
        <v>10467</v>
      </c>
      <c r="I47" t="s">
        <v>682</v>
      </c>
      <c r="K47" t="s">
        <v>736</v>
      </c>
      <c r="L47" t="s">
        <v>1560</v>
      </c>
      <c r="O47">
        <v>752</v>
      </c>
      <c r="P47" t="s">
        <v>752</v>
      </c>
      <c r="R47" t="s">
        <v>1607</v>
      </c>
      <c r="T47" t="s">
        <v>1698</v>
      </c>
      <c r="U47">
        <v>59</v>
      </c>
      <c r="V47" t="s">
        <v>1102</v>
      </c>
      <c r="W47" t="s">
        <v>1116</v>
      </c>
      <c r="X47">
        <v>19</v>
      </c>
      <c r="Y47">
        <v>1</v>
      </c>
      <c r="Z47">
        <v>0</v>
      </c>
      <c r="AA47">
        <v>340.27</v>
      </c>
      <c r="AD47" t="s">
        <v>1122</v>
      </c>
      <c r="AE47">
        <v>42500</v>
      </c>
      <c r="AJ47">
        <v>0</v>
      </c>
      <c r="AL47" t="s">
        <v>1225</v>
      </c>
      <c r="AN47" t="s">
        <v>1236</v>
      </c>
      <c r="AO47" t="s">
        <v>1181</v>
      </c>
      <c r="AQ47" t="s">
        <v>682</v>
      </c>
      <c r="AS47" t="s">
        <v>1277</v>
      </c>
      <c r="AT47" t="s">
        <v>682</v>
      </c>
      <c r="AV47" t="s">
        <v>1282</v>
      </c>
    </row>
    <row r="48" spans="1:49">
      <c r="A48" s="1">
        <f>HYPERLINK("https://lsnyc.legalserver.org/matter/dynamic-profile/view/1899279","19-1899279")</f>
        <v>0</v>
      </c>
      <c r="B48" t="s">
        <v>72</v>
      </c>
      <c r="C48" t="s">
        <v>1322</v>
      </c>
      <c r="D48" t="s">
        <v>1392</v>
      </c>
      <c r="E48" t="s">
        <v>1467</v>
      </c>
      <c r="F48" t="s">
        <v>620</v>
      </c>
      <c r="G48" t="s">
        <v>677</v>
      </c>
      <c r="H48">
        <v>10453</v>
      </c>
      <c r="I48" t="s">
        <v>683</v>
      </c>
      <c r="L48" t="s">
        <v>1560</v>
      </c>
      <c r="O48">
        <v>0</v>
      </c>
      <c r="R48" t="s">
        <v>1608</v>
      </c>
      <c r="T48" t="s">
        <v>1699</v>
      </c>
      <c r="U48">
        <v>0</v>
      </c>
      <c r="X48">
        <v>0</v>
      </c>
      <c r="Y48">
        <v>1</v>
      </c>
      <c r="Z48">
        <v>0</v>
      </c>
      <c r="AA48">
        <v>11.53</v>
      </c>
      <c r="AD48" t="s">
        <v>1123</v>
      </c>
      <c r="AE48">
        <v>1440</v>
      </c>
      <c r="AJ48">
        <v>0.6</v>
      </c>
      <c r="AK48" t="s">
        <v>1158</v>
      </c>
      <c r="AL48" t="s">
        <v>72</v>
      </c>
      <c r="AN48" t="s">
        <v>1236</v>
      </c>
      <c r="AO48" t="s">
        <v>1745</v>
      </c>
      <c r="AQ48" t="s">
        <v>683</v>
      </c>
      <c r="AS48" t="s">
        <v>1277</v>
      </c>
      <c r="AV48" t="s">
        <v>1281</v>
      </c>
    </row>
    <row r="49" spans="1:48">
      <c r="A49" s="1">
        <f>HYPERLINK("https://lsnyc.legalserver.org/matter/dynamic-profile/view/1892218","19-1892218")</f>
        <v>0</v>
      </c>
      <c r="B49" t="s">
        <v>82</v>
      </c>
      <c r="C49" t="s">
        <v>1323</v>
      </c>
      <c r="D49" t="s">
        <v>1393</v>
      </c>
      <c r="E49" t="s">
        <v>1468</v>
      </c>
      <c r="F49" t="s">
        <v>1517</v>
      </c>
      <c r="G49" t="s">
        <v>677</v>
      </c>
      <c r="H49">
        <v>10461</v>
      </c>
      <c r="I49" t="s">
        <v>683</v>
      </c>
      <c r="L49" t="s">
        <v>1560</v>
      </c>
      <c r="O49">
        <v>0</v>
      </c>
      <c r="R49" t="s">
        <v>1609</v>
      </c>
      <c r="T49" t="s">
        <v>1700</v>
      </c>
      <c r="U49">
        <v>0</v>
      </c>
      <c r="X49">
        <v>0</v>
      </c>
      <c r="Y49">
        <v>1</v>
      </c>
      <c r="Z49">
        <v>0</v>
      </c>
      <c r="AA49">
        <v>161.73</v>
      </c>
      <c r="AD49" t="s">
        <v>1123</v>
      </c>
      <c r="AE49">
        <v>20200</v>
      </c>
      <c r="AJ49">
        <v>13.65</v>
      </c>
      <c r="AK49" t="s">
        <v>1166</v>
      </c>
      <c r="AL49" t="s">
        <v>1225</v>
      </c>
      <c r="AN49" t="s">
        <v>1236</v>
      </c>
      <c r="AO49" t="s">
        <v>1208</v>
      </c>
      <c r="AQ49" t="s">
        <v>683</v>
      </c>
      <c r="AS49" t="s">
        <v>1277</v>
      </c>
      <c r="AV49" t="s">
        <v>1748</v>
      </c>
    </row>
    <row r="50" spans="1:48">
      <c r="A50" s="1">
        <f>HYPERLINK("https://lsnyc.legalserver.org/matter/dynamic-profile/view/1906107","19-1906107")</f>
        <v>0</v>
      </c>
      <c r="B50" t="s">
        <v>78</v>
      </c>
      <c r="C50" t="s">
        <v>239</v>
      </c>
      <c r="D50" t="s">
        <v>1394</v>
      </c>
      <c r="E50" t="s">
        <v>1469</v>
      </c>
      <c r="F50" t="s">
        <v>1518</v>
      </c>
      <c r="G50" t="s">
        <v>677</v>
      </c>
      <c r="H50">
        <v>10458</v>
      </c>
      <c r="I50" t="s">
        <v>682</v>
      </c>
      <c r="L50" t="s">
        <v>1560</v>
      </c>
      <c r="O50">
        <v>1091.27</v>
      </c>
      <c r="P50" t="s">
        <v>749</v>
      </c>
      <c r="R50" t="s">
        <v>1610</v>
      </c>
      <c r="U50">
        <v>0</v>
      </c>
      <c r="X50">
        <v>0</v>
      </c>
      <c r="Y50">
        <v>4</v>
      </c>
      <c r="Z50">
        <v>0</v>
      </c>
      <c r="AA50">
        <v>123.5</v>
      </c>
      <c r="AD50" t="s">
        <v>1122</v>
      </c>
      <c r="AE50">
        <v>31800</v>
      </c>
      <c r="AJ50">
        <v>0.9</v>
      </c>
      <c r="AK50" t="s">
        <v>1206</v>
      </c>
      <c r="AL50" t="s">
        <v>78</v>
      </c>
      <c r="AM50" t="s">
        <v>1233</v>
      </c>
      <c r="AN50" t="s">
        <v>1236</v>
      </c>
      <c r="AO50" t="s">
        <v>1206</v>
      </c>
      <c r="AQ50" t="s">
        <v>683</v>
      </c>
      <c r="AS50" t="s">
        <v>1277</v>
      </c>
      <c r="AT50" t="s">
        <v>684</v>
      </c>
      <c r="AV50" t="s">
        <v>1282</v>
      </c>
    </row>
    <row r="51" spans="1:48">
      <c r="A51" s="1">
        <f>HYPERLINK("https://lsnyc.legalserver.org/matter/dynamic-profile/view/1905201","19-1905201")</f>
        <v>0</v>
      </c>
      <c r="B51" t="s">
        <v>76</v>
      </c>
      <c r="C51" t="s">
        <v>112</v>
      </c>
      <c r="D51" t="s">
        <v>1395</v>
      </c>
      <c r="E51" t="s">
        <v>1470</v>
      </c>
      <c r="F51" t="s">
        <v>601</v>
      </c>
      <c r="G51" t="s">
        <v>677</v>
      </c>
      <c r="H51">
        <v>10453</v>
      </c>
      <c r="I51" t="s">
        <v>682</v>
      </c>
      <c r="J51" t="s">
        <v>1545</v>
      </c>
      <c r="K51" t="s">
        <v>734</v>
      </c>
      <c r="L51" t="s">
        <v>1561</v>
      </c>
      <c r="N51" t="s">
        <v>1563</v>
      </c>
      <c r="O51">
        <v>880.27</v>
      </c>
      <c r="P51" t="s">
        <v>749</v>
      </c>
      <c r="R51" t="s">
        <v>1611</v>
      </c>
      <c r="T51" t="s">
        <v>1701</v>
      </c>
      <c r="U51">
        <v>170</v>
      </c>
      <c r="V51" t="s">
        <v>1102</v>
      </c>
      <c r="W51" t="s">
        <v>1116</v>
      </c>
      <c r="X51">
        <v>20</v>
      </c>
      <c r="Y51">
        <v>2</v>
      </c>
      <c r="Z51">
        <v>4</v>
      </c>
      <c r="AA51">
        <v>99.43000000000001</v>
      </c>
      <c r="AD51" t="s">
        <v>1122</v>
      </c>
      <c r="AE51">
        <v>34392</v>
      </c>
      <c r="AJ51">
        <v>0</v>
      </c>
      <c r="AL51" t="s">
        <v>1225</v>
      </c>
      <c r="AM51" t="s">
        <v>1233</v>
      </c>
      <c r="AN51" t="s">
        <v>1236</v>
      </c>
      <c r="AO51" t="s">
        <v>1166</v>
      </c>
      <c r="AQ51" t="s">
        <v>683</v>
      </c>
      <c r="AS51" t="s">
        <v>1277</v>
      </c>
      <c r="AT51" t="s">
        <v>682</v>
      </c>
      <c r="AV51" t="s">
        <v>1282</v>
      </c>
    </row>
    <row r="52" spans="1:48">
      <c r="A52" s="1">
        <f>HYPERLINK("https://lsnyc.legalserver.org/matter/dynamic-profile/view/1905134","19-1905134")</f>
        <v>0</v>
      </c>
      <c r="B52" t="s">
        <v>76</v>
      </c>
      <c r="C52" t="s">
        <v>1324</v>
      </c>
      <c r="D52" t="s">
        <v>323</v>
      </c>
      <c r="E52" t="s">
        <v>1464</v>
      </c>
      <c r="F52" t="s">
        <v>1519</v>
      </c>
      <c r="G52" t="s">
        <v>677</v>
      </c>
      <c r="H52">
        <v>10455</v>
      </c>
      <c r="I52" t="s">
        <v>682</v>
      </c>
      <c r="K52" t="s">
        <v>734</v>
      </c>
      <c r="L52" t="s">
        <v>1561</v>
      </c>
      <c r="O52">
        <v>1779</v>
      </c>
      <c r="P52" t="s">
        <v>752</v>
      </c>
      <c r="R52" t="s">
        <v>1612</v>
      </c>
      <c r="T52" t="s">
        <v>1702</v>
      </c>
      <c r="U52">
        <v>99</v>
      </c>
      <c r="V52" t="s">
        <v>1102</v>
      </c>
      <c r="W52" t="s">
        <v>1121</v>
      </c>
      <c r="X52">
        <v>2</v>
      </c>
      <c r="Y52">
        <v>1</v>
      </c>
      <c r="Z52">
        <v>4</v>
      </c>
      <c r="AA52">
        <v>120.65</v>
      </c>
      <c r="AD52" t="s">
        <v>1122</v>
      </c>
      <c r="AE52">
        <v>36400</v>
      </c>
      <c r="AJ52">
        <v>0</v>
      </c>
      <c r="AL52" t="s">
        <v>1231</v>
      </c>
      <c r="AN52" t="s">
        <v>1236</v>
      </c>
      <c r="AO52" t="s">
        <v>1162</v>
      </c>
      <c r="AQ52" t="s">
        <v>683</v>
      </c>
      <c r="AS52" t="s">
        <v>1277</v>
      </c>
      <c r="AT52" t="s">
        <v>682</v>
      </c>
      <c r="AV52" t="s">
        <v>1282</v>
      </c>
    </row>
    <row r="53" spans="1:48">
      <c r="A53" s="1">
        <f>HYPERLINK("https://lsnyc.legalserver.org/matter/dynamic-profile/view/1905034","19-1905034")</f>
        <v>0</v>
      </c>
      <c r="B53" t="s">
        <v>76</v>
      </c>
      <c r="C53" t="s">
        <v>1325</v>
      </c>
      <c r="D53" t="s">
        <v>1396</v>
      </c>
      <c r="E53" t="s">
        <v>1470</v>
      </c>
      <c r="F53" t="s">
        <v>1520</v>
      </c>
      <c r="G53" t="s">
        <v>677</v>
      </c>
      <c r="H53">
        <v>10453</v>
      </c>
      <c r="I53" t="s">
        <v>682</v>
      </c>
      <c r="J53" t="s">
        <v>1546</v>
      </c>
      <c r="K53" t="s">
        <v>734</v>
      </c>
      <c r="L53" t="s">
        <v>1561</v>
      </c>
      <c r="N53" t="s">
        <v>1563</v>
      </c>
      <c r="O53">
        <v>1091</v>
      </c>
      <c r="P53" t="s">
        <v>749</v>
      </c>
      <c r="R53" t="s">
        <v>1613</v>
      </c>
      <c r="T53" t="s">
        <v>1703</v>
      </c>
      <c r="U53">
        <v>167</v>
      </c>
      <c r="V53" t="s">
        <v>1102</v>
      </c>
      <c r="W53" t="s">
        <v>1120</v>
      </c>
      <c r="X53">
        <v>12</v>
      </c>
      <c r="Y53">
        <v>1</v>
      </c>
      <c r="Z53">
        <v>2</v>
      </c>
      <c r="AA53">
        <v>41.63</v>
      </c>
      <c r="AD53" t="s">
        <v>1123</v>
      </c>
      <c r="AE53">
        <v>8880</v>
      </c>
      <c r="AJ53">
        <v>0</v>
      </c>
      <c r="AL53" t="s">
        <v>1229</v>
      </c>
      <c r="AM53" t="s">
        <v>1233</v>
      </c>
      <c r="AN53" t="s">
        <v>1236</v>
      </c>
      <c r="AO53" t="s">
        <v>1162</v>
      </c>
      <c r="AQ53" t="s">
        <v>683</v>
      </c>
      <c r="AS53" t="s">
        <v>1277</v>
      </c>
      <c r="AT53" t="s">
        <v>682</v>
      </c>
      <c r="AV53" t="s">
        <v>1282</v>
      </c>
    </row>
    <row r="54" spans="1:48">
      <c r="A54" s="1">
        <f>HYPERLINK("https://lsnyc.legalserver.org/matter/dynamic-profile/view/1905112","19-1905112")</f>
        <v>0</v>
      </c>
      <c r="B54" t="s">
        <v>76</v>
      </c>
      <c r="C54" t="s">
        <v>1319</v>
      </c>
      <c r="D54" t="s">
        <v>1389</v>
      </c>
      <c r="E54" t="s">
        <v>1464</v>
      </c>
      <c r="F54" t="s">
        <v>1514</v>
      </c>
      <c r="G54" t="s">
        <v>677</v>
      </c>
      <c r="H54">
        <v>10455</v>
      </c>
      <c r="I54" t="s">
        <v>682</v>
      </c>
      <c r="K54" t="s">
        <v>734</v>
      </c>
      <c r="L54" t="s">
        <v>1561</v>
      </c>
      <c r="O54">
        <v>1515</v>
      </c>
      <c r="P54" t="s">
        <v>752</v>
      </c>
      <c r="R54" t="s">
        <v>1605</v>
      </c>
      <c r="T54" t="s">
        <v>1697</v>
      </c>
      <c r="U54">
        <v>49</v>
      </c>
      <c r="V54" t="s">
        <v>1102</v>
      </c>
      <c r="W54" t="s">
        <v>1116</v>
      </c>
      <c r="X54">
        <v>3</v>
      </c>
      <c r="Y54">
        <v>1</v>
      </c>
      <c r="Z54">
        <v>2</v>
      </c>
      <c r="AA54">
        <v>11.7</v>
      </c>
      <c r="AD54" t="s">
        <v>1122</v>
      </c>
      <c r="AE54">
        <v>2496</v>
      </c>
      <c r="AJ54">
        <v>0</v>
      </c>
      <c r="AL54" t="s">
        <v>1231</v>
      </c>
      <c r="AN54" t="s">
        <v>1236</v>
      </c>
      <c r="AO54" t="s">
        <v>1162</v>
      </c>
      <c r="AQ54" t="s">
        <v>683</v>
      </c>
      <c r="AS54" t="s">
        <v>1277</v>
      </c>
      <c r="AT54" t="s">
        <v>682</v>
      </c>
      <c r="AV54" t="s">
        <v>1282</v>
      </c>
    </row>
    <row r="55" spans="1:48">
      <c r="A55" s="1">
        <f>HYPERLINK("https://lsnyc.legalserver.org/matter/dynamic-profile/view/1904334","19-1904334")</f>
        <v>0</v>
      </c>
      <c r="B55" t="s">
        <v>76</v>
      </c>
      <c r="C55" t="s">
        <v>1319</v>
      </c>
      <c r="D55" t="s">
        <v>1389</v>
      </c>
      <c r="E55" t="s">
        <v>1464</v>
      </c>
      <c r="F55" t="s">
        <v>1514</v>
      </c>
      <c r="G55" t="s">
        <v>677</v>
      </c>
      <c r="H55">
        <v>10455</v>
      </c>
      <c r="I55" t="s">
        <v>682</v>
      </c>
      <c r="K55" t="s">
        <v>734</v>
      </c>
      <c r="L55" t="s">
        <v>1561</v>
      </c>
      <c r="O55">
        <v>600</v>
      </c>
      <c r="P55" t="s">
        <v>752</v>
      </c>
      <c r="R55" t="s">
        <v>1605</v>
      </c>
      <c r="T55" t="s">
        <v>1697</v>
      </c>
      <c r="U55">
        <v>49</v>
      </c>
      <c r="V55" t="s">
        <v>1102</v>
      </c>
      <c r="W55" t="s">
        <v>1120</v>
      </c>
      <c r="X55">
        <v>4</v>
      </c>
      <c r="Y55">
        <v>1</v>
      </c>
      <c r="Z55">
        <v>2</v>
      </c>
      <c r="AA55">
        <v>11.7</v>
      </c>
      <c r="AD55" t="s">
        <v>1122</v>
      </c>
      <c r="AE55">
        <v>2496</v>
      </c>
      <c r="AJ55">
        <v>7</v>
      </c>
      <c r="AK55" t="s">
        <v>1166</v>
      </c>
      <c r="AL55" t="s">
        <v>60</v>
      </c>
      <c r="AM55" t="s">
        <v>1233</v>
      </c>
      <c r="AN55" t="s">
        <v>1236</v>
      </c>
      <c r="AO55" t="s">
        <v>1198</v>
      </c>
      <c r="AQ55" t="s">
        <v>683</v>
      </c>
      <c r="AS55" t="s">
        <v>1277</v>
      </c>
      <c r="AT55" t="s">
        <v>684</v>
      </c>
      <c r="AV55" t="s">
        <v>1282</v>
      </c>
    </row>
    <row r="56" spans="1:48">
      <c r="A56" s="1">
        <f>HYPERLINK("https://lsnyc.legalserver.org/matter/dynamic-profile/view/1904906","19-1904906")</f>
        <v>0</v>
      </c>
      <c r="B56" t="s">
        <v>76</v>
      </c>
      <c r="C56" t="s">
        <v>1326</v>
      </c>
      <c r="D56" t="s">
        <v>1397</v>
      </c>
      <c r="E56" t="s">
        <v>1470</v>
      </c>
      <c r="F56" t="s">
        <v>1521</v>
      </c>
      <c r="G56" t="s">
        <v>677</v>
      </c>
      <c r="H56">
        <v>10453</v>
      </c>
      <c r="I56" t="s">
        <v>682</v>
      </c>
      <c r="J56" t="s">
        <v>1546</v>
      </c>
      <c r="K56" t="s">
        <v>734</v>
      </c>
      <c r="L56" t="s">
        <v>1561</v>
      </c>
      <c r="N56" t="s">
        <v>1563</v>
      </c>
      <c r="O56">
        <v>1172</v>
      </c>
      <c r="P56" t="s">
        <v>749</v>
      </c>
      <c r="R56" t="s">
        <v>1614</v>
      </c>
      <c r="T56" t="s">
        <v>1704</v>
      </c>
      <c r="U56">
        <v>167</v>
      </c>
      <c r="V56" t="s">
        <v>1102</v>
      </c>
      <c r="W56" t="s">
        <v>1120</v>
      </c>
      <c r="X56">
        <v>16</v>
      </c>
      <c r="Y56">
        <v>2</v>
      </c>
      <c r="Z56">
        <v>3</v>
      </c>
      <c r="AA56">
        <v>51.26</v>
      </c>
      <c r="AD56" t="s">
        <v>1123</v>
      </c>
      <c r="AE56">
        <v>15080</v>
      </c>
      <c r="AJ56">
        <v>0</v>
      </c>
      <c r="AL56" t="s">
        <v>1231</v>
      </c>
      <c r="AM56" t="s">
        <v>1233</v>
      </c>
      <c r="AN56" t="s">
        <v>1236</v>
      </c>
      <c r="AO56" t="s">
        <v>1207</v>
      </c>
      <c r="AQ56" t="s">
        <v>683</v>
      </c>
      <c r="AS56" t="s">
        <v>1277</v>
      </c>
      <c r="AT56" t="s">
        <v>682</v>
      </c>
      <c r="AV56" t="s">
        <v>1282</v>
      </c>
    </row>
    <row r="57" spans="1:48">
      <c r="A57" s="1">
        <f>HYPERLINK("https://lsnyc.legalserver.org/matter/dynamic-profile/view/1904342","19-1904342")</f>
        <v>0</v>
      </c>
      <c r="B57" t="s">
        <v>76</v>
      </c>
      <c r="C57" t="s">
        <v>1327</v>
      </c>
      <c r="D57" t="s">
        <v>1398</v>
      </c>
      <c r="E57" t="s">
        <v>1464</v>
      </c>
      <c r="F57" t="s">
        <v>1522</v>
      </c>
      <c r="G57" t="s">
        <v>677</v>
      </c>
      <c r="H57">
        <v>10455</v>
      </c>
      <c r="I57" t="s">
        <v>682</v>
      </c>
      <c r="K57" t="s">
        <v>734</v>
      </c>
      <c r="L57" t="s">
        <v>1561</v>
      </c>
      <c r="O57">
        <v>1500</v>
      </c>
      <c r="P57" t="s">
        <v>754</v>
      </c>
      <c r="R57" t="s">
        <v>1615</v>
      </c>
      <c r="T57" t="s">
        <v>1705</v>
      </c>
      <c r="U57">
        <v>49</v>
      </c>
      <c r="V57" t="s">
        <v>1102</v>
      </c>
      <c r="W57" t="s">
        <v>1116</v>
      </c>
      <c r="X57">
        <v>4</v>
      </c>
      <c r="Y57">
        <v>2</v>
      </c>
      <c r="Z57">
        <v>0</v>
      </c>
      <c r="AA57">
        <v>0</v>
      </c>
      <c r="AD57" t="s">
        <v>1123</v>
      </c>
      <c r="AE57">
        <v>0</v>
      </c>
      <c r="AJ57">
        <v>1.5</v>
      </c>
      <c r="AK57" t="s">
        <v>1198</v>
      </c>
      <c r="AL57" t="s">
        <v>60</v>
      </c>
      <c r="AM57" t="s">
        <v>1233</v>
      </c>
      <c r="AN57" t="s">
        <v>1236</v>
      </c>
      <c r="AO57" t="s">
        <v>1198</v>
      </c>
      <c r="AQ57" t="s">
        <v>683</v>
      </c>
      <c r="AS57" t="s">
        <v>1277</v>
      </c>
      <c r="AV57" t="s">
        <v>1282</v>
      </c>
    </row>
    <row r="58" spans="1:48">
      <c r="A58" s="1">
        <f>HYPERLINK("https://lsnyc.legalserver.org/matter/dynamic-profile/view/1905147","19-1905147")</f>
        <v>0</v>
      </c>
      <c r="B58" t="s">
        <v>76</v>
      </c>
      <c r="C58" t="s">
        <v>1327</v>
      </c>
      <c r="D58" t="s">
        <v>1398</v>
      </c>
      <c r="E58" t="s">
        <v>1464</v>
      </c>
      <c r="F58" t="s">
        <v>1522</v>
      </c>
      <c r="G58" t="s">
        <v>677</v>
      </c>
      <c r="H58">
        <v>10455</v>
      </c>
      <c r="I58" t="s">
        <v>682</v>
      </c>
      <c r="K58" t="s">
        <v>734</v>
      </c>
      <c r="L58" t="s">
        <v>1561</v>
      </c>
      <c r="O58">
        <v>1421</v>
      </c>
      <c r="P58" t="s">
        <v>752</v>
      </c>
      <c r="R58" t="s">
        <v>1615</v>
      </c>
      <c r="T58" t="s">
        <v>1705</v>
      </c>
      <c r="U58">
        <v>49</v>
      </c>
      <c r="V58" t="s">
        <v>1102</v>
      </c>
      <c r="W58" t="s">
        <v>1116</v>
      </c>
      <c r="X58">
        <v>5</v>
      </c>
      <c r="Y58">
        <v>2</v>
      </c>
      <c r="Z58">
        <v>0</v>
      </c>
      <c r="AA58">
        <v>0</v>
      </c>
      <c r="AD58" t="s">
        <v>1123</v>
      </c>
      <c r="AE58">
        <v>0</v>
      </c>
      <c r="AJ58">
        <v>0</v>
      </c>
      <c r="AL58" t="s">
        <v>1231</v>
      </c>
      <c r="AN58" t="s">
        <v>1236</v>
      </c>
      <c r="AO58" t="s">
        <v>1162</v>
      </c>
      <c r="AQ58" t="s">
        <v>683</v>
      </c>
      <c r="AS58" t="s">
        <v>1277</v>
      </c>
      <c r="AT58" t="s">
        <v>682</v>
      </c>
      <c r="AV58" t="s">
        <v>1282</v>
      </c>
    </row>
    <row r="59" spans="1:48">
      <c r="A59" s="1">
        <f>HYPERLINK("https://lsnyc.legalserver.org/matter/dynamic-profile/view/1904754","19-1904754")</f>
        <v>0</v>
      </c>
      <c r="B59" t="s">
        <v>80</v>
      </c>
      <c r="C59" t="s">
        <v>1328</v>
      </c>
      <c r="D59" t="s">
        <v>1388</v>
      </c>
      <c r="E59" t="s">
        <v>1471</v>
      </c>
      <c r="F59" t="s">
        <v>641</v>
      </c>
      <c r="G59" t="s">
        <v>677</v>
      </c>
      <c r="H59">
        <v>10456</v>
      </c>
      <c r="I59" t="s">
        <v>682</v>
      </c>
      <c r="K59" t="s">
        <v>734</v>
      </c>
      <c r="L59" t="s">
        <v>1561</v>
      </c>
      <c r="O59">
        <v>380.89</v>
      </c>
      <c r="P59" t="s">
        <v>747</v>
      </c>
      <c r="R59" t="s">
        <v>1616</v>
      </c>
      <c r="S59" t="s">
        <v>1662</v>
      </c>
      <c r="T59" t="s">
        <v>1706</v>
      </c>
      <c r="U59">
        <v>17</v>
      </c>
      <c r="V59" t="s">
        <v>1103</v>
      </c>
      <c r="W59" t="s">
        <v>1117</v>
      </c>
      <c r="X59">
        <v>50</v>
      </c>
      <c r="Y59">
        <v>3</v>
      </c>
      <c r="Z59">
        <v>0</v>
      </c>
      <c r="AA59">
        <v>43.38</v>
      </c>
      <c r="AD59" t="s">
        <v>1123</v>
      </c>
      <c r="AE59">
        <v>9252</v>
      </c>
      <c r="AJ59">
        <v>0.5</v>
      </c>
      <c r="AK59" t="s">
        <v>1173</v>
      </c>
      <c r="AL59" t="s">
        <v>1284</v>
      </c>
      <c r="AM59" t="s">
        <v>1233</v>
      </c>
      <c r="AN59" t="s">
        <v>1236</v>
      </c>
      <c r="AO59" t="s">
        <v>1173</v>
      </c>
      <c r="AQ59" t="s">
        <v>683</v>
      </c>
      <c r="AS59" t="s">
        <v>1277</v>
      </c>
      <c r="AT59" t="s">
        <v>682</v>
      </c>
      <c r="AV59" t="s">
        <v>1282</v>
      </c>
    </row>
    <row r="60" spans="1:48">
      <c r="A60" s="1">
        <f>HYPERLINK("https://lsnyc.legalserver.org/matter/dynamic-profile/view/1905957","19-1905957")</f>
        <v>0</v>
      </c>
      <c r="B60" t="s">
        <v>1284</v>
      </c>
      <c r="C60" t="s">
        <v>1329</v>
      </c>
      <c r="D60" t="s">
        <v>1399</v>
      </c>
      <c r="E60" t="s">
        <v>1472</v>
      </c>
      <c r="F60" t="s">
        <v>632</v>
      </c>
      <c r="G60" t="s">
        <v>677</v>
      </c>
      <c r="H60">
        <v>10452</v>
      </c>
      <c r="I60" t="s">
        <v>682</v>
      </c>
      <c r="K60" t="s">
        <v>734</v>
      </c>
      <c r="L60" t="s">
        <v>1561</v>
      </c>
      <c r="O60">
        <v>1728.15</v>
      </c>
      <c r="P60" t="s">
        <v>749</v>
      </c>
      <c r="R60" t="s">
        <v>1617</v>
      </c>
      <c r="T60" t="s">
        <v>1707</v>
      </c>
      <c r="U60">
        <v>52</v>
      </c>
      <c r="V60" t="s">
        <v>1102</v>
      </c>
      <c r="W60" t="s">
        <v>1116</v>
      </c>
      <c r="X60">
        <v>8</v>
      </c>
      <c r="Y60">
        <v>2</v>
      </c>
      <c r="Z60">
        <v>0</v>
      </c>
      <c r="AA60">
        <v>679.74</v>
      </c>
      <c r="AD60" t="s">
        <v>1122</v>
      </c>
      <c r="AE60">
        <v>114944.72</v>
      </c>
      <c r="AJ60">
        <v>0.6</v>
      </c>
      <c r="AK60" t="s">
        <v>1211</v>
      </c>
      <c r="AL60" t="s">
        <v>1284</v>
      </c>
      <c r="AM60" t="s">
        <v>1233</v>
      </c>
      <c r="AN60" t="s">
        <v>1236</v>
      </c>
      <c r="AO60" t="s">
        <v>1211</v>
      </c>
      <c r="AQ60" t="s">
        <v>683</v>
      </c>
      <c r="AS60" t="s">
        <v>1277</v>
      </c>
      <c r="AT60" t="s">
        <v>682</v>
      </c>
      <c r="AV60" t="s">
        <v>1282</v>
      </c>
    </row>
    <row r="61" spans="1:48">
      <c r="A61" s="1">
        <f>HYPERLINK("https://lsnyc.legalserver.org/matter/dynamic-profile/view/1905123","19-1905123")</f>
        <v>0</v>
      </c>
      <c r="B61" t="s">
        <v>76</v>
      </c>
      <c r="C61" t="s">
        <v>1289</v>
      </c>
      <c r="D61" t="s">
        <v>1400</v>
      </c>
      <c r="E61" t="s">
        <v>1464</v>
      </c>
      <c r="F61" t="s">
        <v>1523</v>
      </c>
      <c r="G61" t="s">
        <v>677</v>
      </c>
      <c r="H61">
        <v>10455</v>
      </c>
      <c r="I61" t="s">
        <v>682</v>
      </c>
      <c r="K61" t="s">
        <v>734</v>
      </c>
      <c r="L61" t="s">
        <v>1561</v>
      </c>
      <c r="O61">
        <v>1534</v>
      </c>
      <c r="P61" t="s">
        <v>752</v>
      </c>
      <c r="R61" t="s">
        <v>1618</v>
      </c>
      <c r="T61" t="s">
        <v>1708</v>
      </c>
      <c r="U61">
        <v>99</v>
      </c>
      <c r="V61" t="s">
        <v>1102</v>
      </c>
      <c r="W61" t="s">
        <v>1121</v>
      </c>
      <c r="X61">
        <v>1</v>
      </c>
      <c r="Y61">
        <v>1</v>
      </c>
      <c r="Z61">
        <v>3</v>
      </c>
      <c r="AA61">
        <v>18.92</v>
      </c>
      <c r="AD61" t="s">
        <v>1122</v>
      </c>
      <c r="AE61">
        <v>4870.8</v>
      </c>
      <c r="AJ61">
        <v>0</v>
      </c>
      <c r="AL61" t="s">
        <v>1231</v>
      </c>
      <c r="AN61" t="s">
        <v>1236</v>
      </c>
      <c r="AO61" t="s">
        <v>1162</v>
      </c>
      <c r="AQ61" t="s">
        <v>683</v>
      </c>
      <c r="AS61" t="s">
        <v>1277</v>
      </c>
      <c r="AT61" t="s">
        <v>682</v>
      </c>
      <c r="AV61" t="s">
        <v>1282</v>
      </c>
    </row>
    <row r="62" spans="1:48">
      <c r="A62" s="1">
        <f>HYPERLINK("https://lsnyc.legalserver.org/matter/dynamic-profile/view/1898330","19-1898330")</f>
        <v>0</v>
      </c>
      <c r="B62" t="s">
        <v>78</v>
      </c>
      <c r="C62" t="s">
        <v>1321</v>
      </c>
      <c r="D62" t="s">
        <v>1391</v>
      </c>
      <c r="E62" t="s">
        <v>1466</v>
      </c>
      <c r="F62" t="s">
        <v>1516</v>
      </c>
      <c r="G62" t="s">
        <v>677</v>
      </c>
      <c r="H62">
        <v>10467</v>
      </c>
      <c r="I62" t="s">
        <v>682</v>
      </c>
      <c r="K62" t="s">
        <v>734</v>
      </c>
      <c r="L62" t="s">
        <v>1561</v>
      </c>
      <c r="O62">
        <v>752</v>
      </c>
      <c r="P62" t="s">
        <v>749</v>
      </c>
      <c r="R62" t="s">
        <v>1607</v>
      </c>
      <c r="T62" t="s">
        <v>1698</v>
      </c>
      <c r="U62">
        <v>60</v>
      </c>
      <c r="V62" t="s">
        <v>1102</v>
      </c>
      <c r="W62" t="s">
        <v>1116</v>
      </c>
      <c r="X62">
        <v>19</v>
      </c>
      <c r="Y62">
        <v>1</v>
      </c>
      <c r="Z62">
        <v>0</v>
      </c>
      <c r="AA62">
        <v>340.27</v>
      </c>
      <c r="AD62" t="s">
        <v>1122</v>
      </c>
      <c r="AE62">
        <v>42500</v>
      </c>
      <c r="AJ62">
        <v>0</v>
      </c>
      <c r="AL62" t="s">
        <v>1225</v>
      </c>
      <c r="AN62" t="s">
        <v>1236</v>
      </c>
      <c r="AO62" t="s">
        <v>1181</v>
      </c>
      <c r="AQ62" t="s">
        <v>682</v>
      </c>
      <c r="AS62" t="s">
        <v>1277</v>
      </c>
      <c r="AT62" t="s">
        <v>682</v>
      </c>
      <c r="AV62" t="s">
        <v>1282</v>
      </c>
    </row>
    <row r="63" spans="1:48">
      <c r="A63" s="1">
        <f>HYPERLINK("https://lsnyc.legalserver.org/matter/dynamic-profile/view/1905120","19-1905120")</f>
        <v>0</v>
      </c>
      <c r="B63" t="s">
        <v>76</v>
      </c>
      <c r="C63" t="s">
        <v>1330</v>
      </c>
      <c r="D63" t="s">
        <v>1401</v>
      </c>
      <c r="E63" t="s">
        <v>1464</v>
      </c>
      <c r="G63" t="s">
        <v>677</v>
      </c>
      <c r="H63">
        <v>10455</v>
      </c>
      <c r="I63" t="s">
        <v>682</v>
      </c>
      <c r="K63" t="s">
        <v>734</v>
      </c>
      <c r="L63" t="s">
        <v>1561</v>
      </c>
      <c r="O63">
        <v>222.4</v>
      </c>
      <c r="P63" t="s">
        <v>752</v>
      </c>
      <c r="R63" t="s">
        <v>1619</v>
      </c>
      <c r="T63" t="s">
        <v>1709</v>
      </c>
      <c r="U63">
        <v>99</v>
      </c>
      <c r="V63" t="s">
        <v>1102</v>
      </c>
      <c r="W63" t="s">
        <v>1116</v>
      </c>
      <c r="X63">
        <v>1</v>
      </c>
      <c r="Y63">
        <v>1</v>
      </c>
      <c r="Z63">
        <v>0</v>
      </c>
      <c r="AA63">
        <v>83.68000000000001</v>
      </c>
      <c r="AD63" t="s">
        <v>1122</v>
      </c>
      <c r="AE63">
        <v>10452</v>
      </c>
      <c r="AJ63">
        <v>0</v>
      </c>
      <c r="AL63" t="s">
        <v>1231</v>
      </c>
      <c r="AN63" t="s">
        <v>1236</v>
      </c>
      <c r="AO63" t="s">
        <v>1162</v>
      </c>
      <c r="AQ63" t="s">
        <v>683</v>
      </c>
      <c r="AS63" t="s">
        <v>1277</v>
      </c>
      <c r="AT63" t="s">
        <v>682</v>
      </c>
      <c r="AV63" t="s">
        <v>1282</v>
      </c>
    </row>
    <row r="64" spans="1:48">
      <c r="A64" s="1">
        <f>HYPERLINK("https://lsnyc.legalserver.org/matter/dynamic-profile/view/1904977","19-1904977")</f>
        <v>0</v>
      </c>
      <c r="B64" t="s">
        <v>76</v>
      </c>
      <c r="C64" t="s">
        <v>1331</v>
      </c>
      <c r="D64" t="s">
        <v>1402</v>
      </c>
      <c r="E64" t="s">
        <v>1470</v>
      </c>
      <c r="F64" t="s">
        <v>1524</v>
      </c>
      <c r="G64" t="s">
        <v>677</v>
      </c>
      <c r="H64">
        <v>10453</v>
      </c>
      <c r="I64" t="s">
        <v>682</v>
      </c>
      <c r="J64" t="s">
        <v>1546</v>
      </c>
      <c r="K64" t="s">
        <v>734</v>
      </c>
      <c r="L64" t="s">
        <v>1561</v>
      </c>
      <c r="N64" t="s">
        <v>1563</v>
      </c>
      <c r="O64">
        <v>1140</v>
      </c>
      <c r="P64" t="s">
        <v>749</v>
      </c>
      <c r="R64" t="s">
        <v>1620</v>
      </c>
      <c r="T64" t="s">
        <v>1710</v>
      </c>
      <c r="U64">
        <v>170</v>
      </c>
      <c r="V64" t="s">
        <v>1102</v>
      </c>
      <c r="W64" t="s">
        <v>1116</v>
      </c>
      <c r="X64">
        <v>6</v>
      </c>
      <c r="Y64">
        <v>1</v>
      </c>
      <c r="Z64">
        <v>1</v>
      </c>
      <c r="AA64">
        <v>187.89</v>
      </c>
      <c r="AD64" t="s">
        <v>1123</v>
      </c>
      <c r="AE64">
        <v>31772</v>
      </c>
      <c r="AJ64">
        <v>0</v>
      </c>
      <c r="AL64" t="s">
        <v>1231</v>
      </c>
      <c r="AM64" t="s">
        <v>1233</v>
      </c>
      <c r="AN64" t="s">
        <v>1236</v>
      </c>
      <c r="AO64" t="s">
        <v>1207</v>
      </c>
      <c r="AQ64" t="s">
        <v>683</v>
      </c>
      <c r="AS64" t="s">
        <v>1277</v>
      </c>
      <c r="AT64" t="s">
        <v>682</v>
      </c>
      <c r="AV64" t="s">
        <v>1282</v>
      </c>
    </row>
    <row r="65" spans="1:48">
      <c r="A65" s="1">
        <f>HYPERLINK("https://lsnyc.legalserver.org/matter/dynamic-profile/view/1904796","19-1904796")</f>
        <v>0</v>
      </c>
      <c r="B65" t="s">
        <v>67</v>
      </c>
      <c r="C65" t="s">
        <v>240</v>
      </c>
      <c r="D65" t="s">
        <v>1403</v>
      </c>
      <c r="E65" t="s">
        <v>1473</v>
      </c>
      <c r="F65">
        <v>25</v>
      </c>
      <c r="G65" t="s">
        <v>677</v>
      </c>
      <c r="H65">
        <v>10458</v>
      </c>
      <c r="I65" t="s">
        <v>682</v>
      </c>
      <c r="J65" t="s">
        <v>1547</v>
      </c>
      <c r="K65" t="s">
        <v>734</v>
      </c>
      <c r="L65" t="s">
        <v>1561</v>
      </c>
      <c r="O65">
        <v>1300</v>
      </c>
      <c r="P65" t="s">
        <v>749</v>
      </c>
      <c r="R65" t="s">
        <v>1621</v>
      </c>
      <c r="S65" t="s">
        <v>1663</v>
      </c>
      <c r="U65">
        <v>48</v>
      </c>
      <c r="V65" t="s">
        <v>1102</v>
      </c>
      <c r="W65" t="s">
        <v>748</v>
      </c>
      <c r="X65">
        <v>10</v>
      </c>
      <c r="Y65">
        <v>1</v>
      </c>
      <c r="Z65">
        <v>0</v>
      </c>
      <c r="AA65">
        <v>115.29</v>
      </c>
      <c r="AD65" t="s">
        <v>1122</v>
      </c>
      <c r="AE65">
        <v>14400</v>
      </c>
      <c r="AJ65">
        <v>1</v>
      </c>
      <c r="AK65" t="s">
        <v>1161</v>
      </c>
      <c r="AL65" t="s">
        <v>1284</v>
      </c>
      <c r="AM65" t="s">
        <v>1234</v>
      </c>
      <c r="AN65" t="s">
        <v>1236</v>
      </c>
      <c r="AO65" t="s">
        <v>1161</v>
      </c>
      <c r="AQ65" t="s">
        <v>683</v>
      </c>
      <c r="AS65" t="s">
        <v>1277</v>
      </c>
      <c r="AT65" t="s">
        <v>682</v>
      </c>
      <c r="AV65" t="s">
        <v>1282</v>
      </c>
    </row>
    <row r="66" spans="1:48">
      <c r="A66" s="1">
        <f>HYPERLINK("https://lsnyc.legalserver.org/matter/dynamic-profile/view/1903502","19-1903502")</f>
        <v>0</v>
      </c>
      <c r="B66" t="s">
        <v>67</v>
      </c>
      <c r="C66" t="s">
        <v>209</v>
      </c>
      <c r="D66" t="s">
        <v>1371</v>
      </c>
      <c r="E66" t="s">
        <v>1474</v>
      </c>
      <c r="F66" t="s">
        <v>609</v>
      </c>
      <c r="G66" t="s">
        <v>677</v>
      </c>
      <c r="H66">
        <v>10453</v>
      </c>
      <c r="I66" t="s">
        <v>683</v>
      </c>
      <c r="J66" t="s">
        <v>1548</v>
      </c>
      <c r="K66" t="s">
        <v>730</v>
      </c>
      <c r="L66" t="s">
        <v>740</v>
      </c>
      <c r="O66">
        <v>825</v>
      </c>
      <c r="P66" t="s">
        <v>748</v>
      </c>
      <c r="R66" t="s">
        <v>1622</v>
      </c>
      <c r="T66" t="s">
        <v>1711</v>
      </c>
      <c r="U66">
        <v>25</v>
      </c>
      <c r="V66" t="s">
        <v>1102</v>
      </c>
      <c r="W66" t="s">
        <v>1116</v>
      </c>
      <c r="X66">
        <v>19</v>
      </c>
      <c r="Y66">
        <v>1</v>
      </c>
      <c r="Z66">
        <v>0</v>
      </c>
      <c r="AA66">
        <v>249.8</v>
      </c>
      <c r="AD66" t="s">
        <v>1122</v>
      </c>
      <c r="AE66">
        <v>31200</v>
      </c>
      <c r="AJ66">
        <v>12.76</v>
      </c>
      <c r="AK66" t="s">
        <v>1160</v>
      </c>
      <c r="AL66" t="s">
        <v>1224</v>
      </c>
      <c r="AN66" t="s">
        <v>1236</v>
      </c>
      <c r="AO66" t="s">
        <v>1199</v>
      </c>
      <c r="AQ66" t="s">
        <v>683</v>
      </c>
      <c r="AS66" t="s">
        <v>1277</v>
      </c>
      <c r="AT66" t="s">
        <v>684</v>
      </c>
      <c r="AV66" t="s">
        <v>1282</v>
      </c>
    </row>
    <row r="67" spans="1:48">
      <c r="A67" s="1">
        <f>HYPERLINK("https://lsnyc.legalserver.org/matter/dynamic-profile/view/1899850","19-1899850")</f>
        <v>0</v>
      </c>
      <c r="B67" t="s">
        <v>76</v>
      </c>
      <c r="C67" t="s">
        <v>1324</v>
      </c>
      <c r="D67" t="s">
        <v>323</v>
      </c>
      <c r="E67" t="s">
        <v>1464</v>
      </c>
      <c r="F67" t="s">
        <v>1519</v>
      </c>
      <c r="G67" t="s">
        <v>677</v>
      </c>
      <c r="H67">
        <v>10455</v>
      </c>
      <c r="I67" t="s">
        <v>682</v>
      </c>
      <c r="K67" t="s">
        <v>733</v>
      </c>
      <c r="L67" t="s">
        <v>740</v>
      </c>
      <c r="O67">
        <v>1779</v>
      </c>
      <c r="P67" t="s">
        <v>749</v>
      </c>
      <c r="R67" t="s">
        <v>1612</v>
      </c>
      <c r="T67" t="s">
        <v>1702</v>
      </c>
      <c r="U67">
        <v>99</v>
      </c>
      <c r="V67" t="s">
        <v>1102</v>
      </c>
      <c r="W67" t="s">
        <v>1121</v>
      </c>
      <c r="X67">
        <v>2</v>
      </c>
      <c r="Y67">
        <v>1</v>
      </c>
      <c r="Z67">
        <v>4</v>
      </c>
      <c r="AA67">
        <v>120.65</v>
      </c>
      <c r="AD67" t="s">
        <v>1122</v>
      </c>
      <c r="AE67">
        <v>36400</v>
      </c>
      <c r="AJ67">
        <v>0.1</v>
      </c>
      <c r="AK67" t="s">
        <v>1161</v>
      </c>
      <c r="AL67" t="s">
        <v>1231</v>
      </c>
      <c r="AN67" t="s">
        <v>1236</v>
      </c>
      <c r="AO67" t="s">
        <v>1210</v>
      </c>
      <c r="AQ67" t="s">
        <v>683</v>
      </c>
      <c r="AS67" t="s">
        <v>1277</v>
      </c>
      <c r="AT67" t="s">
        <v>682</v>
      </c>
      <c r="AV67" t="s">
        <v>1282</v>
      </c>
    </row>
    <row r="68" spans="1:48">
      <c r="A68" s="1">
        <f>HYPERLINK("https://lsnyc.legalserver.org/matter/dynamic-profile/view/1904483","19-1904483")</f>
        <v>0</v>
      </c>
      <c r="B68" t="s">
        <v>72</v>
      </c>
      <c r="C68" t="s">
        <v>127</v>
      </c>
      <c r="D68" t="s">
        <v>1404</v>
      </c>
      <c r="E68" t="s">
        <v>1460</v>
      </c>
      <c r="F68" t="s">
        <v>665</v>
      </c>
      <c r="G68" t="s">
        <v>677</v>
      </c>
      <c r="H68">
        <v>10470</v>
      </c>
      <c r="I68" t="s">
        <v>682</v>
      </c>
      <c r="K68" t="s">
        <v>733</v>
      </c>
      <c r="L68" t="s">
        <v>740</v>
      </c>
      <c r="O68">
        <v>1107.88</v>
      </c>
      <c r="P68" t="s">
        <v>749</v>
      </c>
      <c r="R68" t="s">
        <v>1623</v>
      </c>
      <c r="T68" t="s">
        <v>1712</v>
      </c>
      <c r="U68">
        <v>63</v>
      </c>
      <c r="V68" t="s">
        <v>1105</v>
      </c>
      <c r="W68" t="s">
        <v>1117</v>
      </c>
      <c r="X68">
        <v>20</v>
      </c>
      <c r="Y68">
        <v>1</v>
      </c>
      <c r="Z68">
        <v>0</v>
      </c>
      <c r="AA68">
        <v>106.44</v>
      </c>
      <c r="AE68">
        <v>13294.56</v>
      </c>
      <c r="AJ68">
        <v>0</v>
      </c>
      <c r="AL68" t="s">
        <v>1225</v>
      </c>
      <c r="AM68" t="s">
        <v>1233</v>
      </c>
      <c r="AN68" t="s">
        <v>1236</v>
      </c>
      <c r="AO68" t="s">
        <v>1176</v>
      </c>
      <c r="AQ68" t="s">
        <v>683</v>
      </c>
      <c r="AS68" t="s">
        <v>1277</v>
      </c>
      <c r="AT68" t="s">
        <v>682</v>
      </c>
      <c r="AV68" t="s">
        <v>1282</v>
      </c>
    </row>
    <row r="69" spans="1:48">
      <c r="A69" s="1">
        <f>HYPERLINK("https://lsnyc.legalserver.org/matter/dynamic-profile/view/1905515","19-1905515")</f>
        <v>0</v>
      </c>
      <c r="B69" t="s">
        <v>56</v>
      </c>
      <c r="C69" t="s">
        <v>1332</v>
      </c>
      <c r="D69" t="s">
        <v>1405</v>
      </c>
      <c r="E69" t="s">
        <v>1475</v>
      </c>
      <c r="F69" t="s">
        <v>1525</v>
      </c>
      <c r="G69" t="s">
        <v>677</v>
      </c>
      <c r="H69">
        <v>10452</v>
      </c>
      <c r="I69" t="s">
        <v>683</v>
      </c>
      <c r="J69" t="s">
        <v>1549</v>
      </c>
      <c r="K69" t="s">
        <v>733</v>
      </c>
      <c r="L69" t="s">
        <v>740</v>
      </c>
      <c r="O69">
        <v>1078.15</v>
      </c>
      <c r="P69" t="s">
        <v>749</v>
      </c>
      <c r="R69" t="s">
        <v>1624</v>
      </c>
      <c r="T69" t="s">
        <v>1713</v>
      </c>
      <c r="U69">
        <v>59</v>
      </c>
      <c r="V69" t="s">
        <v>1102</v>
      </c>
      <c r="X69">
        <v>30</v>
      </c>
      <c r="Y69">
        <v>1</v>
      </c>
      <c r="Z69">
        <v>1</v>
      </c>
      <c r="AA69">
        <v>71.59999999999999</v>
      </c>
      <c r="AD69" t="s">
        <v>1122</v>
      </c>
      <c r="AE69">
        <v>12108</v>
      </c>
      <c r="AJ69">
        <v>2.6</v>
      </c>
      <c r="AK69" t="s">
        <v>1166</v>
      </c>
      <c r="AL69" t="s">
        <v>56</v>
      </c>
      <c r="AN69" t="s">
        <v>1236</v>
      </c>
      <c r="AO69" t="s">
        <v>1169</v>
      </c>
      <c r="AQ69" t="s">
        <v>683</v>
      </c>
      <c r="AS69" t="s">
        <v>1277</v>
      </c>
      <c r="AT69" t="s">
        <v>684</v>
      </c>
      <c r="AV69" t="s">
        <v>1282</v>
      </c>
    </row>
    <row r="70" spans="1:48">
      <c r="A70" s="1">
        <f>HYPERLINK("https://lsnyc.legalserver.org/matter/dynamic-profile/view/1904486","19-1904486")</f>
        <v>0</v>
      </c>
      <c r="B70" t="s">
        <v>72</v>
      </c>
      <c r="C70" t="s">
        <v>1333</v>
      </c>
      <c r="D70" t="s">
        <v>1406</v>
      </c>
      <c r="E70" t="s">
        <v>1460</v>
      </c>
      <c r="F70" t="s">
        <v>1526</v>
      </c>
      <c r="G70" t="s">
        <v>677</v>
      </c>
      <c r="H70">
        <v>10470</v>
      </c>
      <c r="I70" t="s">
        <v>682</v>
      </c>
      <c r="K70" t="s">
        <v>733</v>
      </c>
      <c r="L70" t="s">
        <v>740</v>
      </c>
      <c r="O70">
        <v>1450</v>
      </c>
      <c r="P70" t="s">
        <v>749</v>
      </c>
      <c r="R70" t="s">
        <v>1625</v>
      </c>
      <c r="T70" t="s">
        <v>1714</v>
      </c>
      <c r="U70">
        <v>63</v>
      </c>
      <c r="V70" t="s">
        <v>1106</v>
      </c>
      <c r="W70" t="s">
        <v>1115</v>
      </c>
      <c r="X70">
        <v>16</v>
      </c>
      <c r="Y70">
        <v>1</v>
      </c>
      <c r="Z70">
        <v>0</v>
      </c>
      <c r="AA70">
        <v>104.22</v>
      </c>
      <c r="AD70" t="s">
        <v>1122</v>
      </c>
      <c r="AE70">
        <v>13017.6</v>
      </c>
      <c r="AJ70">
        <v>0</v>
      </c>
      <c r="AL70" t="s">
        <v>1225</v>
      </c>
      <c r="AM70" t="s">
        <v>1233</v>
      </c>
      <c r="AN70" t="s">
        <v>1236</v>
      </c>
      <c r="AO70" t="s">
        <v>1176</v>
      </c>
      <c r="AQ70" t="s">
        <v>683</v>
      </c>
      <c r="AS70" t="s">
        <v>1277</v>
      </c>
      <c r="AT70" t="s">
        <v>682</v>
      </c>
      <c r="AV70" t="s">
        <v>1282</v>
      </c>
    </row>
    <row r="71" spans="1:48">
      <c r="A71" s="1">
        <f>HYPERLINK("https://lsnyc.legalserver.org/matter/dynamic-profile/view/1904489","19-1904489")</f>
        <v>0</v>
      </c>
      <c r="B71" t="s">
        <v>72</v>
      </c>
      <c r="C71" t="s">
        <v>1334</v>
      </c>
      <c r="D71" t="s">
        <v>1407</v>
      </c>
      <c r="E71" t="s">
        <v>1460</v>
      </c>
      <c r="F71" t="s">
        <v>1505</v>
      </c>
      <c r="G71" t="s">
        <v>677</v>
      </c>
      <c r="H71">
        <v>10470</v>
      </c>
      <c r="I71" t="s">
        <v>682</v>
      </c>
      <c r="K71" t="s">
        <v>733</v>
      </c>
      <c r="L71" t="s">
        <v>740</v>
      </c>
      <c r="O71">
        <v>806.16</v>
      </c>
      <c r="P71" t="s">
        <v>749</v>
      </c>
      <c r="R71" t="s">
        <v>1626</v>
      </c>
      <c r="T71" t="s">
        <v>1715</v>
      </c>
      <c r="U71">
        <v>63</v>
      </c>
      <c r="V71" t="s">
        <v>1102</v>
      </c>
      <c r="W71" t="s">
        <v>1116</v>
      </c>
      <c r="X71">
        <v>44</v>
      </c>
      <c r="Y71">
        <v>2</v>
      </c>
      <c r="Z71">
        <v>0</v>
      </c>
      <c r="AA71">
        <v>99.51000000000001</v>
      </c>
      <c r="AD71" t="s">
        <v>1122</v>
      </c>
      <c r="AE71">
        <v>16826.4</v>
      </c>
      <c r="AJ71">
        <v>0</v>
      </c>
      <c r="AL71" t="s">
        <v>1225</v>
      </c>
      <c r="AM71" t="s">
        <v>1233</v>
      </c>
      <c r="AN71" t="s">
        <v>1236</v>
      </c>
      <c r="AO71" t="s">
        <v>1176</v>
      </c>
      <c r="AQ71" t="s">
        <v>683</v>
      </c>
      <c r="AS71" t="s">
        <v>1277</v>
      </c>
      <c r="AT71" t="s">
        <v>682</v>
      </c>
      <c r="AV71" t="s">
        <v>1282</v>
      </c>
    </row>
    <row r="72" spans="1:48">
      <c r="A72" s="1">
        <f>HYPERLINK("https://lsnyc.legalserver.org/matter/dynamic-profile/view/1904499","19-1904499")</f>
        <v>0</v>
      </c>
      <c r="B72" t="s">
        <v>72</v>
      </c>
      <c r="C72" t="s">
        <v>1335</v>
      </c>
      <c r="D72" t="s">
        <v>1387</v>
      </c>
      <c r="E72" t="s">
        <v>1476</v>
      </c>
      <c r="F72" t="s">
        <v>1526</v>
      </c>
      <c r="G72" t="s">
        <v>677</v>
      </c>
      <c r="H72">
        <v>10470</v>
      </c>
      <c r="I72" t="s">
        <v>682</v>
      </c>
      <c r="K72" t="s">
        <v>733</v>
      </c>
      <c r="L72" t="s">
        <v>740</v>
      </c>
      <c r="O72">
        <v>1402.5</v>
      </c>
      <c r="P72" t="s">
        <v>749</v>
      </c>
      <c r="R72" t="s">
        <v>1627</v>
      </c>
      <c r="T72" t="s">
        <v>1716</v>
      </c>
      <c r="U72">
        <v>63</v>
      </c>
      <c r="V72" t="s">
        <v>1102</v>
      </c>
      <c r="W72" t="s">
        <v>1116</v>
      </c>
      <c r="X72">
        <v>3</v>
      </c>
      <c r="Y72">
        <v>1</v>
      </c>
      <c r="Z72">
        <v>0</v>
      </c>
      <c r="AA72">
        <v>624.5</v>
      </c>
      <c r="AD72" t="s">
        <v>1122</v>
      </c>
      <c r="AE72">
        <v>78000</v>
      </c>
      <c r="AJ72">
        <v>0</v>
      </c>
      <c r="AL72" t="s">
        <v>1225</v>
      </c>
      <c r="AM72" t="s">
        <v>1233</v>
      </c>
      <c r="AN72" t="s">
        <v>1236</v>
      </c>
      <c r="AO72" t="s">
        <v>1176</v>
      </c>
      <c r="AQ72" t="s">
        <v>683</v>
      </c>
      <c r="AS72" t="s">
        <v>1277</v>
      </c>
      <c r="AT72" t="s">
        <v>682</v>
      </c>
      <c r="AV72" t="s">
        <v>1282</v>
      </c>
    </row>
    <row r="73" spans="1:48">
      <c r="A73" s="1">
        <f>HYPERLINK("https://lsnyc.legalserver.org/matter/dynamic-profile/view/1901015","19-1901015")</f>
        <v>0</v>
      </c>
      <c r="B73" t="s">
        <v>76</v>
      </c>
      <c r="C73" t="s">
        <v>1327</v>
      </c>
      <c r="D73" t="s">
        <v>1398</v>
      </c>
      <c r="E73" t="s">
        <v>1464</v>
      </c>
      <c r="F73" t="s">
        <v>1522</v>
      </c>
      <c r="G73" t="s">
        <v>677</v>
      </c>
      <c r="H73">
        <v>10455</v>
      </c>
      <c r="I73" t="s">
        <v>682</v>
      </c>
      <c r="K73" t="s">
        <v>733</v>
      </c>
      <c r="L73" t="s">
        <v>740</v>
      </c>
      <c r="O73">
        <v>1421</v>
      </c>
      <c r="R73" t="s">
        <v>1615</v>
      </c>
      <c r="T73" t="s">
        <v>1705</v>
      </c>
      <c r="U73">
        <v>49</v>
      </c>
      <c r="V73" t="s">
        <v>1102</v>
      </c>
      <c r="W73" t="s">
        <v>1116</v>
      </c>
      <c r="X73">
        <v>5</v>
      </c>
      <c r="Y73">
        <v>2</v>
      </c>
      <c r="Z73">
        <v>0</v>
      </c>
      <c r="AA73">
        <v>0</v>
      </c>
      <c r="AD73" t="s">
        <v>1123</v>
      </c>
      <c r="AE73">
        <v>0</v>
      </c>
      <c r="AJ73">
        <v>0</v>
      </c>
      <c r="AL73" t="s">
        <v>60</v>
      </c>
      <c r="AM73" t="s">
        <v>1233</v>
      </c>
      <c r="AN73" t="s">
        <v>1236</v>
      </c>
      <c r="AO73" t="s">
        <v>1171</v>
      </c>
      <c r="AQ73" t="s">
        <v>683</v>
      </c>
      <c r="AS73" t="s">
        <v>1277</v>
      </c>
      <c r="AV73" t="s">
        <v>1282</v>
      </c>
    </row>
    <row r="74" spans="1:48">
      <c r="A74" s="1">
        <f>HYPERLINK("https://lsnyc.legalserver.org/matter/dynamic-profile/view/1904484","19-1904484")</f>
        <v>0</v>
      </c>
      <c r="B74" t="s">
        <v>72</v>
      </c>
      <c r="C74" t="s">
        <v>1336</v>
      </c>
      <c r="D74" t="s">
        <v>1366</v>
      </c>
      <c r="E74" t="s">
        <v>1460</v>
      </c>
      <c r="F74" t="s">
        <v>621</v>
      </c>
      <c r="G74" t="s">
        <v>677</v>
      </c>
      <c r="H74">
        <v>10470</v>
      </c>
      <c r="I74" t="s">
        <v>684</v>
      </c>
      <c r="K74" t="s">
        <v>733</v>
      </c>
      <c r="L74" t="s">
        <v>740</v>
      </c>
      <c r="O74">
        <v>966.6</v>
      </c>
      <c r="P74" t="s">
        <v>749</v>
      </c>
      <c r="R74" t="s">
        <v>1628</v>
      </c>
      <c r="T74" t="s">
        <v>1717</v>
      </c>
      <c r="U74">
        <v>63</v>
      </c>
      <c r="V74" t="s">
        <v>1102</v>
      </c>
      <c r="W74" t="s">
        <v>1116</v>
      </c>
      <c r="X74">
        <v>10</v>
      </c>
      <c r="Y74">
        <v>2</v>
      </c>
      <c r="Z74">
        <v>0</v>
      </c>
      <c r="AA74">
        <v>331.28</v>
      </c>
      <c r="AD74" t="s">
        <v>1122</v>
      </c>
      <c r="AE74">
        <v>56020</v>
      </c>
      <c r="AJ74">
        <v>11.5</v>
      </c>
      <c r="AK74" t="s">
        <v>1175</v>
      </c>
      <c r="AL74" t="s">
        <v>1225</v>
      </c>
      <c r="AM74" t="s">
        <v>1233</v>
      </c>
      <c r="AN74" t="s">
        <v>1236</v>
      </c>
      <c r="AO74" t="s">
        <v>1176</v>
      </c>
      <c r="AQ74" t="s">
        <v>683</v>
      </c>
      <c r="AS74" t="s">
        <v>1277</v>
      </c>
      <c r="AT74" t="s">
        <v>684</v>
      </c>
      <c r="AV74" t="s">
        <v>1282</v>
      </c>
    </row>
    <row r="75" spans="1:48">
      <c r="A75" s="1">
        <f>HYPERLINK("https://lsnyc.legalserver.org/matter/dynamic-profile/view/1904494","19-1904494")</f>
        <v>0</v>
      </c>
      <c r="B75" t="s">
        <v>72</v>
      </c>
      <c r="C75" t="s">
        <v>1337</v>
      </c>
      <c r="D75" t="s">
        <v>1378</v>
      </c>
      <c r="E75" t="s">
        <v>1460</v>
      </c>
      <c r="F75" t="s">
        <v>632</v>
      </c>
      <c r="G75" t="s">
        <v>677</v>
      </c>
      <c r="H75">
        <v>10470</v>
      </c>
      <c r="I75" t="s">
        <v>682</v>
      </c>
      <c r="K75" t="s">
        <v>733</v>
      </c>
      <c r="L75" t="s">
        <v>740</v>
      </c>
      <c r="O75">
        <v>931</v>
      </c>
      <c r="P75" t="s">
        <v>753</v>
      </c>
      <c r="R75" t="s">
        <v>1629</v>
      </c>
      <c r="T75" t="s">
        <v>1718</v>
      </c>
      <c r="U75">
        <v>63</v>
      </c>
      <c r="V75" t="s">
        <v>1105</v>
      </c>
      <c r="W75" t="s">
        <v>1116</v>
      </c>
      <c r="X75">
        <v>11</v>
      </c>
      <c r="Y75">
        <v>2</v>
      </c>
      <c r="Z75">
        <v>0</v>
      </c>
      <c r="AA75">
        <v>739.21</v>
      </c>
      <c r="AD75" t="s">
        <v>1122</v>
      </c>
      <c r="AE75">
        <v>125000</v>
      </c>
      <c r="AJ75">
        <v>0</v>
      </c>
      <c r="AL75" t="s">
        <v>1225</v>
      </c>
      <c r="AM75" t="s">
        <v>1233</v>
      </c>
      <c r="AN75" t="s">
        <v>1236</v>
      </c>
      <c r="AO75" t="s">
        <v>1176</v>
      </c>
      <c r="AQ75" t="s">
        <v>683</v>
      </c>
      <c r="AS75" t="s">
        <v>1277</v>
      </c>
      <c r="AT75" t="s">
        <v>682</v>
      </c>
      <c r="AV75" t="s">
        <v>1282</v>
      </c>
    </row>
    <row r="76" spans="1:48">
      <c r="A76" s="1">
        <f>HYPERLINK("https://lsnyc.legalserver.org/matter/dynamic-profile/view/1899834","19-1899834")</f>
        <v>0</v>
      </c>
      <c r="B76" t="s">
        <v>76</v>
      </c>
      <c r="C76" t="s">
        <v>1289</v>
      </c>
      <c r="D76" t="s">
        <v>1400</v>
      </c>
      <c r="E76" t="s">
        <v>1464</v>
      </c>
      <c r="F76" t="s">
        <v>1523</v>
      </c>
      <c r="G76" t="s">
        <v>677</v>
      </c>
      <c r="H76">
        <v>10455</v>
      </c>
      <c r="I76" t="s">
        <v>682</v>
      </c>
      <c r="K76" t="s">
        <v>733</v>
      </c>
      <c r="L76" t="s">
        <v>740</v>
      </c>
      <c r="O76">
        <v>1534</v>
      </c>
      <c r="P76" t="s">
        <v>749</v>
      </c>
      <c r="R76" t="s">
        <v>1618</v>
      </c>
      <c r="T76" t="s">
        <v>1708</v>
      </c>
      <c r="U76">
        <v>99</v>
      </c>
      <c r="V76" t="s">
        <v>1102</v>
      </c>
      <c r="W76" t="s">
        <v>1121</v>
      </c>
      <c r="X76">
        <v>1</v>
      </c>
      <c r="Y76">
        <v>1</v>
      </c>
      <c r="Z76">
        <v>3</v>
      </c>
      <c r="AA76">
        <v>18.92</v>
      </c>
      <c r="AD76" t="s">
        <v>1122</v>
      </c>
      <c r="AE76">
        <v>4870.8</v>
      </c>
      <c r="AJ76">
        <v>0.25</v>
      </c>
      <c r="AK76" t="s">
        <v>1161</v>
      </c>
      <c r="AL76" t="s">
        <v>1231</v>
      </c>
      <c r="AN76" t="s">
        <v>1236</v>
      </c>
      <c r="AO76" t="s">
        <v>1210</v>
      </c>
      <c r="AQ76" t="s">
        <v>683</v>
      </c>
      <c r="AS76" t="s">
        <v>1277</v>
      </c>
      <c r="AT76" t="s">
        <v>682</v>
      </c>
      <c r="AV76" t="s">
        <v>1282</v>
      </c>
    </row>
    <row r="77" spans="1:48">
      <c r="A77" s="1">
        <f>HYPERLINK("https://lsnyc.legalserver.org/matter/dynamic-profile/view/1904532","19-1904532")</f>
        <v>0</v>
      </c>
      <c r="B77" t="s">
        <v>72</v>
      </c>
      <c r="C77" t="s">
        <v>1338</v>
      </c>
      <c r="D77" t="s">
        <v>1408</v>
      </c>
      <c r="E77" t="s">
        <v>1476</v>
      </c>
      <c r="F77" t="s">
        <v>655</v>
      </c>
      <c r="G77" t="s">
        <v>677</v>
      </c>
      <c r="H77">
        <v>10470</v>
      </c>
      <c r="I77" t="s">
        <v>682</v>
      </c>
      <c r="K77" t="s">
        <v>733</v>
      </c>
      <c r="L77" t="s">
        <v>740</v>
      </c>
      <c r="O77">
        <v>961</v>
      </c>
      <c r="P77" t="s">
        <v>749</v>
      </c>
      <c r="R77" t="s">
        <v>1630</v>
      </c>
      <c r="T77" t="s">
        <v>1719</v>
      </c>
      <c r="U77">
        <v>63</v>
      </c>
      <c r="V77" t="s">
        <v>1113</v>
      </c>
      <c r="W77" t="s">
        <v>1741</v>
      </c>
      <c r="X77">
        <v>24</v>
      </c>
      <c r="Y77">
        <v>3</v>
      </c>
      <c r="Z77">
        <v>1</v>
      </c>
      <c r="AA77">
        <v>44.04</v>
      </c>
      <c r="AD77" t="s">
        <v>1122</v>
      </c>
      <c r="AE77">
        <v>11340</v>
      </c>
      <c r="AJ77">
        <v>0</v>
      </c>
      <c r="AL77" t="s">
        <v>1229</v>
      </c>
      <c r="AM77" t="s">
        <v>1233</v>
      </c>
      <c r="AN77" t="s">
        <v>1236</v>
      </c>
      <c r="AO77" t="s">
        <v>1193</v>
      </c>
      <c r="AQ77" t="s">
        <v>683</v>
      </c>
      <c r="AS77" t="s">
        <v>1277</v>
      </c>
      <c r="AT77" t="s">
        <v>682</v>
      </c>
      <c r="AV77" t="s">
        <v>1282</v>
      </c>
    </row>
    <row r="78" spans="1:48">
      <c r="A78" s="1">
        <f>HYPERLINK("https://lsnyc.legalserver.org/matter/dynamic-profile/view/1899819","19-1899819")</f>
        <v>0</v>
      </c>
      <c r="B78" t="s">
        <v>76</v>
      </c>
      <c r="C78" t="s">
        <v>1330</v>
      </c>
      <c r="D78" t="s">
        <v>1401</v>
      </c>
      <c r="E78" t="s">
        <v>1464</v>
      </c>
      <c r="G78" t="s">
        <v>677</v>
      </c>
      <c r="H78">
        <v>10455</v>
      </c>
      <c r="I78" t="s">
        <v>682</v>
      </c>
      <c r="K78" t="s">
        <v>733</v>
      </c>
      <c r="L78" t="s">
        <v>740</v>
      </c>
      <c r="O78">
        <v>222.4</v>
      </c>
      <c r="P78" t="s">
        <v>749</v>
      </c>
      <c r="R78" t="s">
        <v>1619</v>
      </c>
      <c r="T78" t="s">
        <v>1709</v>
      </c>
      <c r="U78">
        <v>99</v>
      </c>
      <c r="V78" t="s">
        <v>1105</v>
      </c>
      <c r="X78">
        <v>1</v>
      </c>
      <c r="Y78">
        <v>1</v>
      </c>
      <c r="Z78">
        <v>0</v>
      </c>
      <c r="AA78">
        <v>83.68000000000001</v>
      </c>
      <c r="AD78" t="s">
        <v>1122</v>
      </c>
      <c r="AE78">
        <v>10452</v>
      </c>
      <c r="AJ78">
        <v>0</v>
      </c>
      <c r="AL78" t="s">
        <v>1231</v>
      </c>
      <c r="AN78" t="s">
        <v>1236</v>
      </c>
      <c r="AO78" t="s">
        <v>1210</v>
      </c>
      <c r="AQ78" t="s">
        <v>683</v>
      </c>
      <c r="AS78" t="s">
        <v>1277</v>
      </c>
      <c r="AT78" t="s">
        <v>682</v>
      </c>
      <c r="AV78" t="s">
        <v>1282</v>
      </c>
    </row>
    <row r="79" spans="1:48">
      <c r="A79" s="1">
        <f>HYPERLINK("https://lsnyc.legalserver.org/matter/dynamic-profile/view/1904464","19-1904464")</f>
        <v>0</v>
      </c>
      <c r="B79" t="s">
        <v>72</v>
      </c>
      <c r="C79" t="s">
        <v>1339</v>
      </c>
      <c r="D79" t="s">
        <v>1409</v>
      </c>
      <c r="E79" t="s">
        <v>1460</v>
      </c>
      <c r="G79" t="s">
        <v>677</v>
      </c>
      <c r="H79">
        <v>10470</v>
      </c>
      <c r="I79" t="s">
        <v>682</v>
      </c>
      <c r="K79" t="s">
        <v>733</v>
      </c>
      <c r="L79" t="s">
        <v>740</v>
      </c>
      <c r="O79">
        <v>1564</v>
      </c>
      <c r="P79" t="s">
        <v>749</v>
      </c>
      <c r="R79" t="s">
        <v>1631</v>
      </c>
      <c r="T79" t="s">
        <v>1720</v>
      </c>
      <c r="U79">
        <v>63</v>
      </c>
      <c r="V79" t="s">
        <v>1105</v>
      </c>
      <c r="W79" t="s">
        <v>1121</v>
      </c>
      <c r="X79">
        <v>4</v>
      </c>
      <c r="Y79">
        <v>1</v>
      </c>
      <c r="Z79">
        <v>2</v>
      </c>
      <c r="AA79">
        <v>129.96</v>
      </c>
      <c r="AD79" t="s">
        <v>1122</v>
      </c>
      <c r="AE79">
        <v>27720</v>
      </c>
      <c r="AJ79">
        <v>0.5</v>
      </c>
      <c r="AK79" t="s">
        <v>1161</v>
      </c>
      <c r="AL79" t="s">
        <v>1229</v>
      </c>
      <c r="AM79" t="s">
        <v>1233</v>
      </c>
      <c r="AN79" t="s">
        <v>1236</v>
      </c>
      <c r="AO79" t="s">
        <v>1172</v>
      </c>
      <c r="AQ79" t="s">
        <v>683</v>
      </c>
      <c r="AS79" t="s">
        <v>1277</v>
      </c>
      <c r="AT79" t="s">
        <v>682</v>
      </c>
      <c r="AV79" t="s">
        <v>1282</v>
      </c>
    </row>
    <row r="80" spans="1:48">
      <c r="A80" s="1">
        <f>HYPERLINK("https://lsnyc.legalserver.org/matter/dynamic-profile/view/1904539","19-1904539")</f>
        <v>0</v>
      </c>
      <c r="B80" t="s">
        <v>72</v>
      </c>
      <c r="C80" t="s">
        <v>1340</v>
      </c>
      <c r="D80" t="s">
        <v>1410</v>
      </c>
      <c r="E80" t="s">
        <v>1476</v>
      </c>
      <c r="F80" t="s">
        <v>618</v>
      </c>
      <c r="G80" t="s">
        <v>677</v>
      </c>
      <c r="H80">
        <v>10470</v>
      </c>
      <c r="I80" t="s">
        <v>682</v>
      </c>
      <c r="K80" t="s">
        <v>733</v>
      </c>
      <c r="L80" t="s">
        <v>740</v>
      </c>
      <c r="O80">
        <v>1734</v>
      </c>
      <c r="P80" t="s">
        <v>749</v>
      </c>
      <c r="R80" t="s">
        <v>1632</v>
      </c>
      <c r="S80" t="s">
        <v>1664</v>
      </c>
      <c r="U80">
        <v>63</v>
      </c>
      <c r="V80" t="s">
        <v>1104</v>
      </c>
      <c r="W80" t="s">
        <v>748</v>
      </c>
      <c r="X80">
        <v>3</v>
      </c>
      <c r="Y80">
        <v>1</v>
      </c>
      <c r="Z80">
        <v>1</v>
      </c>
      <c r="AA80">
        <v>127.74</v>
      </c>
      <c r="AD80" t="s">
        <v>1122</v>
      </c>
      <c r="AE80">
        <v>21600</v>
      </c>
      <c r="AJ80">
        <v>0</v>
      </c>
      <c r="AL80" t="s">
        <v>1229</v>
      </c>
      <c r="AM80" t="s">
        <v>1233</v>
      </c>
      <c r="AN80" t="s">
        <v>1236</v>
      </c>
      <c r="AO80" t="s">
        <v>1163</v>
      </c>
      <c r="AQ80" t="s">
        <v>683</v>
      </c>
      <c r="AS80" t="s">
        <v>1277</v>
      </c>
      <c r="AT80" t="s">
        <v>682</v>
      </c>
      <c r="AV80" t="s">
        <v>1282</v>
      </c>
    </row>
    <row r="81" spans="1:48">
      <c r="A81" s="1">
        <f>HYPERLINK("https://lsnyc.legalserver.org/matter/dynamic-profile/view/1904575","19-1904575")</f>
        <v>0</v>
      </c>
      <c r="B81" t="s">
        <v>72</v>
      </c>
      <c r="C81" t="s">
        <v>257</v>
      </c>
      <c r="D81" t="s">
        <v>1411</v>
      </c>
      <c r="E81" t="s">
        <v>1477</v>
      </c>
      <c r="F81" t="s">
        <v>659</v>
      </c>
      <c r="G81" t="s">
        <v>677</v>
      </c>
      <c r="H81">
        <v>10470</v>
      </c>
      <c r="I81" t="s">
        <v>682</v>
      </c>
      <c r="K81" t="s">
        <v>733</v>
      </c>
      <c r="L81" t="s">
        <v>740</v>
      </c>
      <c r="O81">
        <v>1276</v>
      </c>
      <c r="P81" t="s">
        <v>749</v>
      </c>
      <c r="R81" t="s">
        <v>1633</v>
      </c>
      <c r="U81">
        <v>63</v>
      </c>
      <c r="V81" t="s">
        <v>1102</v>
      </c>
      <c r="W81" t="s">
        <v>1116</v>
      </c>
      <c r="X81">
        <v>8</v>
      </c>
      <c r="Y81">
        <v>2</v>
      </c>
      <c r="Z81">
        <v>1</v>
      </c>
      <c r="AA81">
        <v>97.52</v>
      </c>
      <c r="AD81" t="s">
        <v>1122</v>
      </c>
      <c r="AE81">
        <v>20800</v>
      </c>
      <c r="AJ81">
        <v>0</v>
      </c>
      <c r="AL81" t="s">
        <v>1229</v>
      </c>
      <c r="AM81" t="s">
        <v>1233</v>
      </c>
      <c r="AN81" t="s">
        <v>1236</v>
      </c>
      <c r="AO81" t="s">
        <v>1256</v>
      </c>
      <c r="AQ81" t="s">
        <v>683</v>
      </c>
      <c r="AS81" t="s">
        <v>1277</v>
      </c>
      <c r="AT81" t="s">
        <v>682</v>
      </c>
      <c r="AV81" t="s">
        <v>1282</v>
      </c>
    </row>
    <row r="82" spans="1:48">
      <c r="A82" s="1">
        <f>HYPERLINK("https://lsnyc.legalserver.org/matter/dynamic-profile/view/1904509","19-1904509")</f>
        <v>0</v>
      </c>
      <c r="B82" t="s">
        <v>67</v>
      </c>
      <c r="C82" t="s">
        <v>1341</v>
      </c>
      <c r="D82" t="s">
        <v>1412</v>
      </c>
      <c r="E82" t="s">
        <v>1478</v>
      </c>
      <c r="F82" t="s">
        <v>638</v>
      </c>
      <c r="G82" t="s">
        <v>677</v>
      </c>
      <c r="H82">
        <v>10459</v>
      </c>
      <c r="I82" t="s">
        <v>682</v>
      </c>
      <c r="J82" t="s">
        <v>1550</v>
      </c>
      <c r="K82" t="s">
        <v>732</v>
      </c>
      <c r="L82" t="s">
        <v>740</v>
      </c>
      <c r="M82" t="s">
        <v>744</v>
      </c>
      <c r="O82">
        <v>450</v>
      </c>
      <c r="P82" t="s">
        <v>752</v>
      </c>
      <c r="R82" t="s">
        <v>1634</v>
      </c>
      <c r="S82" t="s">
        <v>1665</v>
      </c>
      <c r="T82" t="s">
        <v>1721</v>
      </c>
      <c r="U82">
        <v>0</v>
      </c>
      <c r="V82" t="s">
        <v>1106</v>
      </c>
      <c r="W82" t="s">
        <v>1115</v>
      </c>
      <c r="X82">
        <v>23</v>
      </c>
      <c r="Y82">
        <v>2</v>
      </c>
      <c r="Z82">
        <v>2</v>
      </c>
      <c r="AA82">
        <v>65.23999999999999</v>
      </c>
      <c r="AD82" t="s">
        <v>1122</v>
      </c>
      <c r="AE82">
        <v>16800</v>
      </c>
      <c r="AJ82">
        <v>0</v>
      </c>
      <c r="AL82" t="s">
        <v>67</v>
      </c>
      <c r="AM82" t="s">
        <v>1234</v>
      </c>
      <c r="AN82" t="s">
        <v>1236</v>
      </c>
      <c r="AO82" t="s">
        <v>1176</v>
      </c>
      <c r="AQ82" t="s">
        <v>683</v>
      </c>
      <c r="AS82" t="s">
        <v>1277</v>
      </c>
      <c r="AT82" t="s">
        <v>682</v>
      </c>
      <c r="AV82" t="s">
        <v>1282</v>
      </c>
    </row>
    <row r="83" spans="1:48">
      <c r="A83" s="1">
        <f>HYPERLINK("https://lsnyc.legalserver.org/matter/dynamic-profile/view/1905313","19-1905313")</f>
        <v>0</v>
      </c>
      <c r="B83" t="s">
        <v>1285</v>
      </c>
      <c r="C83" t="s">
        <v>1342</v>
      </c>
      <c r="D83" t="s">
        <v>1388</v>
      </c>
      <c r="E83" t="s">
        <v>1479</v>
      </c>
      <c r="F83">
        <v>404</v>
      </c>
      <c r="G83" t="s">
        <v>677</v>
      </c>
      <c r="H83">
        <v>10460</v>
      </c>
      <c r="I83" t="s">
        <v>682</v>
      </c>
      <c r="J83" t="s">
        <v>1551</v>
      </c>
      <c r="K83" t="s">
        <v>732</v>
      </c>
      <c r="L83" t="s">
        <v>740</v>
      </c>
      <c r="O83">
        <v>1269</v>
      </c>
      <c r="P83" t="s">
        <v>753</v>
      </c>
      <c r="R83" t="s">
        <v>1635</v>
      </c>
      <c r="T83" t="s">
        <v>1722</v>
      </c>
      <c r="U83">
        <v>27</v>
      </c>
      <c r="V83" t="s">
        <v>1102</v>
      </c>
      <c r="W83" t="s">
        <v>1115</v>
      </c>
      <c r="X83">
        <v>13</v>
      </c>
      <c r="Y83">
        <v>1</v>
      </c>
      <c r="Z83">
        <v>2</v>
      </c>
      <c r="AA83">
        <v>24.19</v>
      </c>
      <c r="AD83" t="s">
        <v>1122</v>
      </c>
      <c r="AE83">
        <v>5160</v>
      </c>
      <c r="AJ83">
        <v>8.800000000000001</v>
      </c>
      <c r="AK83" t="s">
        <v>1206</v>
      </c>
      <c r="AL83" t="s">
        <v>1229</v>
      </c>
      <c r="AM83" t="s">
        <v>1116</v>
      </c>
      <c r="AN83" t="s">
        <v>1236</v>
      </c>
      <c r="AO83" t="s">
        <v>1166</v>
      </c>
      <c r="AQ83" t="s">
        <v>683</v>
      </c>
      <c r="AS83" t="s">
        <v>1277</v>
      </c>
      <c r="AT83" t="s">
        <v>684</v>
      </c>
      <c r="AV83" t="s">
        <v>1282</v>
      </c>
    </row>
    <row r="84" spans="1:48">
      <c r="A84" s="1">
        <f>HYPERLINK("https://lsnyc.legalserver.org/matter/dynamic-profile/view/1902841","19-1902841")</f>
        <v>0</v>
      </c>
      <c r="B84" t="s">
        <v>72</v>
      </c>
      <c r="C84" t="s">
        <v>1343</v>
      </c>
      <c r="D84" t="s">
        <v>1413</v>
      </c>
      <c r="E84" t="s">
        <v>1480</v>
      </c>
      <c r="F84" t="s">
        <v>621</v>
      </c>
      <c r="G84" t="s">
        <v>677</v>
      </c>
      <c r="H84">
        <v>10452</v>
      </c>
      <c r="I84" t="s">
        <v>682</v>
      </c>
      <c r="J84" t="s">
        <v>1552</v>
      </c>
      <c r="K84" t="s">
        <v>732</v>
      </c>
      <c r="L84" t="s">
        <v>740</v>
      </c>
      <c r="N84" t="s">
        <v>1163</v>
      </c>
      <c r="O84">
        <v>950</v>
      </c>
      <c r="P84" t="s">
        <v>749</v>
      </c>
      <c r="R84" t="s">
        <v>1636</v>
      </c>
      <c r="T84" t="s">
        <v>1723</v>
      </c>
      <c r="U84">
        <v>9</v>
      </c>
      <c r="V84" t="s">
        <v>1102</v>
      </c>
      <c r="W84" t="s">
        <v>1116</v>
      </c>
      <c r="X84">
        <v>4</v>
      </c>
      <c r="Y84">
        <v>1</v>
      </c>
      <c r="Z84">
        <v>2</v>
      </c>
      <c r="AA84">
        <v>97.27</v>
      </c>
      <c r="AD84" t="s">
        <v>1122</v>
      </c>
      <c r="AE84">
        <v>20748</v>
      </c>
      <c r="AJ84">
        <v>0</v>
      </c>
      <c r="AL84" t="s">
        <v>1225</v>
      </c>
      <c r="AM84" t="s">
        <v>1233</v>
      </c>
      <c r="AN84" t="s">
        <v>1236</v>
      </c>
      <c r="AO84" t="s">
        <v>1178</v>
      </c>
      <c r="AQ84" t="s">
        <v>683</v>
      </c>
      <c r="AS84" t="s">
        <v>1277</v>
      </c>
      <c r="AT84" t="s">
        <v>684</v>
      </c>
      <c r="AV84" t="s">
        <v>1282</v>
      </c>
    </row>
    <row r="85" spans="1:48">
      <c r="A85" s="1">
        <f>HYPERLINK("https://lsnyc.legalserver.org/matter/dynamic-profile/view/1905301","19-1905301")</f>
        <v>0</v>
      </c>
      <c r="B85" t="s">
        <v>71</v>
      </c>
      <c r="C85" t="s">
        <v>1289</v>
      </c>
      <c r="D85" t="s">
        <v>1414</v>
      </c>
      <c r="E85" t="s">
        <v>1481</v>
      </c>
      <c r="F85" t="s">
        <v>599</v>
      </c>
      <c r="G85" t="s">
        <v>677</v>
      </c>
      <c r="H85">
        <v>10472</v>
      </c>
      <c r="I85" t="s">
        <v>682</v>
      </c>
      <c r="J85" t="s">
        <v>1553</v>
      </c>
      <c r="K85" t="s">
        <v>732</v>
      </c>
      <c r="L85" t="s">
        <v>740</v>
      </c>
      <c r="O85">
        <v>1350</v>
      </c>
      <c r="P85" t="s">
        <v>752</v>
      </c>
      <c r="R85" t="s">
        <v>1637</v>
      </c>
      <c r="S85" t="s">
        <v>1666</v>
      </c>
      <c r="T85" t="s">
        <v>1724</v>
      </c>
      <c r="U85">
        <v>4</v>
      </c>
      <c r="V85" t="s">
        <v>1104</v>
      </c>
      <c r="W85" t="s">
        <v>1116</v>
      </c>
      <c r="X85">
        <v>1</v>
      </c>
      <c r="Y85">
        <v>1</v>
      </c>
      <c r="Z85">
        <v>1</v>
      </c>
      <c r="AA85">
        <v>176.27</v>
      </c>
      <c r="AD85" t="s">
        <v>1122</v>
      </c>
      <c r="AE85">
        <v>29808</v>
      </c>
      <c r="AJ85">
        <v>1</v>
      </c>
      <c r="AK85" t="s">
        <v>1175</v>
      </c>
      <c r="AL85" t="s">
        <v>1215</v>
      </c>
      <c r="AM85" t="s">
        <v>1233</v>
      </c>
      <c r="AN85" t="s">
        <v>1236</v>
      </c>
      <c r="AO85" t="s">
        <v>1166</v>
      </c>
      <c r="AQ85" t="s">
        <v>683</v>
      </c>
      <c r="AS85" t="s">
        <v>1277</v>
      </c>
      <c r="AT85" t="s">
        <v>684</v>
      </c>
      <c r="AV85" t="s">
        <v>1282</v>
      </c>
    </row>
    <row r="86" spans="1:48">
      <c r="A86" s="1">
        <f>HYPERLINK("https://lsnyc.legalserver.org/matter/dynamic-profile/view/1902984","19-1902984")</f>
        <v>0</v>
      </c>
      <c r="B86" t="s">
        <v>69</v>
      </c>
      <c r="C86" t="s">
        <v>120</v>
      </c>
      <c r="D86" t="s">
        <v>1415</v>
      </c>
      <c r="E86" t="s">
        <v>421</v>
      </c>
      <c r="F86" t="s">
        <v>1527</v>
      </c>
      <c r="G86" t="s">
        <v>677</v>
      </c>
      <c r="H86">
        <v>10460</v>
      </c>
      <c r="I86" t="s">
        <v>683</v>
      </c>
      <c r="K86" t="s">
        <v>732</v>
      </c>
      <c r="L86" t="s">
        <v>740</v>
      </c>
      <c r="O86">
        <v>343</v>
      </c>
      <c r="P86" t="s">
        <v>752</v>
      </c>
      <c r="R86" t="s">
        <v>1638</v>
      </c>
      <c r="U86">
        <v>0</v>
      </c>
      <c r="W86" t="s">
        <v>1115</v>
      </c>
      <c r="X86">
        <v>1</v>
      </c>
      <c r="Y86">
        <v>1</v>
      </c>
      <c r="Z86">
        <v>0</v>
      </c>
      <c r="AA86">
        <v>112.89</v>
      </c>
      <c r="AD86" t="s">
        <v>1123</v>
      </c>
      <c r="AE86">
        <v>14100</v>
      </c>
      <c r="AJ86">
        <v>1.2</v>
      </c>
      <c r="AK86" t="s">
        <v>1199</v>
      </c>
      <c r="AL86" t="s">
        <v>1229</v>
      </c>
      <c r="AN86" t="s">
        <v>1236</v>
      </c>
      <c r="AO86" t="s">
        <v>1746</v>
      </c>
      <c r="AQ86" t="s">
        <v>683</v>
      </c>
      <c r="AS86" t="s">
        <v>1277</v>
      </c>
      <c r="AT86" t="s">
        <v>684</v>
      </c>
      <c r="AV86" t="s">
        <v>1282</v>
      </c>
    </row>
    <row r="87" spans="1:48">
      <c r="A87" s="1">
        <f>HYPERLINK("https://lsnyc.legalserver.org/matter/dynamic-profile/view/1904878","19-1904878")</f>
        <v>0</v>
      </c>
      <c r="B87" t="s">
        <v>72</v>
      </c>
      <c r="C87" t="s">
        <v>1344</v>
      </c>
      <c r="D87" t="s">
        <v>327</v>
      </c>
      <c r="E87" t="s">
        <v>1482</v>
      </c>
      <c r="F87" t="s">
        <v>1528</v>
      </c>
      <c r="G87" t="s">
        <v>677</v>
      </c>
      <c r="H87">
        <v>10459</v>
      </c>
      <c r="I87" t="s">
        <v>682</v>
      </c>
      <c r="K87" t="s">
        <v>737</v>
      </c>
      <c r="L87" t="s">
        <v>740</v>
      </c>
      <c r="O87">
        <v>1720</v>
      </c>
      <c r="R87" t="s">
        <v>1639</v>
      </c>
      <c r="T87" t="s">
        <v>1725</v>
      </c>
      <c r="U87">
        <v>128</v>
      </c>
      <c r="V87" t="s">
        <v>1102</v>
      </c>
      <c r="W87" t="s">
        <v>1116</v>
      </c>
      <c r="X87">
        <v>11</v>
      </c>
      <c r="Y87">
        <v>2</v>
      </c>
      <c r="Z87">
        <v>2</v>
      </c>
      <c r="AA87">
        <v>131.11</v>
      </c>
      <c r="AD87" t="s">
        <v>1122</v>
      </c>
      <c r="AE87">
        <v>33760</v>
      </c>
      <c r="AJ87">
        <v>0</v>
      </c>
      <c r="AL87" t="s">
        <v>1229</v>
      </c>
      <c r="AM87" t="s">
        <v>1233</v>
      </c>
      <c r="AN87" t="s">
        <v>1236</v>
      </c>
      <c r="AO87" t="s">
        <v>1161</v>
      </c>
      <c r="AQ87" t="s">
        <v>683</v>
      </c>
      <c r="AS87" t="s">
        <v>1277</v>
      </c>
      <c r="AT87" t="s">
        <v>684</v>
      </c>
      <c r="AV87" t="s">
        <v>1278</v>
      </c>
    </row>
    <row r="88" spans="1:48">
      <c r="A88" s="1">
        <f>HYPERLINK("https://lsnyc.legalserver.org/matter/dynamic-profile/view/1904604","19-1904604")</f>
        <v>0</v>
      </c>
      <c r="B88" t="s">
        <v>72</v>
      </c>
      <c r="C88" t="s">
        <v>1345</v>
      </c>
      <c r="D88" t="s">
        <v>1416</v>
      </c>
      <c r="E88" t="s">
        <v>1483</v>
      </c>
      <c r="F88">
        <v>7</v>
      </c>
      <c r="G88" t="s">
        <v>677</v>
      </c>
      <c r="H88">
        <v>10460</v>
      </c>
      <c r="I88" t="s">
        <v>683</v>
      </c>
      <c r="K88" t="s">
        <v>737</v>
      </c>
      <c r="L88" t="s">
        <v>740</v>
      </c>
      <c r="O88">
        <v>0</v>
      </c>
      <c r="P88" t="s">
        <v>752</v>
      </c>
      <c r="R88" t="s">
        <v>1640</v>
      </c>
      <c r="S88" t="s">
        <v>1667</v>
      </c>
      <c r="T88" t="s">
        <v>1726</v>
      </c>
      <c r="U88">
        <v>30</v>
      </c>
      <c r="V88" t="s">
        <v>1106</v>
      </c>
      <c r="W88" t="s">
        <v>1115</v>
      </c>
      <c r="X88">
        <v>0</v>
      </c>
      <c r="Y88">
        <v>2</v>
      </c>
      <c r="Z88">
        <v>1</v>
      </c>
      <c r="AA88">
        <v>57.72</v>
      </c>
      <c r="AD88" t="s">
        <v>1122</v>
      </c>
      <c r="AE88">
        <v>12312</v>
      </c>
      <c r="AJ88">
        <v>0</v>
      </c>
      <c r="AL88" t="s">
        <v>1229</v>
      </c>
      <c r="AN88" t="s">
        <v>1236</v>
      </c>
      <c r="AO88" t="s">
        <v>1176</v>
      </c>
      <c r="AQ88" t="s">
        <v>683</v>
      </c>
      <c r="AS88" t="s">
        <v>1277</v>
      </c>
      <c r="AT88" t="s">
        <v>684</v>
      </c>
      <c r="AV88" t="s">
        <v>1282</v>
      </c>
    </row>
    <row r="89" spans="1:48">
      <c r="A89" s="1">
        <f>HYPERLINK("https://lsnyc.legalserver.org/matter/dynamic-profile/view/1905559","19-1905559")</f>
        <v>0</v>
      </c>
      <c r="B89" t="s">
        <v>69</v>
      </c>
      <c r="C89" t="s">
        <v>1346</v>
      </c>
      <c r="D89" t="s">
        <v>1417</v>
      </c>
      <c r="E89" t="s">
        <v>1484</v>
      </c>
      <c r="F89" t="s">
        <v>1505</v>
      </c>
      <c r="G89" t="s">
        <v>677</v>
      </c>
      <c r="H89">
        <v>10453</v>
      </c>
      <c r="I89" t="s">
        <v>683</v>
      </c>
      <c r="J89" t="s">
        <v>1554</v>
      </c>
      <c r="L89" t="s">
        <v>740</v>
      </c>
      <c r="M89" t="s">
        <v>744</v>
      </c>
      <c r="O89">
        <v>0</v>
      </c>
      <c r="R89" t="s">
        <v>1641</v>
      </c>
      <c r="T89" t="s">
        <v>1727</v>
      </c>
      <c r="U89">
        <v>0</v>
      </c>
      <c r="X89">
        <v>0</v>
      </c>
      <c r="Y89">
        <v>4</v>
      </c>
      <c r="Z89">
        <v>0</v>
      </c>
      <c r="AA89">
        <v>0</v>
      </c>
      <c r="AD89" t="s">
        <v>1123</v>
      </c>
      <c r="AE89">
        <v>0</v>
      </c>
      <c r="AJ89">
        <v>0</v>
      </c>
      <c r="AL89" t="s">
        <v>69</v>
      </c>
      <c r="AN89" t="s">
        <v>1236</v>
      </c>
      <c r="AO89" t="s">
        <v>1175</v>
      </c>
      <c r="AQ89" t="s">
        <v>683</v>
      </c>
      <c r="AS89" t="s">
        <v>1277</v>
      </c>
      <c r="AV89" t="s">
        <v>1282</v>
      </c>
    </row>
    <row r="90" spans="1:48">
      <c r="A90" s="1">
        <f>HYPERLINK("https://lsnyc.legalserver.org/matter/dynamic-profile/view/1905354","19-1905354")</f>
        <v>0</v>
      </c>
      <c r="B90" t="s">
        <v>67</v>
      </c>
      <c r="C90" t="s">
        <v>1347</v>
      </c>
      <c r="D90" t="s">
        <v>1359</v>
      </c>
      <c r="E90" t="s">
        <v>1485</v>
      </c>
      <c r="F90" t="s">
        <v>1529</v>
      </c>
      <c r="G90" t="s">
        <v>677</v>
      </c>
      <c r="H90">
        <v>10459</v>
      </c>
      <c r="I90" t="s">
        <v>683</v>
      </c>
      <c r="J90" t="s">
        <v>1555</v>
      </c>
      <c r="K90" t="s">
        <v>730</v>
      </c>
      <c r="O90">
        <v>833</v>
      </c>
      <c r="P90" t="s">
        <v>748</v>
      </c>
      <c r="R90" t="s">
        <v>1642</v>
      </c>
      <c r="T90" t="s">
        <v>1728</v>
      </c>
      <c r="U90">
        <v>67</v>
      </c>
      <c r="X90">
        <v>14</v>
      </c>
      <c r="Y90">
        <v>3</v>
      </c>
      <c r="Z90">
        <v>0</v>
      </c>
      <c r="AA90">
        <v>92.70999999999999</v>
      </c>
      <c r="AD90" t="s">
        <v>1123</v>
      </c>
      <c r="AE90">
        <v>19776</v>
      </c>
      <c r="AJ90">
        <v>3.4</v>
      </c>
      <c r="AK90" t="s">
        <v>1160</v>
      </c>
      <c r="AL90" t="s">
        <v>1216</v>
      </c>
      <c r="AN90" t="s">
        <v>1236</v>
      </c>
      <c r="AO90" t="s">
        <v>1168</v>
      </c>
      <c r="AQ90" t="s">
        <v>683</v>
      </c>
      <c r="AS90" t="s">
        <v>1277</v>
      </c>
      <c r="AV90" t="s">
        <v>1282</v>
      </c>
    </row>
    <row r="91" spans="1:48">
      <c r="A91" s="1">
        <f>HYPERLINK("https://lsnyc.legalserver.org/matter/dynamic-profile/view/1906227","19-1906227")</f>
        <v>0</v>
      </c>
      <c r="B91" t="s">
        <v>80</v>
      </c>
      <c r="C91" t="s">
        <v>1348</v>
      </c>
      <c r="D91" t="s">
        <v>1418</v>
      </c>
      <c r="E91" t="s">
        <v>1486</v>
      </c>
      <c r="F91" t="s">
        <v>1530</v>
      </c>
      <c r="G91" t="s">
        <v>677</v>
      </c>
      <c r="H91">
        <v>10451</v>
      </c>
      <c r="I91" t="s">
        <v>683</v>
      </c>
      <c r="K91" t="s">
        <v>733</v>
      </c>
      <c r="O91">
        <v>1325</v>
      </c>
      <c r="P91" t="s">
        <v>749</v>
      </c>
      <c r="R91" t="s">
        <v>1643</v>
      </c>
      <c r="T91" t="s">
        <v>1729</v>
      </c>
      <c r="U91">
        <v>0</v>
      </c>
      <c r="V91" t="s">
        <v>1103</v>
      </c>
      <c r="X91">
        <v>5</v>
      </c>
      <c r="Y91">
        <v>1</v>
      </c>
      <c r="Z91">
        <v>3</v>
      </c>
      <c r="AA91">
        <v>20.97</v>
      </c>
      <c r="AD91" t="s">
        <v>1122</v>
      </c>
      <c r="AE91">
        <v>5400</v>
      </c>
      <c r="AJ91">
        <v>0</v>
      </c>
      <c r="AL91" t="s">
        <v>1744</v>
      </c>
      <c r="AN91" t="s">
        <v>1236</v>
      </c>
      <c r="AO91" t="s">
        <v>1160</v>
      </c>
      <c r="AQ91" t="s">
        <v>683</v>
      </c>
      <c r="AS91" t="s">
        <v>1277</v>
      </c>
      <c r="AV91" t="s">
        <v>1282</v>
      </c>
    </row>
    <row r="92" spans="1:48">
      <c r="A92" s="1">
        <f>HYPERLINK("https://lsnyc.legalserver.org/matter/dynamic-profile/view/1905037","19-1905037")</f>
        <v>0</v>
      </c>
      <c r="B92" t="s">
        <v>73</v>
      </c>
      <c r="C92" t="s">
        <v>1349</v>
      </c>
      <c r="D92" t="s">
        <v>267</v>
      </c>
      <c r="E92" t="s">
        <v>1487</v>
      </c>
      <c r="F92" t="s">
        <v>1531</v>
      </c>
      <c r="G92" t="s">
        <v>677</v>
      </c>
      <c r="H92">
        <v>10457</v>
      </c>
      <c r="I92" t="s">
        <v>683</v>
      </c>
      <c r="K92" t="s">
        <v>731</v>
      </c>
      <c r="O92">
        <v>1680</v>
      </c>
      <c r="P92" t="s">
        <v>748</v>
      </c>
      <c r="R92" t="s">
        <v>1644</v>
      </c>
      <c r="T92" t="s">
        <v>1730</v>
      </c>
      <c r="U92">
        <v>100</v>
      </c>
      <c r="V92" t="s">
        <v>1105</v>
      </c>
      <c r="W92" t="s">
        <v>748</v>
      </c>
      <c r="X92">
        <v>16</v>
      </c>
      <c r="Y92">
        <v>1</v>
      </c>
      <c r="Z92">
        <v>3</v>
      </c>
      <c r="AA92">
        <v>131.26</v>
      </c>
      <c r="AD92" t="s">
        <v>1122</v>
      </c>
      <c r="AE92">
        <v>33800</v>
      </c>
      <c r="AJ92">
        <v>3.2</v>
      </c>
      <c r="AK92" t="s">
        <v>1179</v>
      </c>
      <c r="AL92" t="s">
        <v>1222</v>
      </c>
      <c r="AN92" t="s">
        <v>1236</v>
      </c>
      <c r="AO92" t="s">
        <v>1162</v>
      </c>
      <c r="AQ92" t="s">
        <v>683</v>
      </c>
      <c r="AS92" t="s">
        <v>1277</v>
      </c>
      <c r="AT92" t="s">
        <v>684</v>
      </c>
      <c r="AV92" t="s">
        <v>1282</v>
      </c>
    </row>
    <row r="93" spans="1:48">
      <c r="A93" s="1">
        <f>HYPERLINK("https://lsnyc.legalserver.org/matter/dynamic-profile/view/1902136","19-1902136")</f>
        <v>0</v>
      </c>
      <c r="B93" t="s">
        <v>72</v>
      </c>
      <c r="C93" t="s">
        <v>1350</v>
      </c>
      <c r="D93" t="s">
        <v>1419</v>
      </c>
      <c r="E93" t="s">
        <v>1488</v>
      </c>
      <c r="F93">
        <v>1</v>
      </c>
      <c r="G93" t="s">
        <v>677</v>
      </c>
      <c r="H93">
        <v>10459</v>
      </c>
      <c r="I93" t="s">
        <v>682</v>
      </c>
      <c r="K93" t="s">
        <v>731</v>
      </c>
      <c r="O93">
        <v>1200</v>
      </c>
      <c r="R93" t="s">
        <v>1645</v>
      </c>
      <c r="U93">
        <v>3</v>
      </c>
      <c r="V93" t="s">
        <v>1105</v>
      </c>
      <c r="W93" t="s">
        <v>1116</v>
      </c>
      <c r="X93">
        <v>11</v>
      </c>
      <c r="Y93">
        <v>2</v>
      </c>
      <c r="Z93">
        <v>1</v>
      </c>
      <c r="AA93">
        <v>60.95</v>
      </c>
      <c r="AD93" t="s">
        <v>1123</v>
      </c>
      <c r="AE93">
        <v>13000</v>
      </c>
      <c r="AJ93">
        <v>2.5</v>
      </c>
      <c r="AK93" t="s">
        <v>1193</v>
      </c>
      <c r="AL93" t="s">
        <v>1219</v>
      </c>
      <c r="AM93" t="s">
        <v>1233</v>
      </c>
      <c r="AN93" t="s">
        <v>1236</v>
      </c>
      <c r="AO93" t="s">
        <v>1190</v>
      </c>
      <c r="AQ93" t="s">
        <v>683</v>
      </c>
      <c r="AS93" t="s">
        <v>1277</v>
      </c>
      <c r="AT93" t="s">
        <v>684</v>
      </c>
      <c r="AV93" t="s">
        <v>1282</v>
      </c>
    </row>
    <row r="94" spans="1:48">
      <c r="A94" s="1">
        <f>HYPERLINK("https://lsnyc.legalserver.org/matter/dynamic-profile/view/1904013","19-1904013")</f>
        <v>0</v>
      </c>
      <c r="B94" t="s">
        <v>80</v>
      </c>
      <c r="C94" t="s">
        <v>165</v>
      </c>
      <c r="D94" t="s">
        <v>1420</v>
      </c>
      <c r="E94" t="s">
        <v>1489</v>
      </c>
      <c r="F94">
        <v>2</v>
      </c>
      <c r="G94" t="s">
        <v>677</v>
      </c>
      <c r="H94">
        <v>10460</v>
      </c>
      <c r="I94" t="s">
        <v>683</v>
      </c>
      <c r="J94" t="s">
        <v>1556</v>
      </c>
      <c r="K94" t="s">
        <v>732</v>
      </c>
      <c r="O94">
        <v>1179</v>
      </c>
      <c r="P94" t="s">
        <v>752</v>
      </c>
      <c r="R94" t="s">
        <v>1646</v>
      </c>
      <c r="T94" t="s">
        <v>1731</v>
      </c>
      <c r="U94">
        <v>25</v>
      </c>
      <c r="V94" t="s">
        <v>1102</v>
      </c>
      <c r="W94" t="s">
        <v>1116</v>
      </c>
      <c r="X94">
        <v>14</v>
      </c>
      <c r="Y94">
        <v>1</v>
      </c>
      <c r="Z94">
        <v>0</v>
      </c>
      <c r="AA94">
        <v>99.92</v>
      </c>
      <c r="AD94" t="s">
        <v>1122</v>
      </c>
      <c r="AE94">
        <v>12480</v>
      </c>
      <c r="AJ94">
        <v>0.6</v>
      </c>
      <c r="AK94" t="s">
        <v>1208</v>
      </c>
      <c r="AL94" t="s">
        <v>1228</v>
      </c>
      <c r="AN94" t="s">
        <v>1236</v>
      </c>
      <c r="AO94" t="s">
        <v>1208</v>
      </c>
      <c r="AQ94" t="s">
        <v>683</v>
      </c>
      <c r="AS94" t="s">
        <v>1277</v>
      </c>
      <c r="AV94" t="s">
        <v>1282</v>
      </c>
    </row>
    <row r="95" spans="1:48">
      <c r="A95" s="1">
        <f>HYPERLINK("https://lsnyc.legalserver.org/matter/dynamic-profile/view/1905475","19-1905475")</f>
        <v>0</v>
      </c>
      <c r="B95" t="s">
        <v>69</v>
      </c>
      <c r="C95" t="s">
        <v>131</v>
      </c>
      <c r="D95" t="s">
        <v>1421</v>
      </c>
      <c r="E95" t="s">
        <v>1490</v>
      </c>
      <c r="F95" t="s">
        <v>1532</v>
      </c>
      <c r="G95" t="s">
        <v>677</v>
      </c>
      <c r="H95">
        <v>10460</v>
      </c>
      <c r="I95" t="s">
        <v>683</v>
      </c>
      <c r="K95" t="s">
        <v>732</v>
      </c>
      <c r="O95">
        <v>1900</v>
      </c>
      <c r="P95" t="s">
        <v>748</v>
      </c>
      <c r="R95" t="s">
        <v>1647</v>
      </c>
      <c r="U95">
        <v>3</v>
      </c>
      <c r="V95" t="s">
        <v>1105</v>
      </c>
      <c r="W95" t="s">
        <v>1116</v>
      </c>
      <c r="X95">
        <v>9</v>
      </c>
      <c r="Y95">
        <v>1</v>
      </c>
      <c r="Z95">
        <v>0</v>
      </c>
      <c r="AA95">
        <v>184.47</v>
      </c>
      <c r="AD95" t="s">
        <v>1122</v>
      </c>
      <c r="AE95">
        <v>23040</v>
      </c>
      <c r="AJ95">
        <v>0.5</v>
      </c>
      <c r="AK95" t="s">
        <v>1169</v>
      </c>
      <c r="AL95" t="s">
        <v>1222</v>
      </c>
      <c r="AN95" t="s">
        <v>1236</v>
      </c>
      <c r="AO95" t="s">
        <v>1169</v>
      </c>
      <c r="AQ95" t="s">
        <v>683</v>
      </c>
      <c r="AS95" t="s">
        <v>1277</v>
      </c>
      <c r="AV95" t="s">
        <v>1282</v>
      </c>
    </row>
    <row r="96" spans="1:48">
      <c r="A96" s="1">
        <f>HYPERLINK("https://lsnyc.legalserver.org/matter/dynamic-profile/view/1905563","19-1905563")</f>
        <v>0</v>
      </c>
      <c r="B96" t="s">
        <v>82</v>
      </c>
      <c r="C96" t="s">
        <v>1351</v>
      </c>
      <c r="D96" t="s">
        <v>1422</v>
      </c>
      <c r="E96" t="s">
        <v>1491</v>
      </c>
      <c r="F96" t="s">
        <v>646</v>
      </c>
      <c r="G96" t="s">
        <v>677</v>
      </c>
      <c r="H96">
        <v>10459</v>
      </c>
      <c r="I96" t="s">
        <v>683</v>
      </c>
      <c r="K96" t="s">
        <v>1559</v>
      </c>
      <c r="O96">
        <v>168</v>
      </c>
      <c r="R96" t="s">
        <v>1648</v>
      </c>
      <c r="T96" t="s">
        <v>1732</v>
      </c>
      <c r="U96">
        <v>20</v>
      </c>
      <c r="V96" t="s">
        <v>1106</v>
      </c>
      <c r="W96" t="s">
        <v>1115</v>
      </c>
      <c r="X96">
        <v>18</v>
      </c>
      <c r="Y96">
        <v>1</v>
      </c>
      <c r="Z96">
        <v>0</v>
      </c>
      <c r="AA96">
        <v>71.09999999999999</v>
      </c>
      <c r="AD96" t="s">
        <v>1122</v>
      </c>
      <c r="AE96">
        <v>8880</v>
      </c>
      <c r="AJ96">
        <v>0.5</v>
      </c>
      <c r="AK96" t="s">
        <v>1175</v>
      </c>
      <c r="AL96" t="s">
        <v>1219</v>
      </c>
      <c r="AN96" t="s">
        <v>1236</v>
      </c>
      <c r="AO96" t="s">
        <v>1175</v>
      </c>
      <c r="AQ96" t="s">
        <v>683</v>
      </c>
      <c r="AS96" t="s">
        <v>1277</v>
      </c>
      <c r="AV96" t="s">
        <v>1282</v>
      </c>
    </row>
    <row r="97" spans="1:48">
      <c r="A97" s="1">
        <f>HYPERLINK("https://lsnyc.legalserver.org/matter/dynamic-profile/view/1900249","19-1900249")</f>
        <v>0</v>
      </c>
      <c r="B97" t="s">
        <v>1229</v>
      </c>
      <c r="C97" t="s">
        <v>1352</v>
      </c>
      <c r="D97" t="s">
        <v>1423</v>
      </c>
      <c r="E97" t="s">
        <v>1492</v>
      </c>
      <c r="F97">
        <v>2</v>
      </c>
      <c r="G97" t="s">
        <v>677</v>
      </c>
      <c r="H97">
        <v>10451</v>
      </c>
      <c r="I97" t="s">
        <v>683</v>
      </c>
      <c r="O97">
        <v>1600</v>
      </c>
      <c r="P97" t="s">
        <v>753</v>
      </c>
      <c r="R97" t="s">
        <v>1649</v>
      </c>
      <c r="T97" t="s">
        <v>1014</v>
      </c>
      <c r="U97">
        <v>0</v>
      </c>
      <c r="W97" t="s">
        <v>1116</v>
      </c>
      <c r="X97">
        <v>10</v>
      </c>
      <c r="Y97">
        <v>1</v>
      </c>
      <c r="Z97">
        <v>1</v>
      </c>
      <c r="AA97">
        <v>21.29</v>
      </c>
      <c r="AD97" t="s">
        <v>1122</v>
      </c>
      <c r="AE97">
        <v>3600</v>
      </c>
      <c r="AJ97">
        <v>0.4</v>
      </c>
      <c r="AK97" t="s">
        <v>1170</v>
      </c>
      <c r="AL97" t="s">
        <v>1229</v>
      </c>
      <c r="AN97" t="s">
        <v>1236</v>
      </c>
      <c r="AO97" t="s">
        <v>1164</v>
      </c>
      <c r="AQ97" t="s">
        <v>683</v>
      </c>
      <c r="AS97" t="s">
        <v>1277</v>
      </c>
      <c r="AV97" t="s">
        <v>1282</v>
      </c>
    </row>
    <row r="98" spans="1:48">
      <c r="A98" s="1">
        <f>HYPERLINK("https://lsnyc.legalserver.org/matter/dynamic-profile/view/1905887","19-1905887")</f>
        <v>0</v>
      </c>
      <c r="B98" t="s">
        <v>72</v>
      </c>
      <c r="C98" t="s">
        <v>1353</v>
      </c>
      <c r="D98" t="s">
        <v>1424</v>
      </c>
      <c r="E98" t="s">
        <v>1493</v>
      </c>
      <c r="F98" t="s">
        <v>1514</v>
      </c>
      <c r="G98" t="s">
        <v>677</v>
      </c>
      <c r="H98">
        <v>10453</v>
      </c>
      <c r="I98" t="s">
        <v>683</v>
      </c>
      <c r="O98">
        <v>1126</v>
      </c>
      <c r="P98" t="s">
        <v>1564</v>
      </c>
      <c r="R98" t="s">
        <v>1650</v>
      </c>
      <c r="T98" t="s">
        <v>1733</v>
      </c>
      <c r="U98">
        <v>35</v>
      </c>
      <c r="W98" t="s">
        <v>1116</v>
      </c>
      <c r="X98">
        <v>16</v>
      </c>
      <c r="Y98">
        <v>1</v>
      </c>
      <c r="Z98">
        <v>0</v>
      </c>
      <c r="AA98">
        <v>80.7</v>
      </c>
      <c r="AD98" t="s">
        <v>1122</v>
      </c>
      <c r="AE98">
        <v>10080</v>
      </c>
      <c r="AJ98">
        <v>1</v>
      </c>
      <c r="AK98" t="s">
        <v>1179</v>
      </c>
      <c r="AL98" t="s">
        <v>1221</v>
      </c>
      <c r="AN98" t="s">
        <v>1236</v>
      </c>
      <c r="AO98" t="s">
        <v>1179</v>
      </c>
      <c r="AQ98" t="s">
        <v>683</v>
      </c>
      <c r="AS98" t="s">
        <v>1277</v>
      </c>
      <c r="AV98" t="s">
        <v>1282</v>
      </c>
    </row>
    <row r="99" spans="1:48">
      <c r="A99" s="1">
        <f>HYPERLINK("https://lsnyc.legalserver.org/matter/dynamic-profile/view/1905088","19-1905088")</f>
        <v>0</v>
      </c>
      <c r="B99" t="s">
        <v>78</v>
      </c>
      <c r="C99" t="s">
        <v>1319</v>
      </c>
      <c r="D99" t="s">
        <v>330</v>
      </c>
      <c r="E99" t="s">
        <v>1494</v>
      </c>
      <c r="F99" t="s">
        <v>1533</v>
      </c>
      <c r="G99" t="s">
        <v>677</v>
      </c>
      <c r="H99">
        <v>10452</v>
      </c>
      <c r="I99" t="s">
        <v>683</v>
      </c>
      <c r="O99">
        <v>1270</v>
      </c>
      <c r="R99" t="s">
        <v>1651</v>
      </c>
      <c r="T99" t="s">
        <v>1734</v>
      </c>
      <c r="U99">
        <v>40</v>
      </c>
      <c r="X99">
        <v>6</v>
      </c>
      <c r="Y99">
        <v>2</v>
      </c>
      <c r="Z99">
        <v>0</v>
      </c>
      <c r="AA99">
        <v>20.58</v>
      </c>
      <c r="AD99" t="s">
        <v>1123</v>
      </c>
      <c r="AE99">
        <v>3480</v>
      </c>
      <c r="AJ99">
        <v>1.2</v>
      </c>
      <c r="AK99" t="s">
        <v>1165</v>
      </c>
      <c r="AL99" t="s">
        <v>1220</v>
      </c>
      <c r="AN99" t="s">
        <v>1236</v>
      </c>
      <c r="AO99" t="s">
        <v>1162</v>
      </c>
      <c r="AQ99" t="s">
        <v>683</v>
      </c>
      <c r="AS99" t="s">
        <v>1277</v>
      </c>
      <c r="AV99" t="s">
        <v>1282</v>
      </c>
    </row>
    <row r="100" spans="1:48">
      <c r="A100" s="1">
        <f>HYPERLINK("https://lsnyc.legalserver.org/matter/dynamic-profile/view/1904504","19-1904504")</f>
        <v>0</v>
      </c>
      <c r="B100" t="s">
        <v>67</v>
      </c>
      <c r="C100" t="s">
        <v>196</v>
      </c>
      <c r="D100" t="s">
        <v>1425</v>
      </c>
      <c r="E100" t="s">
        <v>1478</v>
      </c>
      <c r="F100" t="s">
        <v>615</v>
      </c>
      <c r="G100" t="s">
        <v>677</v>
      </c>
      <c r="H100">
        <v>10459</v>
      </c>
      <c r="I100" t="s">
        <v>683</v>
      </c>
      <c r="O100">
        <v>0</v>
      </c>
      <c r="R100" t="s">
        <v>1652</v>
      </c>
      <c r="T100" t="s">
        <v>1735</v>
      </c>
      <c r="U100">
        <v>0</v>
      </c>
      <c r="X100">
        <v>0</v>
      </c>
      <c r="Y100">
        <v>2</v>
      </c>
      <c r="Z100">
        <v>0</v>
      </c>
      <c r="AA100">
        <v>117.45</v>
      </c>
      <c r="AD100" t="s">
        <v>1122</v>
      </c>
      <c r="AE100">
        <v>19860</v>
      </c>
      <c r="AJ100">
        <v>3.3</v>
      </c>
      <c r="AK100" t="s">
        <v>1175</v>
      </c>
      <c r="AL100" t="s">
        <v>67</v>
      </c>
      <c r="AN100" t="s">
        <v>1236</v>
      </c>
      <c r="AO100" t="s">
        <v>1176</v>
      </c>
      <c r="AQ100" t="s">
        <v>683</v>
      </c>
      <c r="AS100" t="s">
        <v>1277</v>
      </c>
      <c r="AV100" t="s">
        <v>1748</v>
      </c>
    </row>
    <row r="101" spans="1:48">
      <c r="A101" s="1">
        <f>HYPERLINK("https://lsnyc.legalserver.org/matter/dynamic-profile/view/1905665","19-1905665")</f>
        <v>0</v>
      </c>
      <c r="B101" t="s">
        <v>72</v>
      </c>
      <c r="C101" t="s">
        <v>1354</v>
      </c>
      <c r="D101" t="s">
        <v>1426</v>
      </c>
      <c r="E101" t="s">
        <v>1495</v>
      </c>
      <c r="F101" t="s">
        <v>1514</v>
      </c>
      <c r="G101" t="s">
        <v>677</v>
      </c>
      <c r="H101">
        <v>10453</v>
      </c>
      <c r="I101" t="s">
        <v>683</v>
      </c>
      <c r="O101">
        <v>877</v>
      </c>
      <c r="P101" t="s">
        <v>752</v>
      </c>
      <c r="R101" t="s">
        <v>1653</v>
      </c>
      <c r="T101" t="s">
        <v>1736</v>
      </c>
      <c r="U101">
        <v>65</v>
      </c>
      <c r="V101" t="s">
        <v>1102</v>
      </c>
      <c r="W101" t="s">
        <v>1116</v>
      </c>
      <c r="X101">
        <v>5</v>
      </c>
      <c r="Y101">
        <v>1</v>
      </c>
      <c r="Z101">
        <v>0</v>
      </c>
      <c r="AA101">
        <v>104.08</v>
      </c>
      <c r="AD101" t="s">
        <v>1122</v>
      </c>
      <c r="AE101">
        <v>13000</v>
      </c>
      <c r="AJ101">
        <v>1.5</v>
      </c>
      <c r="AK101" t="s">
        <v>1165</v>
      </c>
      <c r="AL101" t="s">
        <v>1221</v>
      </c>
      <c r="AN101" t="s">
        <v>1236</v>
      </c>
      <c r="AO101" t="s">
        <v>1165</v>
      </c>
      <c r="AQ101" t="s">
        <v>683</v>
      </c>
      <c r="AS101" t="s">
        <v>1277</v>
      </c>
      <c r="AV101" t="s">
        <v>1282</v>
      </c>
    </row>
    <row r="102" spans="1:48">
      <c r="A102" s="1">
        <f>HYPERLINK("https://lsnyc.legalserver.org/matter/dynamic-profile/view/1905047","19-1905047")</f>
        <v>0</v>
      </c>
      <c r="B102" t="s">
        <v>73</v>
      </c>
      <c r="C102" t="s">
        <v>1355</v>
      </c>
      <c r="D102" t="s">
        <v>1427</v>
      </c>
      <c r="E102" t="s">
        <v>1496</v>
      </c>
      <c r="F102" t="s">
        <v>1534</v>
      </c>
      <c r="G102" t="s">
        <v>677</v>
      </c>
      <c r="H102">
        <v>10453</v>
      </c>
      <c r="I102" t="s">
        <v>683</v>
      </c>
      <c r="O102">
        <v>963.8</v>
      </c>
      <c r="P102" t="s">
        <v>752</v>
      </c>
      <c r="R102" t="s">
        <v>1654</v>
      </c>
      <c r="T102" t="s">
        <v>1737</v>
      </c>
      <c r="U102">
        <v>100</v>
      </c>
      <c r="V102" t="s">
        <v>1103</v>
      </c>
      <c r="W102" t="s">
        <v>1115</v>
      </c>
      <c r="X102">
        <v>28</v>
      </c>
      <c r="Y102">
        <v>1</v>
      </c>
      <c r="Z102">
        <v>0</v>
      </c>
      <c r="AA102">
        <v>74.94</v>
      </c>
      <c r="AD102" t="s">
        <v>1122</v>
      </c>
      <c r="AE102">
        <v>9360</v>
      </c>
      <c r="AJ102">
        <v>1.2</v>
      </c>
      <c r="AK102" t="s">
        <v>1162</v>
      </c>
      <c r="AL102" t="s">
        <v>1221</v>
      </c>
      <c r="AN102" t="s">
        <v>1236</v>
      </c>
      <c r="AO102" t="s">
        <v>1162</v>
      </c>
      <c r="AQ102" t="s">
        <v>683</v>
      </c>
      <c r="AS102" t="s">
        <v>1277</v>
      </c>
      <c r="AV102" t="s">
        <v>1282</v>
      </c>
    </row>
    <row r="103" spans="1:48">
      <c r="A103" s="1">
        <f>HYPERLINK("https://lsnyc.legalserver.org/matter/dynamic-profile/view/1906235","19-1906235")</f>
        <v>0</v>
      </c>
      <c r="B103" t="s">
        <v>60</v>
      </c>
      <c r="C103" t="s">
        <v>1289</v>
      </c>
      <c r="D103" t="s">
        <v>1400</v>
      </c>
      <c r="E103" t="s">
        <v>1464</v>
      </c>
      <c r="F103" t="s">
        <v>1523</v>
      </c>
      <c r="G103" t="s">
        <v>677</v>
      </c>
      <c r="H103">
        <v>10455</v>
      </c>
      <c r="I103" t="s">
        <v>683</v>
      </c>
      <c r="O103">
        <v>0</v>
      </c>
      <c r="R103" t="s">
        <v>1618</v>
      </c>
      <c r="T103" t="s">
        <v>1708</v>
      </c>
      <c r="U103">
        <v>0</v>
      </c>
      <c r="X103">
        <v>0</v>
      </c>
      <c r="Y103">
        <v>1</v>
      </c>
      <c r="Z103">
        <v>3</v>
      </c>
      <c r="AA103">
        <v>18.92</v>
      </c>
      <c r="AD103" t="s">
        <v>1122</v>
      </c>
      <c r="AE103">
        <v>4870.8</v>
      </c>
      <c r="AJ103">
        <v>0</v>
      </c>
      <c r="AL103" t="s">
        <v>60</v>
      </c>
      <c r="AN103" t="s">
        <v>1236</v>
      </c>
      <c r="AO103" t="s">
        <v>1160</v>
      </c>
      <c r="AQ103" t="s">
        <v>683</v>
      </c>
      <c r="AS103" t="s">
        <v>1277</v>
      </c>
      <c r="AV103" t="s">
        <v>1282</v>
      </c>
    </row>
    <row r="104" spans="1:48">
      <c r="A104" s="1">
        <f>HYPERLINK("https://lsnyc.legalserver.org/matter/dynamic-profile/view/1906062","19-1906062")</f>
        <v>0</v>
      </c>
      <c r="B104" t="s">
        <v>82</v>
      </c>
      <c r="C104" t="s">
        <v>1356</v>
      </c>
      <c r="D104" t="s">
        <v>1428</v>
      </c>
      <c r="E104" t="s">
        <v>544</v>
      </c>
      <c r="F104" t="s">
        <v>1535</v>
      </c>
      <c r="G104" t="s">
        <v>677</v>
      </c>
      <c r="H104">
        <v>10474</v>
      </c>
      <c r="I104" t="s">
        <v>682</v>
      </c>
      <c r="O104">
        <v>1425</v>
      </c>
      <c r="P104" t="s">
        <v>749</v>
      </c>
      <c r="R104" t="s">
        <v>1655</v>
      </c>
      <c r="T104" t="s">
        <v>1738</v>
      </c>
      <c r="U104">
        <v>47</v>
      </c>
      <c r="V104" t="s">
        <v>1102</v>
      </c>
      <c r="W104" t="s">
        <v>1116</v>
      </c>
      <c r="X104">
        <v>4</v>
      </c>
      <c r="Y104">
        <v>2</v>
      </c>
      <c r="Z104">
        <v>0</v>
      </c>
      <c r="AA104">
        <v>292.13</v>
      </c>
      <c r="AD104" t="s">
        <v>1122</v>
      </c>
      <c r="AE104">
        <v>49400</v>
      </c>
      <c r="AJ104">
        <v>11.5</v>
      </c>
      <c r="AK104" t="s">
        <v>1160</v>
      </c>
      <c r="AL104" t="s">
        <v>1231</v>
      </c>
      <c r="AN104" t="s">
        <v>1236</v>
      </c>
      <c r="AO104" t="s">
        <v>1206</v>
      </c>
      <c r="AQ104" t="s">
        <v>683</v>
      </c>
      <c r="AS104" t="s">
        <v>1277</v>
      </c>
      <c r="AT104" t="s">
        <v>682</v>
      </c>
      <c r="AV104" t="s">
        <v>1282</v>
      </c>
    </row>
    <row r="105" spans="1:48">
      <c r="A105" s="1">
        <f>HYPERLINK("https://lsnyc.legalserver.org/matter/dynamic-profile/view/1904264","19-1904264")</f>
        <v>0</v>
      </c>
      <c r="B105" t="s">
        <v>78</v>
      </c>
      <c r="C105" t="s">
        <v>1357</v>
      </c>
      <c r="D105" t="s">
        <v>1429</v>
      </c>
      <c r="E105" t="s">
        <v>1497</v>
      </c>
      <c r="F105" t="s">
        <v>1536</v>
      </c>
      <c r="G105" t="s">
        <v>677</v>
      </c>
      <c r="H105">
        <v>10452</v>
      </c>
      <c r="I105" t="s">
        <v>683</v>
      </c>
      <c r="O105">
        <v>1096.48</v>
      </c>
      <c r="P105" t="s">
        <v>754</v>
      </c>
      <c r="R105" t="s">
        <v>1656</v>
      </c>
      <c r="T105" t="s">
        <v>1739</v>
      </c>
      <c r="U105">
        <v>77</v>
      </c>
      <c r="W105" t="s">
        <v>1116</v>
      </c>
      <c r="X105">
        <v>15</v>
      </c>
      <c r="Y105">
        <v>1</v>
      </c>
      <c r="Z105">
        <v>3</v>
      </c>
      <c r="AA105">
        <v>72.7</v>
      </c>
      <c r="AD105" t="s">
        <v>1122</v>
      </c>
      <c r="AE105">
        <v>18720</v>
      </c>
      <c r="AJ105">
        <v>2.1</v>
      </c>
      <c r="AK105" t="s">
        <v>1206</v>
      </c>
      <c r="AL105" t="s">
        <v>1220</v>
      </c>
      <c r="AN105" t="s">
        <v>1236</v>
      </c>
      <c r="AO105" t="s">
        <v>1162</v>
      </c>
      <c r="AQ105" t="s">
        <v>683</v>
      </c>
      <c r="AS105" t="s">
        <v>1277</v>
      </c>
      <c r="AV105" t="s">
        <v>1282</v>
      </c>
    </row>
    <row r="106" spans="1:48">
      <c r="A106" s="1">
        <f>HYPERLINK("https://lsnyc.legalserver.org/matter/dynamic-profile/view/1899008","19-1899008")</f>
        <v>0</v>
      </c>
      <c r="B106" t="s">
        <v>67</v>
      </c>
      <c r="C106" t="s">
        <v>1358</v>
      </c>
      <c r="D106" t="s">
        <v>1420</v>
      </c>
      <c r="E106" t="s">
        <v>1498</v>
      </c>
      <c r="F106" t="s">
        <v>1537</v>
      </c>
      <c r="G106" t="s">
        <v>677</v>
      </c>
      <c r="H106">
        <v>10452</v>
      </c>
      <c r="I106" t="s">
        <v>683</v>
      </c>
      <c r="O106">
        <v>1303</v>
      </c>
      <c r="P106" t="s">
        <v>753</v>
      </c>
      <c r="R106" t="s">
        <v>1657</v>
      </c>
      <c r="T106" t="s">
        <v>1740</v>
      </c>
      <c r="U106">
        <v>0</v>
      </c>
      <c r="X106">
        <v>1</v>
      </c>
      <c r="Y106">
        <v>1</v>
      </c>
      <c r="Z106">
        <v>1</v>
      </c>
      <c r="AA106">
        <v>0</v>
      </c>
      <c r="AD106" t="s">
        <v>1123</v>
      </c>
      <c r="AE106">
        <v>0</v>
      </c>
      <c r="AJ106">
        <v>1.2</v>
      </c>
      <c r="AK106" t="s">
        <v>1201</v>
      </c>
      <c r="AL106" t="s">
        <v>1221</v>
      </c>
      <c r="AN106" t="s">
        <v>1236</v>
      </c>
      <c r="AO106" t="s">
        <v>1184</v>
      </c>
      <c r="AQ106" t="s">
        <v>683</v>
      </c>
      <c r="AS106" t="s">
        <v>1277</v>
      </c>
      <c r="AV106" t="s">
        <v>1282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327"/>
  <sheetViews>
    <sheetView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HYPERLINK("https://lsnyc.legalserver.org/matter/dynamic-profile/view/1902684","19-1902684")</f>
        <v>0</v>
      </c>
      <c r="B2" t="s">
        <v>90</v>
      </c>
      <c r="C2" t="s">
        <v>1764</v>
      </c>
      <c r="D2" t="s">
        <v>2000</v>
      </c>
      <c r="E2" t="s">
        <v>2234</v>
      </c>
      <c r="F2" t="s">
        <v>646</v>
      </c>
      <c r="G2" t="s">
        <v>677</v>
      </c>
      <c r="H2">
        <v>10475</v>
      </c>
      <c r="I2" t="s">
        <v>682</v>
      </c>
      <c r="J2" t="s">
        <v>2599</v>
      </c>
      <c r="K2" t="s">
        <v>730</v>
      </c>
      <c r="L2" t="s">
        <v>738</v>
      </c>
      <c r="M2" t="s">
        <v>744</v>
      </c>
      <c r="O2">
        <v>935</v>
      </c>
      <c r="P2" t="s">
        <v>753</v>
      </c>
      <c r="Q2" t="s">
        <v>758</v>
      </c>
      <c r="R2" t="s">
        <v>1238</v>
      </c>
      <c r="T2" t="s">
        <v>3250</v>
      </c>
      <c r="U2">
        <v>0</v>
      </c>
      <c r="V2" t="s">
        <v>1109</v>
      </c>
      <c r="X2">
        <v>47</v>
      </c>
      <c r="Y2">
        <v>1</v>
      </c>
      <c r="Z2">
        <v>0</v>
      </c>
      <c r="AA2">
        <v>19.05</v>
      </c>
      <c r="AD2" t="s">
        <v>1122</v>
      </c>
      <c r="AE2">
        <v>2379</v>
      </c>
      <c r="AF2" t="s">
        <v>3520</v>
      </c>
      <c r="AK2">
        <v>1</v>
      </c>
      <c r="AL2" t="s">
        <v>1172</v>
      </c>
      <c r="AM2" t="s">
        <v>77</v>
      </c>
      <c r="AN2" t="s">
        <v>1233</v>
      </c>
      <c r="AO2" t="s">
        <v>1235</v>
      </c>
      <c r="AP2" t="s">
        <v>1167</v>
      </c>
      <c r="AQ2" t="s">
        <v>1172</v>
      </c>
      <c r="AR2" t="s">
        <v>683</v>
      </c>
      <c r="AS2" t="s">
        <v>1257</v>
      </c>
      <c r="AT2" t="s">
        <v>3588</v>
      </c>
      <c r="AU2" t="s">
        <v>684</v>
      </c>
      <c r="AV2" t="s">
        <v>3588</v>
      </c>
      <c r="AW2" t="s">
        <v>1282</v>
      </c>
    </row>
    <row r="3" spans="1:49">
      <c r="A3" s="1">
        <f>HYPERLINK("https://lsnyc.legalserver.org/matter/dynamic-profile/view/1902946","19-1902946")</f>
        <v>0</v>
      </c>
      <c r="B3" t="s">
        <v>90</v>
      </c>
      <c r="C3" t="s">
        <v>1765</v>
      </c>
      <c r="D3" t="s">
        <v>2001</v>
      </c>
      <c r="E3" t="s">
        <v>2235</v>
      </c>
      <c r="F3">
        <v>3</v>
      </c>
      <c r="G3" t="s">
        <v>677</v>
      </c>
      <c r="H3">
        <v>10459</v>
      </c>
      <c r="I3" t="s">
        <v>682</v>
      </c>
      <c r="J3" t="s">
        <v>2600</v>
      </c>
      <c r="K3" t="s">
        <v>730</v>
      </c>
      <c r="L3" t="s">
        <v>738</v>
      </c>
      <c r="M3" t="s">
        <v>744</v>
      </c>
      <c r="O3">
        <v>0</v>
      </c>
      <c r="P3" t="s">
        <v>753</v>
      </c>
      <c r="Q3" t="s">
        <v>758</v>
      </c>
      <c r="R3" t="s">
        <v>2887</v>
      </c>
      <c r="T3" t="s">
        <v>3251</v>
      </c>
      <c r="U3">
        <v>4</v>
      </c>
      <c r="V3" t="s">
        <v>1104</v>
      </c>
      <c r="X3">
        <v>4</v>
      </c>
      <c r="Y3">
        <v>1</v>
      </c>
      <c r="Z3">
        <v>4</v>
      </c>
      <c r="AA3">
        <v>19.99</v>
      </c>
      <c r="AE3">
        <v>6032</v>
      </c>
      <c r="AK3">
        <v>1.45</v>
      </c>
      <c r="AL3" t="s">
        <v>1166</v>
      </c>
      <c r="AM3" t="s">
        <v>77</v>
      </c>
      <c r="AN3" t="s">
        <v>1233</v>
      </c>
      <c r="AO3" t="s">
        <v>1235</v>
      </c>
      <c r="AP3" t="s">
        <v>1178</v>
      </c>
      <c r="AQ3" t="s">
        <v>1166</v>
      </c>
      <c r="AR3" t="s">
        <v>683</v>
      </c>
      <c r="AS3" t="s">
        <v>1257</v>
      </c>
      <c r="AT3" t="s">
        <v>3588</v>
      </c>
      <c r="AU3" t="s">
        <v>684</v>
      </c>
      <c r="AW3" t="s">
        <v>1282</v>
      </c>
    </row>
    <row r="4" spans="1:49">
      <c r="A4" s="1">
        <f>HYPERLINK("https://lsnyc.legalserver.org/matter/dynamic-profile/view/1903941","19-1903941")</f>
        <v>0</v>
      </c>
      <c r="B4" t="s">
        <v>90</v>
      </c>
      <c r="C4" t="s">
        <v>1766</v>
      </c>
      <c r="D4" t="s">
        <v>2002</v>
      </c>
      <c r="E4" t="s">
        <v>2236</v>
      </c>
      <c r="F4">
        <v>19</v>
      </c>
      <c r="G4" t="s">
        <v>677</v>
      </c>
      <c r="H4">
        <v>10459</v>
      </c>
      <c r="I4" t="s">
        <v>682</v>
      </c>
      <c r="J4" t="s">
        <v>2601</v>
      </c>
      <c r="K4" t="s">
        <v>730</v>
      </c>
      <c r="L4" t="s">
        <v>738</v>
      </c>
      <c r="M4" t="s">
        <v>744</v>
      </c>
      <c r="N4" t="s">
        <v>1172</v>
      </c>
      <c r="O4">
        <v>383</v>
      </c>
      <c r="P4" t="s">
        <v>753</v>
      </c>
      <c r="Q4" t="s">
        <v>758</v>
      </c>
      <c r="R4" t="s">
        <v>2888</v>
      </c>
      <c r="T4" t="s">
        <v>3252</v>
      </c>
      <c r="U4">
        <v>20</v>
      </c>
      <c r="V4" t="s">
        <v>1105</v>
      </c>
      <c r="W4" t="s">
        <v>1116</v>
      </c>
      <c r="X4">
        <v>33</v>
      </c>
      <c r="Y4">
        <v>4</v>
      </c>
      <c r="Z4">
        <v>0</v>
      </c>
      <c r="AA4">
        <v>71.77</v>
      </c>
      <c r="AD4" t="s">
        <v>1122</v>
      </c>
      <c r="AE4">
        <v>18480</v>
      </c>
      <c r="AK4">
        <v>4.05</v>
      </c>
      <c r="AL4" t="s">
        <v>1162</v>
      </c>
      <c r="AM4" t="s">
        <v>1215</v>
      </c>
      <c r="AN4" t="s">
        <v>1233</v>
      </c>
      <c r="AO4" t="s">
        <v>1235</v>
      </c>
      <c r="AP4" t="s">
        <v>1172</v>
      </c>
      <c r="AQ4" t="s">
        <v>1162</v>
      </c>
      <c r="AR4" t="s">
        <v>683</v>
      </c>
      <c r="AS4" t="s">
        <v>1257</v>
      </c>
      <c r="AT4" t="s">
        <v>3588</v>
      </c>
      <c r="AW4" t="s">
        <v>1282</v>
      </c>
    </row>
    <row r="5" spans="1:49">
      <c r="A5" s="1">
        <f>HYPERLINK("https://lsnyc.legalserver.org/matter/dynamic-profile/view/1902937","19-1902937")</f>
        <v>0</v>
      </c>
      <c r="B5" t="s">
        <v>90</v>
      </c>
      <c r="C5" t="s">
        <v>1767</v>
      </c>
      <c r="D5" t="s">
        <v>2003</v>
      </c>
      <c r="E5" t="s">
        <v>2235</v>
      </c>
      <c r="F5">
        <v>2</v>
      </c>
      <c r="G5" t="s">
        <v>677</v>
      </c>
      <c r="H5">
        <v>10459</v>
      </c>
      <c r="I5" t="s">
        <v>682</v>
      </c>
      <c r="J5" t="s">
        <v>2602</v>
      </c>
      <c r="K5" t="s">
        <v>730</v>
      </c>
      <c r="L5" t="s">
        <v>738</v>
      </c>
      <c r="M5" t="s">
        <v>744</v>
      </c>
      <c r="O5">
        <v>1866</v>
      </c>
      <c r="P5" t="s">
        <v>753</v>
      </c>
      <c r="Q5" t="s">
        <v>758</v>
      </c>
      <c r="R5" t="s">
        <v>2889</v>
      </c>
      <c r="T5" t="s">
        <v>3253</v>
      </c>
      <c r="U5">
        <v>4</v>
      </c>
      <c r="V5" t="s">
        <v>1104</v>
      </c>
      <c r="X5">
        <v>4</v>
      </c>
      <c r="Y5">
        <v>1</v>
      </c>
      <c r="Z5">
        <v>5</v>
      </c>
      <c r="AA5">
        <v>26.38</v>
      </c>
      <c r="AD5" t="s">
        <v>1122</v>
      </c>
      <c r="AE5">
        <v>9126</v>
      </c>
      <c r="AK5">
        <v>1.05</v>
      </c>
      <c r="AL5" t="s">
        <v>1206</v>
      </c>
      <c r="AM5" t="s">
        <v>77</v>
      </c>
      <c r="AN5" t="s">
        <v>1233</v>
      </c>
      <c r="AO5" t="s">
        <v>1235</v>
      </c>
      <c r="AP5" t="s">
        <v>1178</v>
      </c>
      <c r="AQ5" t="s">
        <v>1206</v>
      </c>
      <c r="AR5" t="s">
        <v>683</v>
      </c>
      <c r="AS5" t="s">
        <v>1257</v>
      </c>
      <c r="AT5" t="s">
        <v>3588</v>
      </c>
      <c r="AW5" t="s">
        <v>1282</v>
      </c>
    </row>
    <row r="6" spans="1:49">
      <c r="A6" s="1">
        <f>HYPERLINK("https://lsnyc.legalserver.org/matter/dynamic-profile/view/1904654","19-1904654")</f>
        <v>0</v>
      </c>
      <c r="B6" t="s">
        <v>90</v>
      </c>
      <c r="C6" t="s">
        <v>168</v>
      </c>
      <c r="D6" t="s">
        <v>2004</v>
      </c>
      <c r="E6" t="s">
        <v>2237</v>
      </c>
      <c r="F6">
        <v>325</v>
      </c>
      <c r="G6" t="s">
        <v>677</v>
      </c>
      <c r="H6">
        <v>10455</v>
      </c>
      <c r="I6" t="s">
        <v>682</v>
      </c>
      <c r="J6" t="s">
        <v>2603</v>
      </c>
      <c r="K6" t="s">
        <v>730</v>
      </c>
      <c r="L6" t="s">
        <v>738</v>
      </c>
      <c r="M6" t="s">
        <v>744</v>
      </c>
      <c r="O6">
        <v>1942.15</v>
      </c>
      <c r="Q6" t="s">
        <v>758</v>
      </c>
      <c r="R6" t="s">
        <v>2890</v>
      </c>
      <c r="T6" t="s">
        <v>3254</v>
      </c>
      <c r="U6">
        <v>0</v>
      </c>
      <c r="V6" t="s">
        <v>1111</v>
      </c>
      <c r="X6">
        <v>1</v>
      </c>
      <c r="Y6">
        <v>1</v>
      </c>
      <c r="Z6">
        <v>0</v>
      </c>
      <c r="AA6">
        <v>67.34999999999999</v>
      </c>
      <c r="AD6" t="s">
        <v>1122</v>
      </c>
      <c r="AE6">
        <v>8412</v>
      </c>
      <c r="AK6">
        <v>0.5</v>
      </c>
      <c r="AL6" t="s">
        <v>1165</v>
      </c>
      <c r="AM6" t="s">
        <v>61</v>
      </c>
      <c r="AN6" t="s">
        <v>1233</v>
      </c>
      <c r="AO6" t="s">
        <v>1235</v>
      </c>
      <c r="AP6" t="s">
        <v>1173</v>
      </c>
      <c r="AQ6" t="s">
        <v>1165</v>
      </c>
      <c r="AR6" t="s">
        <v>683</v>
      </c>
      <c r="AS6" t="s">
        <v>1257</v>
      </c>
      <c r="AT6" t="s">
        <v>3588</v>
      </c>
      <c r="AW6" t="s">
        <v>1282</v>
      </c>
    </row>
    <row r="7" spans="1:49">
      <c r="A7" s="1">
        <f>HYPERLINK("https://lsnyc.legalserver.org/matter/dynamic-profile/view/1904221","19-1904221")</f>
        <v>0</v>
      </c>
      <c r="B7" t="s">
        <v>90</v>
      </c>
      <c r="C7" t="s">
        <v>1768</v>
      </c>
      <c r="D7" t="s">
        <v>2005</v>
      </c>
      <c r="E7" t="s">
        <v>2238</v>
      </c>
      <c r="G7" t="s">
        <v>677</v>
      </c>
      <c r="H7">
        <v>10475</v>
      </c>
      <c r="I7" t="s">
        <v>682</v>
      </c>
      <c r="J7" t="s">
        <v>2604</v>
      </c>
      <c r="K7" t="s">
        <v>730</v>
      </c>
      <c r="L7" t="s">
        <v>738</v>
      </c>
      <c r="O7">
        <v>0</v>
      </c>
      <c r="P7" t="s">
        <v>753</v>
      </c>
      <c r="Q7" t="s">
        <v>758</v>
      </c>
      <c r="R7" t="s">
        <v>2891</v>
      </c>
      <c r="T7" t="s">
        <v>3255</v>
      </c>
      <c r="U7">
        <v>0</v>
      </c>
      <c r="V7" t="s">
        <v>1114</v>
      </c>
      <c r="X7">
        <v>0</v>
      </c>
      <c r="Y7">
        <v>1</v>
      </c>
      <c r="Z7">
        <v>0</v>
      </c>
      <c r="AA7">
        <v>0</v>
      </c>
      <c r="AD7" t="s">
        <v>1122</v>
      </c>
      <c r="AE7">
        <v>0</v>
      </c>
      <c r="AK7">
        <v>1</v>
      </c>
      <c r="AL7" t="s">
        <v>1175</v>
      </c>
      <c r="AM7" t="s">
        <v>1215</v>
      </c>
      <c r="AN7" t="s">
        <v>1233</v>
      </c>
      <c r="AO7" t="s">
        <v>1235</v>
      </c>
      <c r="AP7" t="s">
        <v>1158</v>
      </c>
      <c r="AQ7" t="s">
        <v>1175</v>
      </c>
      <c r="AR7" t="s">
        <v>683</v>
      </c>
      <c r="AS7" t="s">
        <v>1257</v>
      </c>
      <c r="AT7" t="s">
        <v>3588</v>
      </c>
      <c r="AU7" t="s">
        <v>684</v>
      </c>
      <c r="AW7" t="s">
        <v>1282</v>
      </c>
    </row>
    <row r="8" spans="1:49">
      <c r="A8" s="1">
        <f>HYPERLINK("https://lsnyc.legalserver.org/matter/dynamic-profile/view/1904932","19-1904932")</f>
        <v>0</v>
      </c>
      <c r="B8" t="s">
        <v>90</v>
      </c>
      <c r="C8" t="s">
        <v>1769</v>
      </c>
      <c r="D8" t="s">
        <v>2006</v>
      </c>
      <c r="E8" t="s">
        <v>2239</v>
      </c>
      <c r="F8" t="s">
        <v>658</v>
      </c>
      <c r="G8" t="s">
        <v>677</v>
      </c>
      <c r="H8">
        <v>10454</v>
      </c>
      <c r="I8" t="s">
        <v>682</v>
      </c>
      <c r="J8" t="s">
        <v>2605</v>
      </c>
      <c r="K8" t="s">
        <v>730</v>
      </c>
      <c r="L8" t="s">
        <v>738</v>
      </c>
      <c r="M8" t="s">
        <v>744</v>
      </c>
      <c r="O8">
        <v>2462</v>
      </c>
      <c r="P8" t="s">
        <v>755</v>
      </c>
      <c r="Q8" t="s">
        <v>758</v>
      </c>
      <c r="R8" t="s">
        <v>2892</v>
      </c>
      <c r="T8" t="s">
        <v>3256</v>
      </c>
      <c r="U8">
        <v>24</v>
      </c>
      <c r="V8" t="s">
        <v>1106</v>
      </c>
      <c r="W8" t="s">
        <v>748</v>
      </c>
      <c r="X8">
        <v>19</v>
      </c>
      <c r="Y8">
        <v>1</v>
      </c>
      <c r="Z8">
        <v>0</v>
      </c>
      <c r="AA8">
        <v>151.96</v>
      </c>
      <c r="AD8" t="s">
        <v>1122</v>
      </c>
      <c r="AE8">
        <v>18980</v>
      </c>
      <c r="AK8">
        <v>0.5</v>
      </c>
      <c r="AL8" t="s">
        <v>1206</v>
      </c>
      <c r="AM8" t="s">
        <v>77</v>
      </c>
      <c r="AN8" t="s">
        <v>1233</v>
      </c>
      <c r="AO8" t="s">
        <v>1235</v>
      </c>
      <c r="AP8" t="s">
        <v>1207</v>
      </c>
      <c r="AQ8" t="s">
        <v>1206</v>
      </c>
      <c r="AR8" t="s">
        <v>683</v>
      </c>
      <c r="AS8" t="s">
        <v>1257</v>
      </c>
      <c r="AT8" t="s">
        <v>3588</v>
      </c>
      <c r="AU8" t="s">
        <v>684</v>
      </c>
      <c r="AW8" t="s">
        <v>1282</v>
      </c>
    </row>
    <row r="9" spans="1:49">
      <c r="A9" s="1">
        <f>HYPERLINK("https://lsnyc.legalserver.org/matter/dynamic-profile/view/1903784","19-1903784")</f>
        <v>0</v>
      </c>
      <c r="B9" t="s">
        <v>90</v>
      </c>
      <c r="C9" t="s">
        <v>263</v>
      </c>
      <c r="D9" t="s">
        <v>2007</v>
      </c>
      <c r="E9" t="s">
        <v>2240</v>
      </c>
      <c r="F9">
        <v>1</v>
      </c>
      <c r="G9" t="s">
        <v>677</v>
      </c>
      <c r="H9">
        <v>10472</v>
      </c>
      <c r="I9" t="s">
        <v>682</v>
      </c>
      <c r="J9" t="s">
        <v>2606</v>
      </c>
      <c r="K9" t="s">
        <v>730</v>
      </c>
      <c r="L9" t="s">
        <v>738</v>
      </c>
      <c r="M9" t="s">
        <v>744</v>
      </c>
      <c r="N9" t="s">
        <v>1172</v>
      </c>
      <c r="O9">
        <v>1950</v>
      </c>
      <c r="P9" t="s">
        <v>753</v>
      </c>
      <c r="Q9" t="s">
        <v>758</v>
      </c>
      <c r="R9" t="s">
        <v>2893</v>
      </c>
      <c r="T9" t="s">
        <v>3257</v>
      </c>
      <c r="U9">
        <v>2</v>
      </c>
      <c r="V9" t="s">
        <v>1104</v>
      </c>
      <c r="W9" t="s">
        <v>1115</v>
      </c>
      <c r="X9">
        <v>3</v>
      </c>
      <c r="Y9">
        <v>2</v>
      </c>
      <c r="Z9">
        <v>2</v>
      </c>
      <c r="AA9">
        <v>155.34</v>
      </c>
      <c r="AD9" t="s">
        <v>1122</v>
      </c>
      <c r="AE9">
        <v>40000</v>
      </c>
      <c r="AK9">
        <v>1.1</v>
      </c>
      <c r="AL9" t="s">
        <v>1168</v>
      </c>
      <c r="AM9" t="s">
        <v>1215</v>
      </c>
      <c r="AN9" t="s">
        <v>1233</v>
      </c>
      <c r="AO9" t="s">
        <v>1235</v>
      </c>
      <c r="AP9" t="s">
        <v>1172</v>
      </c>
      <c r="AQ9" t="s">
        <v>1168</v>
      </c>
      <c r="AR9" t="s">
        <v>683</v>
      </c>
      <c r="AS9" t="s">
        <v>1257</v>
      </c>
      <c r="AT9" t="s">
        <v>3588</v>
      </c>
      <c r="AU9" t="s">
        <v>684</v>
      </c>
      <c r="AW9" t="s">
        <v>1282</v>
      </c>
    </row>
    <row r="10" spans="1:49">
      <c r="A10" s="1">
        <f>HYPERLINK("https://lsnyc.legalserver.org/matter/dynamic-profile/view/1902958","19-1902958")</f>
        <v>0</v>
      </c>
      <c r="B10" t="s">
        <v>90</v>
      </c>
      <c r="C10" t="s">
        <v>1770</v>
      </c>
      <c r="D10" t="s">
        <v>2008</v>
      </c>
      <c r="E10" t="s">
        <v>2241</v>
      </c>
      <c r="F10" t="s">
        <v>669</v>
      </c>
      <c r="G10" t="s">
        <v>677</v>
      </c>
      <c r="H10">
        <v>10473</v>
      </c>
      <c r="I10" t="s">
        <v>682</v>
      </c>
      <c r="J10" t="s">
        <v>2607</v>
      </c>
      <c r="K10" t="s">
        <v>730</v>
      </c>
      <c r="L10" t="s">
        <v>738</v>
      </c>
      <c r="M10" t="s">
        <v>744</v>
      </c>
      <c r="O10">
        <v>255</v>
      </c>
      <c r="P10" t="s">
        <v>753</v>
      </c>
      <c r="Q10" t="s">
        <v>758</v>
      </c>
      <c r="R10" t="s">
        <v>2894</v>
      </c>
      <c r="T10" t="s">
        <v>3258</v>
      </c>
      <c r="U10">
        <v>0</v>
      </c>
      <c r="V10" t="s">
        <v>1112</v>
      </c>
      <c r="X10">
        <v>3</v>
      </c>
      <c r="Y10">
        <v>1</v>
      </c>
      <c r="Z10">
        <v>0</v>
      </c>
      <c r="AA10">
        <v>124.9</v>
      </c>
      <c r="AD10" t="s">
        <v>1122</v>
      </c>
      <c r="AE10">
        <v>15600</v>
      </c>
      <c r="AK10">
        <v>0.5</v>
      </c>
      <c r="AL10" t="s">
        <v>1172</v>
      </c>
      <c r="AM10" t="s">
        <v>77</v>
      </c>
      <c r="AN10" t="s">
        <v>1233</v>
      </c>
      <c r="AO10" t="s">
        <v>1235</v>
      </c>
      <c r="AP10" t="s">
        <v>1746</v>
      </c>
      <c r="AQ10" t="s">
        <v>1172</v>
      </c>
      <c r="AR10" t="s">
        <v>683</v>
      </c>
      <c r="AS10" t="s">
        <v>1257</v>
      </c>
      <c r="AT10" t="s">
        <v>3588</v>
      </c>
      <c r="AU10" t="s">
        <v>684</v>
      </c>
      <c r="AW10" t="s">
        <v>1282</v>
      </c>
    </row>
    <row r="11" spans="1:49">
      <c r="A11" s="1">
        <f>HYPERLINK("https://lsnyc.legalserver.org/matter/dynamic-profile/view/1903908","19-1903908")</f>
        <v>0</v>
      </c>
      <c r="B11" t="s">
        <v>90</v>
      </c>
      <c r="C11" t="s">
        <v>1771</v>
      </c>
      <c r="D11" t="s">
        <v>2009</v>
      </c>
      <c r="E11" t="s">
        <v>2242</v>
      </c>
      <c r="G11" t="s">
        <v>677</v>
      </c>
      <c r="H11">
        <v>10456</v>
      </c>
      <c r="I11" t="s">
        <v>682</v>
      </c>
      <c r="J11" t="s">
        <v>2608</v>
      </c>
      <c r="K11" t="s">
        <v>730</v>
      </c>
      <c r="L11" t="s">
        <v>738</v>
      </c>
      <c r="N11" t="s">
        <v>1172</v>
      </c>
      <c r="O11">
        <v>909.17</v>
      </c>
      <c r="Q11" t="s">
        <v>758</v>
      </c>
      <c r="R11" t="s">
        <v>2895</v>
      </c>
      <c r="T11" t="s">
        <v>3259</v>
      </c>
      <c r="U11">
        <v>0</v>
      </c>
      <c r="W11" t="s">
        <v>1116</v>
      </c>
      <c r="X11">
        <v>0</v>
      </c>
      <c r="Y11">
        <v>1</v>
      </c>
      <c r="Z11">
        <v>0</v>
      </c>
      <c r="AA11">
        <v>187.35</v>
      </c>
      <c r="AD11" t="s">
        <v>1122</v>
      </c>
      <c r="AE11">
        <v>23400</v>
      </c>
      <c r="AK11">
        <v>1.45</v>
      </c>
      <c r="AL11" t="s">
        <v>1175</v>
      </c>
      <c r="AM11" t="s">
        <v>1215</v>
      </c>
      <c r="AN11" t="s">
        <v>1233</v>
      </c>
      <c r="AO11" t="s">
        <v>1235</v>
      </c>
      <c r="AP11" t="s">
        <v>1172</v>
      </c>
      <c r="AQ11" t="s">
        <v>1175</v>
      </c>
      <c r="AR11" t="s">
        <v>683</v>
      </c>
      <c r="AS11" t="s">
        <v>1257</v>
      </c>
      <c r="AT11" t="s">
        <v>3588</v>
      </c>
      <c r="AU11" t="s">
        <v>684</v>
      </c>
      <c r="AW11" t="s">
        <v>1282</v>
      </c>
    </row>
    <row r="12" spans="1:49">
      <c r="A12" s="1">
        <f>HYPERLINK("https://lsnyc.legalserver.org/matter/dynamic-profile/view/1906096","19-1906096")</f>
        <v>0</v>
      </c>
      <c r="B12" t="s">
        <v>90</v>
      </c>
      <c r="C12" t="s">
        <v>1772</v>
      </c>
      <c r="D12" t="s">
        <v>1372</v>
      </c>
      <c r="E12" t="s">
        <v>2243</v>
      </c>
      <c r="F12" t="s">
        <v>2516</v>
      </c>
      <c r="G12" t="s">
        <v>677</v>
      </c>
      <c r="H12">
        <v>10460</v>
      </c>
      <c r="I12" t="s">
        <v>682</v>
      </c>
      <c r="J12" t="s">
        <v>2609</v>
      </c>
      <c r="K12" t="s">
        <v>730</v>
      </c>
      <c r="L12" t="s">
        <v>738</v>
      </c>
      <c r="O12">
        <v>0</v>
      </c>
      <c r="P12" t="s">
        <v>2884</v>
      </c>
      <c r="Q12" t="s">
        <v>758</v>
      </c>
      <c r="R12" t="s">
        <v>2896</v>
      </c>
      <c r="T12" t="s">
        <v>3260</v>
      </c>
      <c r="U12">
        <v>237</v>
      </c>
      <c r="X12">
        <v>0</v>
      </c>
      <c r="Y12">
        <v>1</v>
      </c>
      <c r="Z12">
        <v>0</v>
      </c>
      <c r="AA12">
        <v>232.19</v>
      </c>
      <c r="AD12" t="s">
        <v>1122</v>
      </c>
      <c r="AE12">
        <v>29000</v>
      </c>
      <c r="AF12" t="s">
        <v>3521</v>
      </c>
      <c r="AK12">
        <v>0.7</v>
      </c>
      <c r="AL12" t="s">
        <v>1160</v>
      </c>
      <c r="AM12" t="s">
        <v>77</v>
      </c>
      <c r="AN12" t="s">
        <v>1116</v>
      </c>
      <c r="AO12" t="s">
        <v>1235</v>
      </c>
      <c r="AP12" t="s">
        <v>1206</v>
      </c>
      <c r="AQ12" t="s">
        <v>1160</v>
      </c>
      <c r="AR12" t="s">
        <v>683</v>
      </c>
      <c r="AS12" t="s">
        <v>1257</v>
      </c>
      <c r="AT12" t="s">
        <v>3588</v>
      </c>
      <c r="AU12" t="s">
        <v>684</v>
      </c>
      <c r="AW12" t="s">
        <v>1282</v>
      </c>
    </row>
    <row r="13" spans="1:49">
      <c r="A13" s="1">
        <f>HYPERLINK("https://lsnyc.legalserver.org/matter/dynamic-profile/view/1899508","19-1899508")</f>
        <v>0</v>
      </c>
      <c r="B13" t="s">
        <v>1750</v>
      </c>
      <c r="C13" t="s">
        <v>1773</v>
      </c>
      <c r="D13" t="s">
        <v>2010</v>
      </c>
      <c r="E13" t="s">
        <v>2244</v>
      </c>
      <c r="F13" t="s">
        <v>646</v>
      </c>
      <c r="G13" t="s">
        <v>677</v>
      </c>
      <c r="H13">
        <v>10458</v>
      </c>
      <c r="I13" t="s">
        <v>682</v>
      </c>
      <c r="J13" t="s">
        <v>2610</v>
      </c>
      <c r="K13" t="s">
        <v>730</v>
      </c>
      <c r="L13" t="s">
        <v>738</v>
      </c>
      <c r="M13" t="s">
        <v>744</v>
      </c>
      <c r="O13">
        <v>1100</v>
      </c>
      <c r="P13" t="s">
        <v>753</v>
      </c>
      <c r="Q13" t="s">
        <v>758</v>
      </c>
      <c r="R13" t="s">
        <v>2897</v>
      </c>
      <c r="S13" t="s">
        <v>3191</v>
      </c>
      <c r="U13">
        <v>43</v>
      </c>
      <c r="V13" t="s">
        <v>1102</v>
      </c>
      <c r="W13" t="s">
        <v>1116</v>
      </c>
      <c r="X13">
        <v>2</v>
      </c>
      <c r="Y13">
        <v>2</v>
      </c>
      <c r="Z13">
        <v>0</v>
      </c>
      <c r="AA13">
        <v>0</v>
      </c>
      <c r="AD13" t="s">
        <v>1123</v>
      </c>
      <c r="AE13">
        <v>0</v>
      </c>
      <c r="AK13">
        <v>2</v>
      </c>
      <c r="AL13" t="s">
        <v>1209</v>
      </c>
      <c r="AM13" t="s">
        <v>77</v>
      </c>
      <c r="AN13" t="s">
        <v>1233</v>
      </c>
      <c r="AO13" t="s">
        <v>1235</v>
      </c>
      <c r="AP13" t="s">
        <v>1252</v>
      </c>
      <c r="AQ13" t="s">
        <v>1163</v>
      </c>
      <c r="AR13" t="s">
        <v>683</v>
      </c>
      <c r="AS13" t="s">
        <v>1257</v>
      </c>
      <c r="AT13" t="s">
        <v>3588</v>
      </c>
      <c r="AU13" t="s">
        <v>684</v>
      </c>
      <c r="AW13" t="s">
        <v>1282</v>
      </c>
    </row>
    <row r="14" spans="1:49">
      <c r="A14" s="1">
        <f>HYPERLINK("https://lsnyc.legalserver.org/matter/dynamic-profile/view/1898250","19-1898250")</f>
        <v>0</v>
      </c>
      <c r="B14" t="s">
        <v>1285</v>
      </c>
      <c r="C14" t="s">
        <v>1774</v>
      </c>
      <c r="D14" t="s">
        <v>2011</v>
      </c>
      <c r="E14" t="s">
        <v>2245</v>
      </c>
      <c r="F14">
        <v>1</v>
      </c>
      <c r="G14" t="s">
        <v>677</v>
      </c>
      <c r="H14">
        <v>10459</v>
      </c>
      <c r="I14" t="s">
        <v>683</v>
      </c>
      <c r="J14" t="s">
        <v>2611</v>
      </c>
      <c r="K14" t="s">
        <v>730</v>
      </c>
      <c r="L14" t="s">
        <v>738</v>
      </c>
      <c r="M14" t="s">
        <v>744</v>
      </c>
      <c r="O14">
        <v>1400</v>
      </c>
      <c r="Q14" t="s">
        <v>758</v>
      </c>
      <c r="R14" t="s">
        <v>2898</v>
      </c>
      <c r="U14">
        <v>3</v>
      </c>
      <c r="X14">
        <v>5</v>
      </c>
      <c r="Y14">
        <v>2</v>
      </c>
      <c r="Z14">
        <v>0</v>
      </c>
      <c r="AA14">
        <v>145.48</v>
      </c>
      <c r="AD14" t="s">
        <v>1122</v>
      </c>
      <c r="AE14">
        <v>24600</v>
      </c>
      <c r="AF14" t="s">
        <v>3522</v>
      </c>
      <c r="AJ14" t="s">
        <v>3573</v>
      </c>
      <c r="AK14">
        <v>0.1</v>
      </c>
      <c r="AL14" t="s">
        <v>1745</v>
      </c>
      <c r="AM14" t="s">
        <v>61</v>
      </c>
      <c r="AO14" t="s">
        <v>1235</v>
      </c>
      <c r="AP14" t="s">
        <v>1181</v>
      </c>
      <c r="AQ14" t="s">
        <v>1209</v>
      </c>
      <c r="AR14" t="s">
        <v>683</v>
      </c>
      <c r="AS14" t="s">
        <v>1257</v>
      </c>
      <c r="AT14" t="s">
        <v>3588</v>
      </c>
      <c r="AW14" t="s">
        <v>1282</v>
      </c>
    </row>
    <row r="15" spans="1:49">
      <c r="A15" s="1">
        <f>HYPERLINK("https://lsnyc.legalserver.org/matter/dynamic-profile/view/1905407","19-1905407")</f>
        <v>0</v>
      </c>
      <c r="B15" t="s">
        <v>90</v>
      </c>
      <c r="C15" t="s">
        <v>1775</v>
      </c>
      <c r="D15" t="s">
        <v>2012</v>
      </c>
      <c r="E15" t="s">
        <v>2246</v>
      </c>
      <c r="F15" t="s">
        <v>625</v>
      </c>
      <c r="G15" t="s">
        <v>677</v>
      </c>
      <c r="H15">
        <v>10458</v>
      </c>
      <c r="I15" t="s">
        <v>683</v>
      </c>
      <c r="J15" t="s">
        <v>2612</v>
      </c>
      <c r="K15" t="s">
        <v>730</v>
      </c>
      <c r="L15" t="s">
        <v>738</v>
      </c>
      <c r="M15" t="s">
        <v>745</v>
      </c>
      <c r="O15">
        <v>1838.24</v>
      </c>
      <c r="Q15" t="s">
        <v>758</v>
      </c>
      <c r="R15" t="s">
        <v>2899</v>
      </c>
      <c r="U15">
        <v>0</v>
      </c>
      <c r="V15" t="s">
        <v>1102</v>
      </c>
      <c r="X15">
        <v>7</v>
      </c>
      <c r="Y15">
        <v>1</v>
      </c>
      <c r="Z15">
        <v>0</v>
      </c>
      <c r="AA15">
        <v>156.12</v>
      </c>
      <c r="AD15" t="s">
        <v>1122</v>
      </c>
      <c r="AE15">
        <v>19500</v>
      </c>
      <c r="AK15">
        <v>0.9</v>
      </c>
      <c r="AL15" t="s">
        <v>1170</v>
      </c>
      <c r="AM15" t="s">
        <v>61</v>
      </c>
      <c r="AO15" t="s">
        <v>1235</v>
      </c>
      <c r="AP15" t="s">
        <v>1169</v>
      </c>
      <c r="AQ15" t="s">
        <v>1170</v>
      </c>
      <c r="AR15" t="s">
        <v>683</v>
      </c>
      <c r="AS15" t="s">
        <v>1257</v>
      </c>
      <c r="AT15" t="s">
        <v>3588</v>
      </c>
      <c r="AW15" t="s">
        <v>1282</v>
      </c>
    </row>
    <row r="16" spans="1:49">
      <c r="A16" s="1">
        <f>HYPERLINK("https://lsnyc.legalserver.org/matter/dynamic-profile/view/1904917","19-1904917")</f>
        <v>0</v>
      </c>
      <c r="B16" t="s">
        <v>90</v>
      </c>
      <c r="C16" t="s">
        <v>190</v>
      </c>
      <c r="D16" t="s">
        <v>2013</v>
      </c>
      <c r="E16" t="s">
        <v>2247</v>
      </c>
      <c r="F16" t="s">
        <v>604</v>
      </c>
      <c r="G16" t="s">
        <v>677</v>
      </c>
      <c r="H16">
        <v>10463</v>
      </c>
      <c r="I16" t="s">
        <v>682</v>
      </c>
      <c r="J16" t="s">
        <v>2613</v>
      </c>
      <c r="K16" t="s">
        <v>730</v>
      </c>
      <c r="L16" t="s">
        <v>738</v>
      </c>
      <c r="M16" t="s">
        <v>744</v>
      </c>
      <c r="N16" t="s">
        <v>1207</v>
      </c>
      <c r="O16">
        <v>1160</v>
      </c>
      <c r="P16" t="s">
        <v>753</v>
      </c>
      <c r="Q16" t="s">
        <v>758</v>
      </c>
      <c r="R16" t="s">
        <v>2900</v>
      </c>
      <c r="U16">
        <v>110</v>
      </c>
      <c r="V16" t="s">
        <v>1109</v>
      </c>
      <c r="X16">
        <v>25</v>
      </c>
      <c r="Y16">
        <v>1</v>
      </c>
      <c r="Z16">
        <v>0</v>
      </c>
      <c r="AA16">
        <v>86.47</v>
      </c>
      <c r="AE16">
        <v>10800</v>
      </c>
      <c r="AK16">
        <v>3.5</v>
      </c>
      <c r="AL16" t="s">
        <v>1166</v>
      </c>
      <c r="AM16" t="s">
        <v>77</v>
      </c>
      <c r="AN16" t="s">
        <v>1233</v>
      </c>
      <c r="AO16" t="s">
        <v>1235</v>
      </c>
      <c r="AP16" t="s">
        <v>1207</v>
      </c>
      <c r="AQ16" t="s">
        <v>1168</v>
      </c>
      <c r="AR16" t="s">
        <v>683</v>
      </c>
      <c r="AS16" t="s">
        <v>1257</v>
      </c>
      <c r="AT16" t="s">
        <v>3588</v>
      </c>
      <c r="AU16" t="s">
        <v>684</v>
      </c>
      <c r="AW16" t="s">
        <v>1282</v>
      </c>
    </row>
    <row r="17" spans="1:49">
      <c r="A17" s="1">
        <f>HYPERLINK("https://lsnyc.legalserver.org/matter/dynamic-profile/view/1897659","19-1897659")</f>
        <v>0</v>
      </c>
      <c r="B17" t="s">
        <v>1751</v>
      </c>
      <c r="C17" t="s">
        <v>1776</v>
      </c>
      <c r="D17" t="s">
        <v>2014</v>
      </c>
      <c r="E17" t="s">
        <v>1445</v>
      </c>
      <c r="F17" t="s">
        <v>2517</v>
      </c>
      <c r="G17" t="s">
        <v>677</v>
      </c>
      <c r="H17">
        <v>10451</v>
      </c>
      <c r="I17" t="s">
        <v>682</v>
      </c>
      <c r="K17" t="s">
        <v>732</v>
      </c>
      <c r="L17" t="s">
        <v>738</v>
      </c>
      <c r="O17">
        <v>1021</v>
      </c>
      <c r="P17" t="s">
        <v>753</v>
      </c>
      <c r="Q17" t="s">
        <v>758</v>
      </c>
      <c r="R17" t="s">
        <v>2901</v>
      </c>
      <c r="T17" t="s">
        <v>3261</v>
      </c>
      <c r="U17">
        <v>93</v>
      </c>
      <c r="V17" t="s">
        <v>1102</v>
      </c>
      <c r="X17">
        <v>8</v>
      </c>
      <c r="Y17">
        <v>1</v>
      </c>
      <c r="Z17">
        <v>2</v>
      </c>
      <c r="AA17">
        <v>0</v>
      </c>
      <c r="AD17" t="s">
        <v>1122</v>
      </c>
      <c r="AE17">
        <v>0</v>
      </c>
      <c r="AF17" t="s">
        <v>3523</v>
      </c>
      <c r="AK17">
        <v>1.5</v>
      </c>
      <c r="AL17" t="s">
        <v>1203</v>
      </c>
      <c r="AM17" t="s">
        <v>1230</v>
      </c>
      <c r="AO17" t="s">
        <v>1235</v>
      </c>
      <c r="AP17" t="s">
        <v>1188</v>
      </c>
      <c r="AQ17" t="s">
        <v>1241</v>
      </c>
      <c r="AR17" t="s">
        <v>684</v>
      </c>
      <c r="AS17" t="s">
        <v>1257</v>
      </c>
      <c r="AT17" t="s">
        <v>3588</v>
      </c>
      <c r="AU17" t="s">
        <v>684</v>
      </c>
      <c r="AW17" t="s">
        <v>1282</v>
      </c>
    </row>
    <row r="18" spans="1:49">
      <c r="A18" s="1">
        <f>HYPERLINK("https://lsnyc.legalserver.org/matter/dynamic-profile/view/1904633","19-1904633")</f>
        <v>0</v>
      </c>
      <c r="B18" t="s">
        <v>90</v>
      </c>
      <c r="C18" t="s">
        <v>1777</v>
      </c>
      <c r="D18" t="s">
        <v>2015</v>
      </c>
      <c r="E18" t="s">
        <v>2248</v>
      </c>
      <c r="F18" t="s">
        <v>1526</v>
      </c>
      <c r="G18" t="s">
        <v>677</v>
      </c>
      <c r="H18">
        <v>10455</v>
      </c>
      <c r="I18" t="s">
        <v>682</v>
      </c>
      <c r="J18" t="s">
        <v>2614</v>
      </c>
      <c r="K18" t="s">
        <v>732</v>
      </c>
      <c r="L18" t="s">
        <v>738</v>
      </c>
      <c r="M18" t="s">
        <v>746</v>
      </c>
      <c r="O18">
        <v>836.16</v>
      </c>
      <c r="P18" t="s">
        <v>757</v>
      </c>
      <c r="Q18" t="s">
        <v>758</v>
      </c>
      <c r="R18" t="s">
        <v>2902</v>
      </c>
      <c r="T18" t="s">
        <v>3262</v>
      </c>
      <c r="U18">
        <v>8</v>
      </c>
      <c r="V18" t="s">
        <v>1101</v>
      </c>
      <c r="X18">
        <v>17</v>
      </c>
      <c r="Y18">
        <v>3</v>
      </c>
      <c r="Z18">
        <v>0</v>
      </c>
      <c r="AA18">
        <v>13.31</v>
      </c>
      <c r="AD18" t="s">
        <v>1122</v>
      </c>
      <c r="AE18">
        <v>2838.72</v>
      </c>
      <c r="AK18">
        <v>0.5</v>
      </c>
      <c r="AL18" t="s">
        <v>1175</v>
      </c>
      <c r="AM18" t="s">
        <v>61</v>
      </c>
      <c r="AN18" t="s">
        <v>1233</v>
      </c>
      <c r="AO18" t="s">
        <v>1235</v>
      </c>
      <c r="AP18" t="s">
        <v>1173</v>
      </c>
      <c r="AQ18" t="s">
        <v>1175</v>
      </c>
      <c r="AR18" t="s">
        <v>683</v>
      </c>
      <c r="AS18" t="s">
        <v>1257</v>
      </c>
      <c r="AT18" t="s">
        <v>3588</v>
      </c>
      <c r="AW18" t="s">
        <v>1282</v>
      </c>
    </row>
    <row r="19" spans="1:49">
      <c r="A19" s="1">
        <f>HYPERLINK("https://lsnyc.legalserver.org/matter/dynamic-profile/view/1904069","19-1904069")</f>
        <v>0</v>
      </c>
      <c r="B19" t="s">
        <v>90</v>
      </c>
      <c r="C19" t="s">
        <v>1778</v>
      </c>
      <c r="D19" t="s">
        <v>2016</v>
      </c>
      <c r="E19" t="s">
        <v>2249</v>
      </c>
      <c r="F19" t="s">
        <v>2518</v>
      </c>
      <c r="G19" t="s">
        <v>677</v>
      </c>
      <c r="H19">
        <v>10473</v>
      </c>
      <c r="I19" t="s">
        <v>682</v>
      </c>
      <c r="J19" t="s">
        <v>2615</v>
      </c>
      <c r="K19" t="s">
        <v>732</v>
      </c>
      <c r="L19" t="s">
        <v>738</v>
      </c>
      <c r="M19" t="s">
        <v>744</v>
      </c>
      <c r="O19">
        <v>231</v>
      </c>
      <c r="P19" t="s">
        <v>753</v>
      </c>
      <c r="Q19" t="s">
        <v>758</v>
      </c>
      <c r="R19" t="s">
        <v>2903</v>
      </c>
      <c r="T19" t="s">
        <v>3263</v>
      </c>
      <c r="U19">
        <v>54</v>
      </c>
      <c r="V19" t="s">
        <v>1112</v>
      </c>
      <c r="W19" t="s">
        <v>1116</v>
      </c>
      <c r="X19">
        <v>29</v>
      </c>
      <c r="Y19">
        <v>2</v>
      </c>
      <c r="Z19">
        <v>0</v>
      </c>
      <c r="AA19">
        <v>42.79</v>
      </c>
      <c r="AD19" t="s">
        <v>1122</v>
      </c>
      <c r="AE19">
        <v>7236.32</v>
      </c>
      <c r="AK19">
        <v>1.5</v>
      </c>
      <c r="AL19" t="s">
        <v>1166</v>
      </c>
      <c r="AM19" t="s">
        <v>1215</v>
      </c>
      <c r="AN19" t="s">
        <v>1233</v>
      </c>
      <c r="AO19" t="s">
        <v>1235</v>
      </c>
      <c r="AP19" t="s">
        <v>1214</v>
      </c>
      <c r="AQ19" t="s">
        <v>1166</v>
      </c>
      <c r="AR19" t="s">
        <v>683</v>
      </c>
      <c r="AS19" t="s">
        <v>1257</v>
      </c>
      <c r="AT19" t="s">
        <v>3588</v>
      </c>
      <c r="AU19" t="s">
        <v>684</v>
      </c>
      <c r="AW19" t="s">
        <v>1282</v>
      </c>
    </row>
    <row r="20" spans="1:49">
      <c r="A20" s="1">
        <f>HYPERLINK("https://lsnyc.legalserver.org/matter/dynamic-profile/view/1897266","19-1897266")</f>
        <v>0</v>
      </c>
      <c r="B20" t="s">
        <v>58</v>
      </c>
      <c r="C20" t="s">
        <v>1779</v>
      </c>
      <c r="D20" t="s">
        <v>2017</v>
      </c>
      <c r="E20" t="s">
        <v>2250</v>
      </c>
      <c r="F20">
        <v>535</v>
      </c>
      <c r="G20" t="s">
        <v>677</v>
      </c>
      <c r="H20">
        <v>10451</v>
      </c>
      <c r="I20" t="s">
        <v>682</v>
      </c>
      <c r="J20" t="s">
        <v>2616</v>
      </c>
      <c r="K20" t="s">
        <v>732</v>
      </c>
      <c r="L20" t="s">
        <v>738</v>
      </c>
      <c r="M20" t="s">
        <v>744</v>
      </c>
      <c r="O20">
        <v>1098</v>
      </c>
      <c r="P20" t="s">
        <v>2884</v>
      </c>
      <c r="Q20" t="s">
        <v>758</v>
      </c>
      <c r="R20" t="s">
        <v>2904</v>
      </c>
      <c r="T20" t="s">
        <v>3264</v>
      </c>
      <c r="U20">
        <v>216</v>
      </c>
      <c r="V20" t="s">
        <v>1106</v>
      </c>
      <c r="X20">
        <v>23</v>
      </c>
      <c r="Y20">
        <v>1</v>
      </c>
      <c r="Z20">
        <v>0</v>
      </c>
      <c r="AA20">
        <v>208.17</v>
      </c>
      <c r="AD20" t="s">
        <v>1122</v>
      </c>
      <c r="AE20">
        <v>26000</v>
      </c>
      <c r="AF20" t="s">
        <v>3524</v>
      </c>
      <c r="AK20">
        <v>1.2</v>
      </c>
      <c r="AL20" t="s">
        <v>1159</v>
      </c>
      <c r="AM20" t="s">
        <v>1215</v>
      </c>
      <c r="AO20" t="s">
        <v>1235</v>
      </c>
      <c r="AP20" t="s">
        <v>3580</v>
      </c>
      <c r="AQ20" t="s">
        <v>1159</v>
      </c>
      <c r="AR20" t="s">
        <v>682</v>
      </c>
      <c r="AS20" t="s">
        <v>1257</v>
      </c>
      <c r="AT20" t="s">
        <v>3588</v>
      </c>
      <c r="AU20" t="s">
        <v>684</v>
      </c>
      <c r="AW20" t="s">
        <v>1282</v>
      </c>
    </row>
    <row r="21" spans="1:49">
      <c r="A21" s="1">
        <f>HYPERLINK("https://lsnyc.legalserver.org/matter/dynamic-profile/view/1902978","19-1902978")</f>
        <v>0</v>
      </c>
      <c r="B21" t="s">
        <v>90</v>
      </c>
      <c r="C21" t="s">
        <v>1780</v>
      </c>
      <c r="D21" t="s">
        <v>1388</v>
      </c>
      <c r="E21" t="s">
        <v>2251</v>
      </c>
      <c r="F21" t="s">
        <v>599</v>
      </c>
      <c r="G21" t="s">
        <v>677</v>
      </c>
      <c r="H21">
        <v>10461</v>
      </c>
      <c r="I21" t="s">
        <v>682</v>
      </c>
      <c r="J21" t="s">
        <v>2617</v>
      </c>
      <c r="K21" t="s">
        <v>732</v>
      </c>
      <c r="L21" t="s">
        <v>738</v>
      </c>
      <c r="M21" t="s">
        <v>1562</v>
      </c>
      <c r="O21">
        <v>1400</v>
      </c>
      <c r="P21" t="s">
        <v>753</v>
      </c>
      <c r="Q21" t="s">
        <v>758</v>
      </c>
      <c r="R21" t="s">
        <v>2905</v>
      </c>
      <c r="T21" t="s">
        <v>3265</v>
      </c>
      <c r="U21">
        <v>0</v>
      </c>
      <c r="V21" t="s">
        <v>1102</v>
      </c>
      <c r="X21">
        <v>1</v>
      </c>
      <c r="Y21">
        <v>2</v>
      </c>
      <c r="Z21">
        <v>1</v>
      </c>
      <c r="AA21">
        <v>152.86</v>
      </c>
      <c r="AD21" t="s">
        <v>1122</v>
      </c>
      <c r="AE21">
        <v>32604</v>
      </c>
      <c r="AK21">
        <v>0.7</v>
      </c>
      <c r="AL21" t="s">
        <v>1173</v>
      </c>
      <c r="AM21" t="s">
        <v>77</v>
      </c>
      <c r="AN21" t="s">
        <v>1233</v>
      </c>
      <c r="AO21" t="s">
        <v>1235</v>
      </c>
      <c r="AP21" t="s">
        <v>1746</v>
      </c>
      <c r="AQ21" t="s">
        <v>1173</v>
      </c>
      <c r="AR21" t="s">
        <v>683</v>
      </c>
      <c r="AS21" t="s">
        <v>1257</v>
      </c>
      <c r="AT21" t="s">
        <v>3588</v>
      </c>
      <c r="AU21" t="s">
        <v>684</v>
      </c>
      <c r="AW21" t="s">
        <v>1282</v>
      </c>
    </row>
    <row r="22" spans="1:49">
      <c r="A22" s="1">
        <f>HYPERLINK("https://lsnyc.legalserver.org/matter/dynamic-profile/view/1905314","19-1905314")</f>
        <v>0</v>
      </c>
      <c r="B22" t="s">
        <v>90</v>
      </c>
      <c r="C22" t="s">
        <v>188</v>
      </c>
      <c r="D22" t="s">
        <v>2018</v>
      </c>
      <c r="E22" t="s">
        <v>2252</v>
      </c>
      <c r="G22" t="s">
        <v>677</v>
      </c>
      <c r="H22">
        <v>10458</v>
      </c>
      <c r="I22" t="s">
        <v>682</v>
      </c>
      <c r="J22" t="s">
        <v>2618</v>
      </c>
      <c r="K22" t="s">
        <v>732</v>
      </c>
      <c r="L22" t="s">
        <v>738</v>
      </c>
      <c r="M22" t="s">
        <v>744</v>
      </c>
      <c r="N22" t="s">
        <v>1166</v>
      </c>
      <c r="O22">
        <v>1054</v>
      </c>
      <c r="P22" t="s">
        <v>753</v>
      </c>
      <c r="Q22" t="s">
        <v>758</v>
      </c>
      <c r="R22" t="s">
        <v>2906</v>
      </c>
      <c r="T22" t="s">
        <v>3266</v>
      </c>
      <c r="U22">
        <v>51</v>
      </c>
      <c r="V22" t="s">
        <v>1105</v>
      </c>
      <c r="W22" t="s">
        <v>1116</v>
      </c>
      <c r="X22">
        <v>17</v>
      </c>
      <c r="Y22">
        <v>2</v>
      </c>
      <c r="Z22">
        <v>1</v>
      </c>
      <c r="AA22">
        <v>160.34</v>
      </c>
      <c r="AD22" t="s">
        <v>1122</v>
      </c>
      <c r="AE22">
        <v>34200</v>
      </c>
      <c r="AK22">
        <v>0.5</v>
      </c>
      <c r="AL22" t="s">
        <v>1206</v>
      </c>
      <c r="AM22" t="s">
        <v>1230</v>
      </c>
      <c r="AN22" t="s">
        <v>1233</v>
      </c>
      <c r="AO22" t="s">
        <v>1235</v>
      </c>
      <c r="AP22" t="s">
        <v>1166</v>
      </c>
      <c r="AQ22" t="s">
        <v>1206</v>
      </c>
      <c r="AR22" t="s">
        <v>683</v>
      </c>
      <c r="AS22" t="s">
        <v>1257</v>
      </c>
      <c r="AT22" t="s">
        <v>3588</v>
      </c>
      <c r="AU22" t="s">
        <v>684</v>
      </c>
      <c r="AW22" t="s">
        <v>1282</v>
      </c>
    </row>
    <row r="23" spans="1:49">
      <c r="A23" s="1">
        <f>HYPERLINK("https://lsnyc.legalserver.org/matter/dynamic-profile/view/1900208","19-1900208")</f>
        <v>0</v>
      </c>
      <c r="B23" t="s">
        <v>94</v>
      </c>
      <c r="C23" t="s">
        <v>1781</v>
      </c>
      <c r="D23" t="s">
        <v>2019</v>
      </c>
      <c r="E23" t="s">
        <v>2253</v>
      </c>
      <c r="F23" t="s">
        <v>655</v>
      </c>
      <c r="G23" t="s">
        <v>677</v>
      </c>
      <c r="H23">
        <v>10457</v>
      </c>
      <c r="I23" t="s">
        <v>682</v>
      </c>
      <c r="J23" t="s">
        <v>2619</v>
      </c>
      <c r="K23" t="s">
        <v>732</v>
      </c>
      <c r="L23" t="s">
        <v>738</v>
      </c>
      <c r="M23" t="s">
        <v>743</v>
      </c>
      <c r="O23">
        <v>1286</v>
      </c>
      <c r="P23" t="s">
        <v>753</v>
      </c>
      <c r="Q23" t="s">
        <v>761</v>
      </c>
      <c r="R23" t="s">
        <v>2907</v>
      </c>
      <c r="T23" t="s">
        <v>3267</v>
      </c>
      <c r="U23">
        <v>0</v>
      </c>
      <c r="W23" t="s">
        <v>3517</v>
      </c>
      <c r="X23">
        <v>2</v>
      </c>
      <c r="Y23">
        <v>2</v>
      </c>
      <c r="Z23">
        <v>0</v>
      </c>
      <c r="AA23">
        <v>0</v>
      </c>
      <c r="AD23" t="s">
        <v>1122</v>
      </c>
      <c r="AE23">
        <v>0</v>
      </c>
      <c r="AF23" t="s">
        <v>3525</v>
      </c>
      <c r="AK23">
        <v>3</v>
      </c>
      <c r="AL23" t="s">
        <v>1178</v>
      </c>
      <c r="AM23" t="s">
        <v>1230</v>
      </c>
      <c r="AN23" t="s">
        <v>1233</v>
      </c>
      <c r="AO23" t="s">
        <v>1235</v>
      </c>
      <c r="AP23" t="s">
        <v>1164</v>
      </c>
      <c r="AQ23" t="s">
        <v>1190</v>
      </c>
      <c r="AR23" t="s">
        <v>683</v>
      </c>
      <c r="AS23" t="s">
        <v>1257</v>
      </c>
      <c r="AT23" t="s">
        <v>3588</v>
      </c>
      <c r="AU23" t="s">
        <v>684</v>
      </c>
      <c r="AW23" t="s">
        <v>1282</v>
      </c>
    </row>
    <row r="24" spans="1:49">
      <c r="A24" s="1">
        <f>HYPERLINK("https://lsnyc.legalserver.org/matter/dynamic-profile/view/1904816","19-1904816")</f>
        <v>0</v>
      </c>
      <c r="B24" t="s">
        <v>58</v>
      </c>
      <c r="C24" t="s">
        <v>1782</v>
      </c>
      <c r="D24" t="s">
        <v>2020</v>
      </c>
      <c r="E24" t="s">
        <v>2254</v>
      </c>
      <c r="G24" t="s">
        <v>677</v>
      </c>
      <c r="H24">
        <v>10453</v>
      </c>
      <c r="I24" t="s">
        <v>682</v>
      </c>
      <c r="J24" t="s">
        <v>2620</v>
      </c>
      <c r="K24" t="s">
        <v>732</v>
      </c>
      <c r="L24" t="s">
        <v>738</v>
      </c>
      <c r="N24" t="s">
        <v>1161</v>
      </c>
      <c r="O24">
        <v>840</v>
      </c>
      <c r="P24" t="s">
        <v>749</v>
      </c>
      <c r="Q24" t="s">
        <v>758</v>
      </c>
      <c r="R24" t="s">
        <v>2908</v>
      </c>
      <c r="S24">
        <v>37661359</v>
      </c>
      <c r="T24" t="s">
        <v>3268</v>
      </c>
      <c r="U24">
        <v>0</v>
      </c>
      <c r="V24" t="s">
        <v>1102</v>
      </c>
      <c r="W24" t="s">
        <v>1116</v>
      </c>
      <c r="X24">
        <v>3</v>
      </c>
      <c r="Y24">
        <v>1</v>
      </c>
      <c r="Z24">
        <v>0</v>
      </c>
      <c r="AA24">
        <v>0</v>
      </c>
      <c r="AD24" t="s">
        <v>1122</v>
      </c>
      <c r="AE24">
        <v>0</v>
      </c>
      <c r="AK24">
        <v>2.4</v>
      </c>
      <c r="AL24" t="s">
        <v>1169</v>
      </c>
      <c r="AM24" t="s">
        <v>1230</v>
      </c>
      <c r="AN24" t="s">
        <v>1233</v>
      </c>
      <c r="AO24" t="s">
        <v>1235</v>
      </c>
      <c r="AP24" t="s">
        <v>1161</v>
      </c>
      <c r="AQ24" t="s">
        <v>1175</v>
      </c>
      <c r="AR24" t="s">
        <v>683</v>
      </c>
      <c r="AS24" t="s">
        <v>1257</v>
      </c>
      <c r="AT24" t="s">
        <v>3588</v>
      </c>
      <c r="AU24" t="s">
        <v>684</v>
      </c>
      <c r="AW24" t="s">
        <v>1282</v>
      </c>
    </row>
    <row r="25" spans="1:49">
      <c r="A25" s="1">
        <f>HYPERLINK("https://lsnyc.legalserver.org/matter/dynamic-profile/view/1904413","19-1904413")</f>
        <v>0</v>
      </c>
      <c r="B25" t="s">
        <v>90</v>
      </c>
      <c r="C25" t="s">
        <v>1783</v>
      </c>
      <c r="D25" t="s">
        <v>2021</v>
      </c>
      <c r="E25" t="s">
        <v>2255</v>
      </c>
      <c r="F25">
        <v>2</v>
      </c>
      <c r="G25" t="s">
        <v>677</v>
      </c>
      <c r="H25">
        <v>10461</v>
      </c>
      <c r="I25" t="s">
        <v>682</v>
      </c>
      <c r="J25" t="s">
        <v>2621</v>
      </c>
      <c r="K25" t="s">
        <v>732</v>
      </c>
      <c r="L25" t="s">
        <v>738</v>
      </c>
      <c r="M25" t="s">
        <v>1562</v>
      </c>
      <c r="O25">
        <v>1900</v>
      </c>
      <c r="P25" t="s">
        <v>753</v>
      </c>
      <c r="Q25" t="s">
        <v>758</v>
      </c>
      <c r="R25" t="s">
        <v>2909</v>
      </c>
      <c r="T25" t="s">
        <v>3269</v>
      </c>
      <c r="U25">
        <v>3</v>
      </c>
      <c r="V25" t="s">
        <v>1104</v>
      </c>
      <c r="X25">
        <v>1</v>
      </c>
      <c r="Y25">
        <v>2</v>
      </c>
      <c r="Z25">
        <v>1</v>
      </c>
      <c r="AA25">
        <v>48.76</v>
      </c>
      <c r="AD25" t="s">
        <v>1122</v>
      </c>
      <c r="AE25">
        <v>10400</v>
      </c>
      <c r="AK25">
        <v>0.4</v>
      </c>
      <c r="AL25" t="s">
        <v>1175</v>
      </c>
      <c r="AM25" t="s">
        <v>61</v>
      </c>
      <c r="AN25" t="s">
        <v>1233</v>
      </c>
      <c r="AO25" t="s">
        <v>1235</v>
      </c>
      <c r="AP25" t="s">
        <v>1158</v>
      </c>
      <c r="AQ25" t="s">
        <v>1175</v>
      </c>
      <c r="AR25" t="s">
        <v>683</v>
      </c>
      <c r="AS25" t="s">
        <v>1257</v>
      </c>
      <c r="AT25" t="s">
        <v>3588</v>
      </c>
      <c r="AW25" t="s">
        <v>1282</v>
      </c>
    </row>
    <row r="26" spans="1:49">
      <c r="A26" s="1">
        <f>HYPERLINK("https://lsnyc.legalserver.org/matter/dynamic-profile/view/1905395","19-1905395")</f>
        <v>0</v>
      </c>
      <c r="B26" t="s">
        <v>90</v>
      </c>
      <c r="C26" t="s">
        <v>1784</v>
      </c>
      <c r="D26" t="s">
        <v>2022</v>
      </c>
      <c r="E26" t="s">
        <v>2256</v>
      </c>
      <c r="G26" t="s">
        <v>677</v>
      </c>
      <c r="H26">
        <v>10458</v>
      </c>
      <c r="I26" t="s">
        <v>682</v>
      </c>
      <c r="J26" t="s">
        <v>2622</v>
      </c>
      <c r="K26" t="s">
        <v>732</v>
      </c>
      <c r="L26" t="s">
        <v>738</v>
      </c>
      <c r="M26" t="s">
        <v>744</v>
      </c>
      <c r="O26">
        <v>1600</v>
      </c>
      <c r="Q26" t="s">
        <v>758</v>
      </c>
      <c r="R26" t="s">
        <v>2910</v>
      </c>
      <c r="U26">
        <v>0</v>
      </c>
      <c r="V26" t="s">
        <v>1102</v>
      </c>
      <c r="X26">
        <v>4</v>
      </c>
      <c r="Y26">
        <v>1</v>
      </c>
      <c r="Z26">
        <v>0</v>
      </c>
      <c r="AA26">
        <v>249.8</v>
      </c>
      <c r="AD26" t="s">
        <v>1122</v>
      </c>
      <c r="AE26">
        <v>31200</v>
      </c>
      <c r="AK26">
        <v>0.3</v>
      </c>
      <c r="AL26" t="s">
        <v>1170</v>
      </c>
      <c r="AM26" t="s">
        <v>61</v>
      </c>
      <c r="AN26" t="s">
        <v>1233</v>
      </c>
      <c r="AO26" t="s">
        <v>1235</v>
      </c>
      <c r="AP26" t="s">
        <v>1169</v>
      </c>
      <c r="AQ26" t="s">
        <v>1170</v>
      </c>
      <c r="AR26" t="s">
        <v>683</v>
      </c>
      <c r="AS26" t="s">
        <v>1257</v>
      </c>
      <c r="AT26" t="s">
        <v>3588</v>
      </c>
      <c r="AW26" t="s">
        <v>1282</v>
      </c>
    </row>
    <row r="27" spans="1:49">
      <c r="A27" s="1">
        <f>HYPERLINK("https://lsnyc.legalserver.org/matter/dynamic-profile/view/1896940","19-1896940")</f>
        <v>0</v>
      </c>
      <c r="B27" t="s">
        <v>1752</v>
      </c>
      <c r="C27" t="s">
        <v>1785</v>
      </c>
      <c r="D27" t="s">
        <v>2023</v>
      </c>
      <c r="E27" t="s">
        <v>2257</v>
      </c>
      <c r="F27" t="s">
        <v>665</v>
      </c>
      <c r="G27" t="s">
        <v>677</v>
      </c>
      <c r="H27">
        <v>10474</v>
      </c>
      <c r="I27" t="s">
        <v>682</v>
      </c>
      <c r="J27" t="s">
        <v>2623</v>
      </c>
      <c r="K27" t="s">
        <v>732</v>
      </c>
      <c r="L27" t="s">
        <v>738</v>
      </c>
      <c r="O27">
        <v>1190.57</v>
      </c>
      <c r="P27" t="s">
        <v>757</v>
      </c>
      <c r="Q27" t="s">
        <v>758</v>
      </c>
      <c r="R27" t="s">
        <v>2911</v>
      </c>
      <c r="U27">
        <v>44</v>
      </c>
      <c r="V27" t="s">
        <v>1106</v>
      </c>
      <c r="W27" t="s">
        <v>1115</v>
      </c>
      <c r="X27">
        <v>14</v>
      </c>
      <c r="Y27">
        <v>2</v>
      </c>
      <c r="Z27">
        <v>3</v>
      </c>
      <c r="AA27">
        <v>70.17</v>
      </c>
      <c r="AD27" t="s">
        <v>1122</v>
      </c>
      <c r="AE27">
        <v>21171</v>
      </c>
      <c r="AF27" t="s">
        <v>3522</v>
      </c>
      <c r="AK27">
        <v>0.15</v>
      </c>
      <c r="AL27" t="s">
        <v>1191</v>
      </c>
      <c r="AM27" t="s">
        <v>3583</v>
      </c>
      <c r="AN27" t="s">
        <v>1233</v>
      </c>
      <c r="AO27" t="s">
        <v>1235</v>
      </c>
      <c r="AP27" t="s">
        <v>1240</v>
      </c>
      <c r="AQ27" t="s">
        <v>1189</v>
      </c>
      <c r="AR27" t="s">
        <v>682</v>
      </c>
      <c r="AS27" t="s">
        <v>1257</v>
      </c>
      <c r="AT27" t="s">
        <v>3588</v>
      </c>
      <c r="AW27" t="s">
        <v>1282</v>
      </c>
    </row>
    <row r="28" spans="1:49">
      <c r="A28" s="1">
        <f>HYPERLINK("https://lsnyc.legalserver.org/matter/dynamic-profile/view/1905253","19-1905253")</f>
        <v>0</v>
      </c>
      <c r="B28" t="s">
        <v>90</v>
      </c>
      <c r="C28" t="s">
        <v>1786</v>
      </c>
      <c r="D28" t="s">
        <v>2024</v>
      </c>
      <c r="E28" t="s">
        <v>2258</v>
      </c>
      <c r="F28" t="s">
        <v>640</v>
      </c>
      <c r="G28" t="s">
        <v>677</v>
      </c>
      <c r="H28">
        <v>10455</v>
      </c>
      <c r="I28" t="s">
        <v>682</v>
      </c>
      <c r="J28" t="s">
        <v>2624</v>
      </c>
      <c r="K28" t="s">
        <v>732</v>
      </c>
      <c r="L28" t="s">
        <v>738</v>
      </c>
      <c r="M28" t="s">
        <v>1562</v>
      </c>
      <c r="O28">
        <v>1518</v>
      </c>
      <c r="Q28" t="s">
        <v>758</v>
      </c>
      <c r="R28" t="s">
        <v>2912</v>
      </c>
      <c r="U28">
        <v>49</v>
      </c>
      <c r="X28">
        <v>3</v>
      </c>
      <c r="Y28">
        <v>3</v>
      </c>
      <c r="Z28">
        <v>0</v>
      </c>
      <c r="AA28">
        <v>16.88</v>
      </c>
      <c r="AD28" t="s">
        <v>1123</v>
      </c>
      <c r="AE28">
        <v>3600</v>
      </c>
      <c r="AK28">
        <v>0.3</v>
      </c>
      <c r="AL28" t="s">
        <v>1206</v>
      </c>
      <c r="AM28" t="s">
        <v>77</v>
      </c>
      <c r="AN28" t="s">
        <v>1233</v>
      </c>
      <c r="AO28" t="s">
        <v>1235</v>
      </c>
      <c r="AP28" t="s">
        <v>1166</v>
      </c>
      <c r="AQ28" t="s">
        <v>1206</v>
      </c>
      <c r="AR28" t="s">
        <v>683</v>
      </c>
      <c r="AS28" t="s">
        <v>1257</v>
      </c>
      <c r="AT28" t="s">
        <v>3588</v>
      </c>
      <c r="AU28" t="s">
        <v>684</v>
      </c>
      <c r="AW28" t="s">
        <v>1282</v>
      </c>
    </row>
    <row r="29" spans="1:49">
      <c r="A29" s="1">
        <f>HYPERLINK("https://lsnyc.legalserver.org/matter/dynamic-profile/view/1896599","19-1896599")</f>
        <v>0</v>
      </c>
      <c r="B29" t="s">
        <v>90</v>
      </c>
      <c r="C29" t="s">
        <v>237</v>
      </c>
      <c r="D29" t="s">
        <v>2025</v>
      </c>
      <c r="E29" t="s">
        <v>2259</v>
      </c>
      <c r="F29" t="s">
        <v>651</v>
      </c>
      <c r="G29" t="s">
        <v>677</v>
      </c>
      <c r="H29">
        <v>10456</v>
      </c>
      <c r="I29" t="s">
        <v>682</v>
      </c>
      <c r="J29" t="s">
        <v>2625</v>
      </c>
      <c r="K29" t="s">
        <v>732</v>
      </c>
      <c r="L29" t="s">
        <v>738</v>
      </c>
      <c r="O29">
        <v>1350</v>
      </c>
      <c r="Q29" t="s">
        <v>758</v>
      </c>
      <c r="R29" t="s">
        <v>2913</v>
      </c>
      <c r="U29">
        <v>0</v>
      </c>
      <c r="X29">
        <v>0</v>
      </c>
      <c r="Y29">
        <v>4</v>
      </c>
      <c r="Z29">
        <v>0</v>
      </c>
      <c r="AA29">
        <v>111.07</v>
      </c>
      <c r="AD29" t="s">
        <v>1123</v>
      </c>
      <c r="AE29">
        <v>28600</v>
      </c>
      <c r="AF29" t="s">
        <v>3526</v>
      </c>
      <c r="AK29">
        <v>1</v>
      </c>
      <c r="AL29" t="s">
        <v>3579</v>
      </c>
      <c r="AM29" t="s">
        <v>1215</v>
      </c>
      <c r="AO29" t="s">
        <v>1235</v>
      </c>
      <c r="AP29" t="s">
        <v>1254</v>
      </c>
      <c r="AQ29" t="s">
        <v>3579</v>
      </c>
      <c r="AR29" t="s">
        <v>684</v>
      </c>
      <c r="AS29" t="s">
        <v>1257</v>
      </c>
      <c r="AT29" t="s">
        <v>3588</v>
      </c>
      <c r="AU29" t="s">
        <v>684</v>
      </c>
      <c r="AW29" t="s">
        <v>1282</v>
      </c>
    </row>
    <row r="30" spans="1:49">
      <c r="A30" s="1">
        <f>HYPERLINK("https://lsnyc.legalserver.org/matter/dynamic-profile/view/1904114","19-1904114")</f>
        <v>0</v>
      </c>
      <c r="B30" t="s">
        <v>49</v>
      </c>
      <c r="C30" t="s">
        <v>1346</v>
      </c>
      <c r="D30" t="s">
        <v>2026</v>
      </c>
      <c r="E30" t="s">
        <v>2260</v>
      </c>
      <c r="F30" t="s">
        <v>2519</v>
      </c>
      <c r="G30" t="s">
        <v>677</v>
      </c>
      <c r="H30">
        <v>10467</v>
      </c>
      <c r="I30" t="s">
        <v>682</v>
      </c>
      <c r="K30" t="s">
        <v>735</v>
      </c>
      <c r="L30" t="s">
        <v>738</v>
      </c>
      <c r="M30" t="s">
        <v>744</v>
      </c>
      <c r="O30">
        <v>970</v>
      </c>
      <c r="P30" t="s">
        <v>755</v>
      </c>
      <c r="Q30" t="s">
        <v>758</v>
      </c>
      <c r="R30" t="s">
        <v>2914</v>
      </c>
      <c r="T30" t="s">
        <v>3270</v>
      </c>
      <c r="U30">
        <v>84</v>
      </c>
      <c r="V30" t="s">
        <v>1102</v>
      </c>
      <c r="W30" t="s">
        <v>1116</v>
      </c>
      <c r="X30">
        <v>3</v>
      </c>
      <c r="Y30">
        <v>1</v>
      </c>
      <c r="Z30">
        <v>0</v>
      </c>
      <c r="AA30">
        <v>124.9</v>
      </c>
      <c r="AD30" t="s">
        <v>1122</v>
      </c>
      <c r="AE30">
        <v>15600</v>
      </c>
      <c r="AK30">
        <v>0.5</v>
      </c>
      <c r="AL30" t="s">
        <v>1157</v>
      </c>
      <c r="AM30" t="s">
        <v>49</v>
      </c>
      <c r="AN30" t="s">
        <v>1233</v>
      </c>
      <c r="AO30" t="s">
        <v>1235</v>
      </c>
      <c r="AP30" t="s">
        <v>1157</v>
      </c>
      <c r="AQ30" t="s">
        <v>1157</v>
      </c>
      <c r="AR30" t="s">
        <v>683</v>
      </c>
      <c r="AS30" t="s">
        <v>1257</v>
      </c>
      <c r="AT30" t="s">
        <v>3588</v>
      </c>
      <c r="AU30" t="s">
        <v>684</v>
      </c>
      <c r="AW30" t="s">
        <v>1282</v>
      </c>
    </row>
    <row r="31" spans="1:49">
      <c r="A31" s="1">
        <f>HYPERLINK("https://lsnyc.legalserver.org/matter/dynamic-profile/view/1900981","19-1900981")</f>
        <v>0</v>
      </c>
      <c r="B31" t="s">
        <v>90</v>
      </c>
      <c r="C31" t="s">
        <v>1787</v>
      </c>
      <c r="D31" t="s">
        <v>2027</v>
      </c>
      <c r="E31" t="s">
        <v>2261</v>
      </c>
      <c r="F31" t="s">
        <v>605</v>
      </c>
      <c r="G31" t="s">
        <v>677</v>
      </c>
      <c r="H31">
        <v>10451</v>
      </c>
      <c r="I31" t="s">
        <v>682</v>
      </c>
      <c r="J31" t="s">
        <v>2626</v>
      </c>
      <c r="L31" t="s">
        <v>738</v>
      </c>
      <c r="M31" t="s">
        <v>745</v>
      </c>
      <c r="O31">
        <v>1597</v>
      </c>
      <c r="P31" t="s">
        <v>753</v>
      </c>
      <c r="Q31" t="s">
        <v>758</v>
      </c>
      <c r="R31" t="s">
        <v>2915</v>
      </c>
      <c r="T31" t="s">
        <v>3271</v>
      </c>
      <c r="U31">
        <v>0</v>
      </c>
      <c r="V31" t="s">
        <v>1102</v>
      </c>
      <c r="W31" t="s">
        <v>1115</v>
      </c>
      <c r="X31">
        <v>4</v>
      </c>
      <c r="Y31">
        <v>2</v>
      </c>
      <c r="Z31">
        <v>0</v>
      </c>
      <c r="AA31">
        <v>20.91</v>
      </c>
      <c r="AD31" t="s">
        <v>1122</v>
      </c>
      <c r="AE31">
        <v>3536</v>
      </c>
      <c r="AF31" t="s">
        <v>3527</v>
      </c>
      <c r="AK31">
        <v>1</v>
      </c>
      <c r="AL31" t="s">
        <v>1209</v>
      </c>
      <c r="AM31" t="s">
        <v>1215</v>
      </c>
      <c r="AN31" t="s">
        <v>1233</v>
      </c>
      <c r="AO31" t="s">
        <v>1235</v>
      </c>
      <c r="AP31" t="s">
        <v>1171</v>
      </c>
      <c r="AQ31" t="s">
        <v>1209</v>
      </c>
      <c r="AR31" t="s">
        <v>683</v>
      </c>
      <c r="AS31" t="s">
        <v>1257</v>
      </c>
      <c r="AT31" t="s">
        <v>3588</v>
      </c>
      <c r="AU31" t="s">
        <v>684</v>
      </c>
      <c r="AW31" t="s">
        <v>1282</v>
      </c>
    </row>
    <row r="32" spans="1:49">
      <c r="A32" s="1">
        <f>HYPERLINK("https://lsnyc.legalserver.org/matter/dynamic-profile/view/1903739","19-1903739")</f>
        <v>0</v>
      </c>
      <c r="B32" t="s">
        <v>49</v>
      </c>
      <c r="C32" t="s">
        <v>107</v>
      </c>
      <c r="D32" t="s">
        <v>264</v>
      </c>
      <c r="E32" t="s">
        <v>421</v>
      </c>
      <c r="F32" t="s">
        <v>593</v>
      </c>
      <c r="G32" t="s">
        <v>677</v>
      </c>
      <c r="H32">
        <v>10460</v>
      </c>
      <c r="I32" t="s">
        <v>682</v>
      </c>
      <c r="J32" t="s">
        <v>2627</v>
      </c>
      <c r="K32" t="s">
        <v>730</v>
      </c>
      <c r="L32" t="s">
        <v>739</v>
      </c>
      <c r="M32" t="s">
        <v>743</v>
      </c>
      <c r="O32">
        <v>1700</v>
      </c>
      <c r="P32" t="s">
        <v>748</v>
      </c>
      <c r="Q32" t="s">
        <v>758</v>
      </c>
      <c r="R32" t="s">
        <v>764</v>
      </c>
      <c r="S32" t="s">
        <v>940</v>
      </c>
      <c r="T32" t="s">
        <v>949</v>
      </c>
      <c r="U32">
        <v>169</v>
      </c>
      <c r="V32" t="s">
        <v>1101</v>
      </c>
      <c r="W32" t="s">
        <v>1115</v>
      </c>
      <c r="X32">
        <v>4</v>
      </c>
      <c r="Y32">
        <v>1</v>
      </c>
      <c r="Z32">
        <v>2</v>
      </c>
      <c r="AA32">
        <v>23.65</v>
      </c>
      <c r="AD32" t="s">
        <v>1122</v>
      </c>
      <c r="AE32">
        <v>5044</v>
      </c>
      <c r="AK32">
        <v>3.1</v>
      </c>
      <c r="AL32" t="s">
        <v>1157</v>
      </c>
      <c r="AM32" t="s">
        <v>1215</v>
      </c>
      <c r="AN32" t="s">
        <v>1233</v>
      </c>
      <c r="AO32" t="s">
        <v>1235</v>
      </c>
      <c r="AP32" t="s">
        <v>1163</v>
      </c>
      <c r="AQ32" t="s">
        <v>1157</v>
      </c>
      <c r="AR32" t="s">
        <v>683</v>
      </c>
      <c r="AS32" t="s">
        <v>1258</v>
      </c>
      <c r="AT32" t="s">
        <v>3588</v>
      </c>
      <c r="AU32" t="s">
        <v>684</v>
      </c>
      <c r="AW32" t="s">
        <v>1282</v>
      </c>
    </row>
    <row r="33" spans="1:49">
      <c r="A33" s="1">
        <f>HYPERLINK("https://lsnyc.legalserver.org/matter/dynamic-profile/view/1901399","19-1901399")</f>
        <v>0</v>
      </c>
      <c r="B33" t="s">
        <v>1750</v>
      </c>
      <c r="C33" t="s">
        <v>1788</v>
      </c>
      <c r="D33" t="s">
        <v>2028</v>
      </c>
      <c r="E33" t="s">
        <v>2262</v>
      </c>
      <c r="F33">
        <v>63</v>
      </c>
      <c r="G33" t="s">
        <v>677</v>
      </c>
      <c r="H33">
        <v>10452</v>
      </c>
      <c r="I33" t="s">
        <v>682</v>
      </c>
      <c r="J33" t="s">
        <v>2628</v>
      </c>
      <c r="K33" t="s">
        <v>730</v>
      </c>
      <c r="L33" t="s">
        <v>740</v>
      </c>
      <c r="M33" t="s">
        <v>744</v>
      </c>
      <c r="O33">
        <v>627.28</v>
      </c>
      <c r="P33" t="s">
        <v>755</v>
      </c>
      <c r="Q33" t="s">
        <v>1567</v>
      </c>
      <c r="R33" t="s">
        <v>2916</v>
      </c>
      <c r="U33">
        <v>41</v>
      </c>
      <c r="V33" t="s">
        <v>1102</v>
      </c>
      <c r="W33" t="s">
        <v>1116</v>
      </c>
      <c r="X33">
        <v>12</v>
      </c>
      <c r="Y33">
        <v>2</v>
      </c>
      <c r="Z33">
        <v>0</v>
      </c>
      <c r="AA33">
        <v>177.41</v>
      </c>
      <c r="AD33" t="s">
        <v>1122</v>
      </c>
      <c r="AE33">
        <v>30000</v>
      </c>
      <c r="AF33" t="s">
        <v>3528</v>
      </c>
      <c r="AH33" t="s">
        <v>3570</v>
      </c>
      <c r="AI33" t="s">
        <v>1155</v>
      </c>
      <c r="AJ33" t="s">
        <v>3574</v>
      </c>
      <c r="AK33">
        <v>6.25</v>
      </c>
      <c r="AL33" t="s">
        <v>1211</v>
      </c>
      <c r="AM33" t="s">
        <v>77</v>
      </c>
      <c r="AN33" t="s">
        <v>1233</v>
      </c>
      <c r="AO33" t="s">
        <v>1235</v>
      </c>
      <c r="AP33" t="s">
        <v>1189</v>
      </c>
      <c r="AQ33" t="s">
        <v>1206</v>
      </c>
      <c r="AR33" t="s">
        <v>683</v>
      </c>
      <c r="AS33" t="s">
        <v>1260</v>
      </c>
      <c r="AT33" t="s">
        <v>3588</v>
      </c>
      <c r="AU33" t="s">
        <v>684</v>
      </c>
      <c r="AW33" t="s">
        <v>1282</v>
      </c>
    </row>
    <row r="34" spans="1:49">
      <c r="A34" s="1">
        <f>HYPERLINK("https://lsnyc.legalserver.org/matter/dynamic-profile/view/1904213","19-1904213")</f>
        <v>0</v>
      </c>
      <c r="B34" t="s">
        <v>89</v>
      </c>
      <c r="C34" t="s">
        <v>245</v>
      </c>
      <c r="D34" t="s">
        <v>2029</v>
      </c>
      <c r="E34" t="s">
        <v>2263</v>
      </c>
      <c r="F34" t="s">
        <v>657</v>
      </c>
      <c r="G34" t="s">
        <v>677</v>
      </c>
      <c r="H34">
        <v>10467</v>
      </c>
      <c r="I34" t="s">
        <v>682</v>
      </c>
      <c r="J34" t="s">
        <v>2629</v>
      </c>
      <c r="K34" t="s">
        <v>732</v>
      </c>
      <c r="L34" t="s">
        <v>740</v>
      </c>
      <c r="M34" t="s">
        <v>743</v>
      </c>
      <c r="O34">
        <v>1506.54</v>
      </c>
      <c r="P34" t="s">
        <v>752</v>
      </c>
      <c r="Q34" t="s">
        <v>1567</v>
      </c>
      <c r="R34" t="s">
        <v>2917</v>
      </c>
      <c r="S34" t="s">
        <v>3192</v>
      </c>
      <c r="T34" t="s">
        <v>3272</v>
      </c>
      <c r="U34">
        <v>0</v>
      </c>
      <c r="V34" t="s">
        <v>1102</v>
      </c>
      <c r="W34" t="s">
        <v>1115</v>
      </c>
      <c r="X34">
        <v>4</v>
      </c>
      <c r="Y34">
        <v>3</v>
      </c>
      <c r="Z34">
        <v>0</v>
      </c>
      <c r="AA34">
        <v>196.91</v>
      </c>
      <c r="AD34" t="s">
        <v>1123</v>
      </c>
      <c r="AE34">
        <v>42000</v>
      </c>
      <c r="AG34" t="s">
        <v>3568</v>
      </c>
      <c r="AH34" t="s">
        <v>3571</v>
      </c>
      <c r="AI34" t="s">
        <v>1155</v>
      </c>
      <c r="AJ34" t="s">
        <v>3575</v>
      </c>
      <c r="AK34">
        <v>6.3</v>
      </c>
      <c r="AL34" t="s">
        <v>1173</v>
      </c>
      <c r="AM34" t="s">
        <v>1230</v>
      </c>
      <c r="AN34" t="s">
        <v>1233</v>
      </c>
      <c r="AO34" t="s">
        <v>1235</v>
      </c>
      <c r="AP34" t="s">
        <v>1157</v>
      </c>
      <c r="AQ34" t="s">
        <v>1162</v>
      </c>
      <c r="AR34" t="s">
        <v>683</v>
      </c>
      <c r="AS34" t="s">
        <v>1260</v>
      </c>
      <c r="AT34" t="s">
        <v>3588</v>
      </c>
      <c r="AU34" t="s">
        <v>684</v>
      </c>
      <c r="AW34" t="s">
        <v>1282</v>
      </c>
    </row>
    <row r="35" spans="1:49">
      <c r="A35" s="1">
        <f>HYPERLINK("https://lsnyc.legalserver.org/matter/dynamic-profile/view/1903780","19-1903780")</f>
        <v>0</v>
      </c>
      <c r="B35" t="s">
        <v>1751</v>
      </c>
      <c r="C35" t="s">
        <v>249</v>
      </c>
      <c r="D35" t="s">
        <v>2030</v>
      </c>
      <c r="E35" t="s">
        <v>2264</v>
      </c>
      <c r="F35">
        <v>2</v>
      </c>
      <c r="G35" t="s">
        <v>677</v>
      </c>
      <c r="H35">
        <v>10470</v>
      </c>
      <c r="I35" t="s">
        <v>682</v>
      </c>
      <c r="J35" t="s">
        <v>2630</v>
      </c>
      <c r="K35" t="s">
        <v>730</v>
      </c>
      <c r="L35" t="s">
        <v>738</v>
      </c>
      <c r="M35" t="s">
        <v>1562</v>
      </c>
      <c r="N35" t="s">
        <v>1163</v>
      </c>
      <c r="O35">
        <v>1515</v>
      </c>
      <c r="P35" t="s">
        <v>753</v>
      </c>
      <c r="R35" t="s">
        <v>2918</v>
      </c>
      <c r="T35" t="s">
        <v>3273</v>
      </c>
      <c r="U35">
        <v>2</v>
      </c>
      <c r="V35" t="s">
        <v>1104</v>
      </c>
      <c r="W35" t="s">
        <v>3517</v>
      </c>
      <c r="X35">
        <v>3</v>
      </c>
      <c r="Y35">
        <v>4</v>
      </c>
      <c r="Z35">
        <v>0</v>
      </c>
      <c r="AA35">
        <v>140.48</v>
      </c>
      <c r="AD35" t="s">
        <v>1122</v>
      </c>
      <c r="AE35">
        <v>36174</v>
      </c>
      <c r="AK35">
        <v>3</v>
      </c>
      <c r="AL35" t="s">
        <v>1165</v>
      </c>
      <c r="AM35" t="s">
        <v>1215</v>
      </c>
      <c r="AN35" t="s">
        <v>1233</v>
      </c>
      <c r="AO35" t="s">
        <v>1236</v>
      </c>
      <c r="AP35" t="s">
        <v>1163</v>
      </c>
      <c r="AR35" t="s">
        <v>683</v>
      </c>
      <c r="AT35" t="s">
        <v>3588</v>
      </c>
      <c r="AU35" t="s">
        <v>684</v>
      </c>
      <c r="AW35" t="s">
        <v>1282</v>
      </c>
    </row>
    <row r="36" spans="1:49">
      <c r="A36" s="1">
        <f>HYPERLINK("https://lsnyc.legalserver.org/matter/dynamic-profile/view/1902949","19-1902949")</f>
        <v>0</v>
      </c>
      <c r="B36" t="s">
        <v>1753</v>
      </c>
      <c r="C36" t="s">
        <v>1789</v>
      </c>
      <c r="D36" t="s">
        <v>381</v>
      </c>
      <c r="E36" t="s">
        <v>2265</v>
      </c>
      <c r="G36" t="s">
        <v>677</v>
      </c>
      <c r="H36">
        <v>10454</v>
      </c>
      <c r="I36" t="s">
        <v>682</v>
      </c>
      <c r="J36" t="s">
        <v>2631</v>
      </c>
      <c r="K36" t="s">
        <v>730</v>
      </c>
      <c r="L36" t="s">
        <v>738</v>
      </c>
      <c r="M36" t="s">
        <v>744</v>
      </c>
      <c r="O36">
        <v>1661.56</v>
      </c>
      <c r="P36" t="s">
        <v>753</v>
      </c>
      <c r="R36" t="s">
        <v>2919</v>
      </c>
      <c r="T36" t="s">
        <v>3274</v>
      </c>
      <c r="U36">
        <v>29</v>
      </c>
      <c r="V36" t="s">
        <v>1102</v>
      </c>
      <c r="W36" t="s">
        <v>1120</v>
      </c>
      <c r="X36">
        <v>12</v>
      </c>
      <c r="Y36">
        <v>1</v>
      </c>
      <c r="Z36">
        <v>0</v>
      </c>
      <c r="AA36">
        <v>172.94</v>
      </c>
      <c r="AD36" t="s">
        <v>1123</v>
      </c>
      <c r="AE36">
        <v>21600</v>
      </c>
      <c r="AF36" t="s">
        <v>3529</v>
      </c>
      <c r="AK36">
        <v>1.5</v>
      </c>
      <c r="AL36" t="s">
        <v>1196</v>
      </c>
      <c r="AM36" t="s">
        <v>1230</v>
      </c>
      <c r="AN36" t="s">
        <v>1233</v>
      </c>
      <c r="AO36" t="s">
        <v>1236</v>
      </c>
      <c r="AP36" t="s">
        <v>1178</v>
      </c>
      <c r="AR36" t="s">
        <v>683</v>
      </c>
      <c r="AT36" t="s">
        <v>3588</v>
      </c>
      <c r="AU36" t="s">
        <v>684</v>
      </c>
      <c r="AW36" t="s">
        <v>1282</v>
      </c>
    </row>
    <row r="37" spans="1:49">
      <c r="A37" s="1">
        <f>HYPERLINK("https://lsnyc.legalserver.org/matter/dynamic-profile/view/1901611","19-1901611")</f>
        <v>0</v>
      </c>
      <c r="B37" t="s">
        <v>85</v>
      </c>
      <c r="C37" t="s">
        <v>1790</v>
      </c>
      <c r="D37" t="s">
        <v>2031</v>
      </c>
      <c r="E37" t="s">
        <v>2266</v>
      </c>
      <c r="F37" t="s">
        <v>618</v>
      </c>
      <c r="G37" t="s">
        <v>677</v>
      </c>
      <c r="H37">
        <v>10459</v>
      </c>
      <c r="I37" t="s">
        <v>682</v>
      </c>
      <c r="K37" t="s">
        <v>730</v>
      </c>
      <c r="L37" t="s">
        <v>738</v>
      </c>
      <c r="O37">
        <v>1414</v>
      </c>
      <c r="P37" t="s">
        <v>757</v>
      </c>
      <c r="R37" t="s">
        <v>2920</v>
      </c>
      <c r="T37" t="s">
        <v>3275</v>
      </c>
      <c r="U37">
        <v>0</v>
      </c>
      <c r="X37">
        <v>3</v>
      </c>
      <c r="Y37">
        <v>2</v>
      </c>
      <c r="Z37">
        <v>5</v>
      </c>
      <c r="AA37">
        <v>21.32</v>
      </c>
      <c r="AD37" t="s">
        <v>1122</v>
      </c>
      <c r="AE37">
        <v>8316</v>
      </c>
      <c r="AF37" t="s">
        <v>1139</v>
      </c>
      <c r="AK37">
        <v>0.4</v>
      </c>
      <c r="AL37" t="s">
        <v>1256</v>
      </c>
      <c r="AM37" t="s">
        <v>61</v>
      </c>
      <c r="AN37" t="s">
        <v>1233</v>
      </c>
      <c r="AO37" t="s">
        <v>1236</v>
      </c>
      <c r="AP37" t="s">
        <v>1209</v>
      </c>
      <c r="AR37" t="s">
        <v>683</v>
      </c>
      <c r="AT37" t="s">
        <v>3588</v>
      </c>
      <c r="AW37" t="s">
        <v>1282</v>
      </c>
    </row>
    <row r="38" spans="1:49">
      <c r="A38" s="1">
        <f>HYPERLINK("https://lsnyc.legalserver.org/matter/dynamic-profile/view/1904775","19-1904775")</f>
        <v>0</v>
      </c>
      <c r="B38" t="s">
        <v>1754</v>
      </c>
      <c r="C38" t="s">
        <v>1791</v>
      </c>
      <c r="D38" t="s">
        <v>2032</v>
      </c>
      <c r="E38" t="s">
        <v>2267</v>
      </c>
      <c r="F38" t="s">
        <v>2520</v>
      </c>
      <c r="G38" t="s">
        <v>677</v>
      </c>
      <c r="H38">
        <v>10460</v>
      </c>
      <c r="I38" t="s">
        <v>683</v>
      </c>
      <c r="J38" t="s">
        <v>2632</v>
      </c>
      <c r="K38" t="s">
        <v>730</v>
      </c>
      <c r="L38" t="s">
        <v>738</v>
      </c>
      <c r="O38">
        <v>378</v>
      </c>
      <c r="P38" t="s">
        <v>757</v>
      </c>
      <c r="R38" t="s">
        <v>2921</v>
      </c>
      <c r="T38" t="s">
        <v>3276</v>
      </c>
      <c r="U38">
        <v>0</v>
      </c>
      <c r="V38" t="s">
        <v>1112</v>
      </c>
      <c r="X38">
        <v>0</v>
      </c>
      <c r="Y38">
        <v>1</v>
      </c>
      <c r="Z38">
        <v>2</v>
      </c>
      <c r="AA38">
        <v>84.84</v>
      </c>
      <c r="AD38" t="s">
        <v>1122</v>
      </c>
      <c r="AE38">
        <v>18096</v>
      </c>
      <c r="AK38">
        <v>0.5</v>
      </c>
      <c r="AL38" t="s">
        <v>1211</v>
      </c>
      <c r="AM38" t="s">
        <v>61</v>
      </c>
      <c r="AN38" t="s">
        <v>1233</v>
      </c>
      <c r="AO38" t="s">
        <v>1236</v>
      </c>
      <c r="AP38" t="s">
        <v>1161</v>
      </c>
      <c r="AR38" t="s">
        <v>683</v>
      </c>
      <c r="AT38" t="s">
        <v>3588</v>
      </c>
      <c r="AW38" t="s">
        <v>1282</v>
      </c>
    </row>
    <row r="39" spans="1:49">
      <c r="A39" s="1">
        <f>HYPERLINK("https://lsnyc.legalserver.org/matter/dynamic-profile/view/1897260","19-1897260")</f>
        <v>0</v>
      </c>
      <c r="B39" t="s">
        <v>71</v>
      </c>
      <c r="C39" t="s">
        <v>1792</v>
      </c>
      <c r="D39" t="s">
        <v>344</v>
      </c>
      <c r="E39" t="s">
        <v>2268</v>
      </c>
      <c r="F39">
        <v>40</v>
      </c>
      <c r="G39" t="s">
        <v>677</v>
      </c>
      <c r="H39">
        <v>10458</v>
      </c>
      <c r="I39" t="s">
        <v>682</v>
      </c>
      <c r="J39" t="s">
        <v>2633</v>
      </c>
      <c r="K39" t="s">
        <v>730</v>
      </c>
      <c r="L39" t="s">
        <v>738</v>
      </c>
      <c r="O39">
        <v>0</v>
      </c>
      <c r="R39" t="s">
        <v>2922</v>
      </c>
      <c r="T39" t="s">
        <v>3277</v>
      </c>
      <c r="U39">
        <v>0</v>
      </c>
      <c r="V39" t="s">
        <v>1106</v>
      </c>
      <c r="W39" t="s">
        <v>748</v>
      </c>
      <c r="X39">
        <v>15</v>
      </c>
      <c r="Y39">
        <v>2</v>
      </c>
      <c r="Z39">
        <v>2</v>
      </c>
      <c r="AA39">
        <v>35.34</v>
      </c>
      <c r="AD39" t="s">
        <v>1122</v>
      </c>
      <c r="AE39">
        <v>9100</v>
      </c>
      <c r="AF39" t="s">
        <v>3530</v>
      </c>
      <c r="AK39">
        <v>0.75</v>
      </c>
      <c r="AL39" t="s">
        <v>1247</v>
      </c>
      <c r="AM39" t="s">
        <v>1215</v>
      </c>
      <c r="AN39" t="s">
        <v>1233</v>
      </c>
      <c r="AO39" t="s">
        <v>1236</v>
      </c>
      <c r="AP39" t="s">
        <v>3580</v>
      </c>
      <c r="AR39" t="s">
        <v>682</v>
      </c>
      <c r="AT39" t="s">
        <v>3588</v>
      </c>
      <c r="AW39" t="s">
        <v>1282</v>
      </c>
    </row>
    <row r="40" spans="1:49">
      <c r="A40" s="1">
        <f>HYPERLINK("https://lsnyc.legalserver.org/matter/dynamic-profile/view/1900505","19-1900505")</f>
        <v>0</v>
      </c>
      <c r="B40" t="s">
        <v>93</v>
      </c>
      <c r="C40" t="s">
        <v>1793</v>
      </c>
      <c r="D40" t="s">
        <v>324</v>
      </c>
      <c r="E40" t="s">
        <v>2269</v>
      </c>
      <c r="F40">
        <v>1</v>
      </c>
      <c r="G40" t="s">
        <v>677</v>
      </c>
      <c r="H40">
        <v>10460</v>
      </c>
      <c r="I40" t="s">
        <v>682</v>
      </c>
      <c r="K40" t="s">
        <v>730</v>
      </c>
      <c r="L40" t="s">
        <v>738</v>
      </c>
      <c r="O40">
        <v>1635</v>
      </c>
      <c r="R40" t="s">
        <v>2923</v>
      </c>
      <c r="T40" t="s">
        <v>3278</v>
      </c>
      <c r="U40">
        <v>2</v>
      </c>
      <c r="V40" t="s">
        <v>1104</v>
      </c>
      <c r="W40" t="s">
        <v>1115</v>
      </c>
      <c r="X40">
        <v>10</v>
      </c>
      <c r="Y40">
        <v>1</v>
      </c>
      <c r="Z40">
        <v>0</v>
      </c>
      <c r="AA40">
        <v>3.36</v>
      </c>
      <c r="AD40" t="s">
        <v>1122</v>
      </c>
      <c r="AE40">
        <v>420</v>
      </c>
      <c r="AF40" t="s">
        <v>3531</v>
      </c>
      <c r="AK40">
        <v>0.5</v>
      </c>
      <c r="AL40" t="s">
        <v>1242</v>
      </c>
      <c r="AM40" t="s">
        <v>1215</v>
      </c>
      <c r="AN40" t="s">
        <v>1233</v>
      </c>
      <c r="AO40" t="s">
        <v>1236</v>
      </c>
      <c r="AP40" t="s">
        <v>1242</v>
      </c>
      <c r="AR40" t="s">
        <v>683</v>
      </c>
      <c r="AT40" t="s">
        <v>3588</v>
      </c>
      <c r="AW40" t="s">
        <v>1282</v>
      </c>
    </row>
    <row r="41" spans="1:49">
      <c r="A41" s="1">
        <f>HYPERLINK("https://lsnyc.legalserver.org/matter/dynamic-profile/view/1899352","19-1899352")</f>
        <v>0</v>
      </c>
      <c r="B41" t="s">
        <v>83</v>
      </c>
      <c r="C41" t="s">
        <v>1794</v>
      </c>
      <c r="D41" t="s">
        <v>2033</v>
      </c>
      <c r="E41" t="s">
        <v>2270</v>
      </c>
      <c r="F41" t="s">
        <v>1510</v>
      </c>
      <c r="G41" t="s">
        <v>677</v>
      </c>
      <c r="H41">
        <v>10458</v>
      </c>
      <c r="I41" t="s">
        <v>682</v>
      </c>
      <c r="J41" t="s">
        <v>2634</v>
      </c>
      <c r="K41" t="s">
        <v>730</v>
      </c>
      <c r="L41" t="s">
        <v>738</v>
      </c>
      <c r="N41" t="s">
        <v>1163</v>
      </c>
      <c r="O41">
        <v>1453</v>
      </c>
      <c r="R41" t="s">
        <v>2924</v>
      </c>
      <c r="T41" t="s">
        <v>3279</v>
      </c>
      <c r="U41">
        <v>0</v>
      </c>
      <c r="V41" t="s">
        <v>1105</v>
      </c>
      <c r="X41">
        <v>10</v>
      </c>
      <c r="Y41">
        <v>1</v>
      </c>
      <c r="Z41">
        <v>0</v>
      </c>
      <c r="AA41">
        <v>72.34999999999999</v>
      </c>
      <c r="AD41" t="s">
        <v>3519</v>
      </c>
      <c r="AE41">
        <v>9036</v>
      </c>
      <c r="AK41">
        <v>1.25</v>
      </c>
      <c r="AL41" t="s">
        <v>1210</v>
      </c>
      <c r="AM41" t="s">
        <v>1230</v>
      </c>
      <c r="AN41" t="s">
        <v>1233</v>
      </c>
      <c r="AO41" t="s">
        <v>1236</v>
      </c>
      <c r="AP41" t="s">
        <v>1200</v>
      </c>
      <c r="AR41" t="s">
        <v>683</v>
      </c>
      <c r="AT41" t="s">
        <v>3588</v>
      </c>
      <c r="AU41" t="s">
        <v>684</v>
      </c>
      <c r="AW41" t="s">
        <v>1282</v>
      </c>
    </row>
    <row r="42" spans="1:49">
      <c r="A42" s="1">
        <f>HYPERLINK("https://lsnyc.legalserver.org/matter/dynamic-profile/view/1901938","19-1901938")</f>
        <v>0</v>
      </c>
      <c r="B42" t="s">
        <v>104</v>
      </c>
      <c r="C42" t="s">
        <v>1795</v>
      </c>
      <c r="D42" t="s">
        <v>298</v>
      </c>
      <c r="E42" t="s">
        <v>2271</v>
      </c>
      <c r="F42" t="s">
        <v>2521</v>
      </c>
      <c r="G42" t="s">
        <v>677</v>
      </c>
      <c r="H42">
        <v>10466</v>
      </c>
      <c r="I42" t="s">
        <v>682</v>
      </c>
      <c r="J42" t="s">
        <v>2635</v>
      </c>
      <c r="K42" t="s">
        <v>730</v>
      </c>
      <c r="L42" t="s">
        <v>738</v>
      </c>
      <c r="O42">
        <v>1600</v>
      </c>
      <c r="R42" t="s">
        <v>2925</v>
      </c>
      <c r="T42" t="s">
        <v>3280</v>
      </c>
      <c r="U42">
        <v>0</v>
      </c>
      <c r="V42" t="s">
        <v>1104</v>
      </c>
      <c r="W42" t="s">
        <v>1115</v>
      </c>
      <c r="X42">
        <v>0</v>
      </c>
      <c r="Y42">
        <v>1</v>
      </c>
      <c r="Z42">
        <v>0</v>
      </c>
      <c r="AA42">
        <v>36.89</v>
      </c>
      <c r="AD42" t="s">
        <v>1122</v>
      </c>
      <c r="AE42">
        <v>4608</v>
      </c>
      <c r="AF42" t="s">
        <v>1130</v>
      </c>
      <c r="AK42">
        <v>0.5</v>
      </c>
      <c r="AL42" t="s">
        <v>1214</v>
      </c>
      <c r="AM42" t="s">
        <v>61</v>
      </c>
      <c r="AN42" t="s">
        <v>1233</v>
      </c>
      <c r="AO42" t="s">
        <v>1236</v>
      </c>
      <c r="AP42" t="s">
        <v>1241</v>
      </c>
      <c r="AR42" t="s">
        <v>683</v>
      </c>
      <c r="AT42" t="s">
        <v>3588</v>
      </c>
      <c r="AW42" t="s">
        <v>1282</v>
      </c>
    </row>
    <row r="43" spans="1:49">
      <c r="A43" s="1">
        <f>HYPERLINK("https://lsnyc.legalserver.org/matter/dynamic-profile/view/1901335","19-1901335")</f>
        <v>0</v>
      </c>
      <c r="B43" t="s">
        <v>1285</v>
      </c>
      <c r="C43" t="s">
        <v>1796</v>
      </c>
      <c r="D43" t="s">
        <v>2034</v>
      </c>
      <c r="E43" t="s">
        <v>2241</v>
      </c>
      <c r="F43" t="s">
        <v>2522</v>
      </c>
      <c r="G43" t="s">
        <v>677</v>
      </c>
      <c r="H43">
        <v>10473</v>
      </c>
      <c r="I43" t="s">
        <v>682</v>
      </c>
      <c r="K43" t="s">
        <v>730</v>
      </c>
      <c r="L43" t="s">
        <v>738</v>
      </c>
      <c r="O43">
        <v>0</v>
      </c>
      <c r="R43" t="s">
        <v>2926</v>
      </c>
      <c r="T43" t="s">
        <v>3281</v>
      </c>
      <c r="U43">
        <v>0</v>
      </c>
      <c r="V43" t="s">
        <v>1112</v>
      </c>
      <c r="X43">
        <v>30</v>
      </c>
      <c r="Y43">
        <v>4</v>
      </c>
      <c r="Z43">
        <v>3</v>
      </c>
      <c r="AA43">
        <v>0</v>
      </c>
      <c r="AD43" t="s">
        <v>1122</v>
      </c>
      <c r="AE43">
        <v>0</v>
      </c>
      <c r="AF43" t="s">
        <v>3528</v>
      </c>
      <c r="AK43">
        <v>0</v>
      </c>
      <c r="AM43" t="s">
        <v>61</v>
      </c>
      <c r="AN43" t="s">
        <v>1233</v>
      </c>
      <c r="AO43" t="s">
        <v>1236</v>
      </c>
      <c r="AP43" t="s">
        <v>1189</v>
      </c>
      <c r="AR43" t="s">
        <v>683</v>
      </c>
      <c r="AT43" t="s">
        <v>3588</v>
      </c>
      <c r="AW43" t="s">
        <v>1282</v>
      </c>
    </row>
    <row r="44" spans="1:49">
      <c r="A44" s="1">
        <f>HYPERLINK("https://lsnyc.legalserver.org/matter/dynamic-profile/view/1905571","19-1905571")</f>
        <v>0</v>
      </c>
      <c r="B44" t="s">
        <v>90</v>
      </c>
      <c r="C44" t="s">
        <v>1797</v>
      </c>
      <c r="D44" t="s">
        <v>2035</v>
      </c>
      <c r="E44" t="s">
        <v>2272</v>
      </c>
      <c r="F44" t="s">
        <v>650</v>
      </c>
      <c r="G44" t="s">
        <v>677</v>
      </c>
      <c r="H44">
        <v>10460</v>
      </c>
      <c r="I44" t="s">
        <v>684</v>
      </c>
      <c r="J44" t="s">
        <v>2636</v>
      </c>
      <c r="K44" t="s">
        <v>730</v>
      </c>
      <c r="L44" t="s">
        <v>738</v>
      </c>
      <c r="O44">
        <v>0</v>
      </c>
      <c r="P44" t="s">
        <v>753</v>
      </c>
      <c r="R44" t="s">
        <v>2927</v>
      </c>
      <c r="S44">
        <v>396724180</v>
      </c>
      <c r="T44" t="s">
        <v>3282</v>
      </c>
      <c r="U44">
        <v>0</v>
      </c>
      <c r="V44" t="s">
        <v>1102</v>
      </c>
      <c r="W44" t="s">
        <v>1115</v>
      </c>
      <c r="X44">
        <v>0</v>
      </c>
      <c r="Y44">
        <v>1</v>
      </c>
      <c r="Z44">
        <v>0</v>
      </c>
      <c r="AA44">
        <v>74.08</v>
      </c>
      <c r="AD44" t="s">
        <v>1122</v>
      </c>
      <c r="AE44">
        <v>9252</v>
      </c>
      <c r="AF44" t="s">
        <v>3532</v>
      </c>
      <c r="AK44">
        <v>0.3</v>
      </c>
      <c r="AL44" t="s">
        <v>1170</v>
      </c>
      <c r="AM44" t="s">
        <v>61</v>
      </c>
      <c r="AN44" t="s">
        <v>1234</v>
      </c>
      <c r="AO44" t="s">
        <v>1236</v>
      </c>
      <c r="AP44" t="s">
        <v>1175</v>
      </c>
      <c r="AR44" t="s">
        <v>683</v>
      </c>
      <c r="AT44" t="s">
        <v>3588</v>
      </c>
      <c r="AW44" t="s">
        <v>1282</v>
      </c>
    </row>
    <row r="45" spans="1:49">
      <c r="A45" s="1">
        <f>HYPERLINK("https://lsnyc.legalserver.org/matter/dynamic-profile/view/1902943","19-1902943")</f>
        <v>0</v>
      </c>
      <c r="B45" t="s">
        <v>1755</v>
      </c>
      <c r="C45" t="s">
        <v>1798</v>
      </c>
      <c r="D45" t="s">
        <v>401</v>
      </c>
      <c r="E45" t="s">
        <v>2273</v>
      </c>
      <c r="F45" t="s">
        <v>2523</v>
      </c>
      <c r="G45" t="s">
        <v>677</v>
      </c>
      <c r="H45">
        <v>10453</v>
      </c>
      <c r="I45" t="s">
        <v>682</v>
      </c>
      <c r="J45" t="s">
        <v>2637</v>
      </c>
      <c r="K45" t="s">
        <v>730</v>
      </c>
      <c r="L45" t="s">
        <v>738</v>
      </c>
      <c r="O45">
        <v>1701</v>
      </c>
      <c r="P45" t="s">
        <v>757</v>
      </c>
      <c r="R45" t="s">
        <v>2928</v>
      </c>
      <c r="S45" t="s">
        <v>3193</v>
      </c>
      <c r="T45" t="s">
        <v>3283</v>
      </c>
      <c r="U45">
        <v>33</v>
      </c>
      <c r="V45" t="s">
        <v>1105</v>
      </c>
      <c r="W45" t="s">
        <v>1116</v>
      </c>
      <c r="X45">
        <v>16</v>
      </c>
      <c r="Y45">
        <v>2</v>
      </c>
      <c r="Z45">
        <v>0</v>
      </c>
      <c r="AA45">
        <v>0</v>
      </c>
      <c r="AD45" t="s">
        <v>1123</v>
      </c>
      <c r="AE45">
        <v>0</v>
      </c>
      <c r="AF45" t="s">
        <v>3529</v>
      </c>
      <c r="AK45">
        <v>0.2</v>
      </c>
      <c r="AL45" t="s">
        <v>1178</v>
      </c>
      <c r="AM45" t="s">
        <v>1230</v>
      </c>
      <c r="AN45" t="s">
        <v>1234</v>
      </c>
      <c r="AO45" t="s">
        <v>1236</v>
      </c>
      <c r="AP45" t="s">
        <v>1178</v>
      </c>
      <c r="AR45" t="s">
        <v>683</v>
      </c>
      <c r="AT45" t="s">
        <v>3588</v>
      </c>
      <c r="AU45" t="s">
        <v>684</v>
      </c>
      <c r="AW45" t="s">
        <v>1282</v>
      </c>
    </row>
    <row r="46" spans="1:49">
      <c r="A46" s="1">
        <f>HYPERLINK("https://lsnyc.legalserver.org/matter/dynamic-profile/view/1905299","19-1905299")</f>
        <v>0</v>
      </c>
      <c r="B46" t="s">
        <v>90</v>
      </c>
      <c r="C46" t="s">
        <v>1799</v>
      </c>
      <c r="D46" t="s">
        <v>2036</v>
      </c>
      <c r="E46" t="s">
        <v>2274</v>
      </c>
      <c r="F46" t="s">
        <v>2524</v>
      </c>
      <c r="G46" t="s">
        <v>677</v>
      </c>
      <c r="H46">
        <v>10460</v>
      </c>
      <c r="I46" t="s">
        <v>682</v>
      </c>
      <c r="J46" t="s">
        <v>2638</v>
      </c>
      <c r="K46" t="s">
        <v>730</v>
      </c>
      <c r="L46" t="s">
        <v>738</v>
      </c>
      <c r="M46" t="s">
        <v>744</v>
      </c>
      <c r="O46">
        <v>1600</v>
      </c>
      <c r="P46" t="s">
        <v>753</v>
      </c>
      <c r="R46" t="s">
        <v>2929</v>
      </c>
      <c r="T46" t="s">
        <v>3284</v>
      </c>
      <c r="U46">
        <v>2</v>
      </c>
      <c r="W46" t="s">
        <v>1116</v>
      </c>
      <c r="X46">
        <v>1</v>
      </c>
      <c r="Y46">
        <v>2</v>
      </c>
      <c r="Z46">
        <v>1</v>
      </c>
      <c r="AA46">
        <v>0</v>
      </c>
      <c r="AD46" t="s">
        <v>1122</v>
      </c>
      <c r="AE46">
        <v>0</v>
      </c>
      <c r="AK46">
        <v>0.5</v>
      </c>
      <c r="AL46" t="s">
        <v>1206</v>
      </c>
      <c r="AM46" t="s">
        <v>1230</v>
      </c>
      <c r="AN46" t="s">
        <v>1116</v>
      </c>
      <c r="AO46" t="s">
        <v>1236</v>
      </c>
      <c r="AP46" t="s">
        <v>1166</v>
      </c>
      <c r="AR46" t="s">
        <v>683</v>
      </c>
      <c r="AT46" t="s">
        <v>3588</v>
      </c>
      <c r="AU46" t="s">
        <v>684</v>
      </c>
      <c r="AW46" t="s">
        <v>1282</v>
      </c>
    </row>
    <row r="47" spans="1:49">
      <c r="A47" s="1">
        <f>HYPERLINK("https://lsnyc.legalserver.org/matter/dynamic-profile/view/1904969","19-1904969")</f>
        <v>0</v>
      </c>
      <c r="B47" t="s">
        <v>90</v>
      </c>
      <c r="C47" t="s">
        <v>1800</v>
      </c>
      <c r="D47" t="s">
        <v>285</v>
      </c>
      <c r="E47" t="s">
        <v>2275</v>
      </c>
      <c r="G47" t="s">
        <v>677</v>
      </c>
      <c r="H47">
        <v>10469</v>
      </c>
      <c r="I47" t="s">
        <v>682</v>
      </c>
      <c r="J47" t="s">
        <v>2639</v>
      </c>
      <c r="K47" t="s">
        <v>730</v>
      </c>
      <c r="L47" t="s">
        <v>738</v>
      </c>
      <c r="M47" t="s">
        <v>744</v>
      </c>
      <c r="O47">
        <v>0</v>
      </c>
      <c r="P47" t="s">
        <v>753</v>
      </c>
      <c r="R47" t="s">
        <v>2930</v>
      </c>
      <c r="T47" t="s">
        <v>3285</v>
      </c>
      <c r="U47">
        <v>0</v>
      </c>
      <c r="V47" t="s">
        <v>1104</v>
      </c>
      <c r="X47">
        <v>12</v>
      </c>
      <c r="Y47">
        <v>2</v>
      </c>
      <c r="Z47">
        <v>0</v>
      </c>
      <c r="AA47">
        <v>85.16</v>
      </c>
      <c r="AD47" t="s">
        <v>1122</v>
      </c>
      <c r="AE47">
        <v>14400</v>
      </c>
      <c r="AK47">
        <v>0.25</v>
      </c>
      <c r="AL47" t="s">
        <v>1206</v>
      </c>
      <c r="AM47" t="s">
        <v>77</v>
      </c>
      <c r="AN47" t="s">
        <v>1233</v>
      </c>
      <c r="AO47" t="s">
        <v>1236</v>
      </c>
      <c r="AP47" t="s">
        <v>1207</v>
      </c>
      <c r="AR47" t="s">
        <v>683</v>
      </c>
      <c r="AT47" t="s">
        <v>3588</v>
      </c>
      <c r="AU47" t="s">
        <v>684</v>
      </c>
      <c r="AW47" t="s">
        <v>1282</v>
      </c>
    </row>
    <row r="48" spans="1:49">
      <c r="A48" s="1">
        <f>HYPERLINK("https://lsnyc.legalserver.org/matter/dynamic-profile/view/1897189","19-1897189")</f>
        <v>0</v>
      </c>
      <c r="B48" t="s">
        <v>1756</v>
      </c>
      <c r="C48" t="s">
        <v>1801</v>
      </c>
      <c r="D48" t="s">
        <v>2037</v>
      </c>
      <c r="E48" t="s">
        <v>2276</v>
      </c>
      <c r="F48" t="s">
        <v>2525</v>
      </c>
      <c r="G48" t="s">
        <v>677</v>
      </c>
      <c r="H48">
        <v>10454</v>
      </c>
      <c r="I48" t="s">
        <v>682</v>
      </c>
      <c r="J48" t="s">
        <v>2640</v>
      </c>
      <c r="K48" t="s">
        <v>730</v>
      </c>
      <c r="L48" t="s">
        <v>738</v>
      </c>
      <c r="O48">
        <v>151</v>
      </c>
      <c r="P48" t="s">
        <v>749</v>
      </c>
      <c r="R48" t="s">
        <v>2931</v>
      </c>
      <c r="T48" t="s">
        <v>3286</v>
      </c>
      <c r="U48">
        <v>0</v>
      </c>
      <c r="V48" t="s">
        <v>1112</v>
      </c>
      <c r="X48">
        <v>16</v>
      </c>
      <c r="Y48">
        <v>1</v>
      </c>
      <c r="Z48">
        <v>1</v>
      </c>
      <c r="AA48">
        <v>0</v>
      </c>
      <c r="AD48" t="s">
        <v>1122</v>
      </c>
      <c r="AE48">
        <v>0</v>
      </c>
      <c r="AF48" t="s">
        <v>3522</v>
      </c>
      <c r="AK48">
        <v>0.5</v>
      </c>
      <c r="AL48" t="s">
        <v>3580</v>
      </c>
      <c r="AM48" t="s">
        <v>1215</v>
      </c>
      <c r="AN48" t="s">
        <v>1233</v>
      </c>
      <c r="AO48" t="s">
        <v>1236</v>
      </c>
      <c r="AP48" t="s">
        <v>3580</v>
      </c>
      <c r="AR48" t="s">
        <v>682</v>
      </c>
      <c r="AT48" t="s">
        <v>3588</v>
      </c>
      <c r="AU48" t="s">
        <v>684</v>
      </c>
      <c r="AW48" t="s">
        <v>1282</v>
      </c>
    </row>
    <row r="49" spans="1:49">
      <c r="A49" s="1">
        <f>HYPERLINK("https://lsnyc.legalserver.org/matter/dynamic-profile/view/1905885","19-1905885")</f>
        <v>0</v>
      </c>
      <c r="B49" t="s">
        <v>96</v>
      </c>
      <c r="C49" t="s">
        <v>262</v>
      </c>
      <c r="D49" t="s">
        <v>371</v>
      </c>
      <c r="E49" t="s">
        <v>2277</v>
      </c>
      <c r="G49" t="s">
        <v>677</v>
      </c>
      <c r="H49">
        <v>10472</v>
      </c>
      <c r="I49" t="s">
        <v>682</v>
      </c>
      <c r="J49" t="s">
        <v>2641</v>
      </c>
      <c r="K49" t="s">
        <v>730</v>
      </c>
      <c r="L49" t="s">
        <v>738</v>
      </c>
      <c r="M49" t="s">
        <v>744</v>
      </c>
      <c r="O49">
        <v>1600</v>
      </c>
      <c r="P49" t="s">
        <v>748</v>
      </c>
      <c r="R49" t="s">
        <v>2932</v>
      </c>
      <c r="T49" t="s">
        <v>3287</v>
      </c>
      <c r="U49">
        <v>3</v>
      </c>
      <c r="V49" t="s">
        <v>1104</v>
      </c>
      <c r="W49" t="s">
        <v>1119</v>
      </c>
      <c r="X49">
        <v>5</v>
      </c>
      <c r="Y49">
        <v>1</v>
      </c>
      <c r="Z49">
        <v>3</v>
      </c>
      <c r="AA49">
        <v>0</v>
      </c>
      <c r="AD49" t="s">
        <v>1122</v>
      </c>
      <c r="AE49">
        <v>0</v>
      </c>
      <c r="AK49">
        <v>0.3</v>
      </c>
      <c r="AL49" t="s">
        <v>1206</v>
      </c>
      <c r="AM49" t="s">
        <v>1231</v>
      </c>
      <c r="AO49" t="s">
        <v>1236</v>
      </c>
      <c r="AP49" t="s">
        <v>1179</v>
      </c>
      <c r="AR49" t="s">
        <v>683</v>
      </c>
      <c r="AT49" t="s">
        <v>3588</v>
      </c>
      <c r="AU49" t="s">
        <v>684</v>
      </c>
      <c r="AW49" t="s">
        <v>1282</v>
      </c>
    </row>
    <row r="50" spans="1:49">
      <c r="A50" s="1">
        <f>HYPERLINK("https://lsnyc.legalserver.org/matter/dynamic-profile/view/1902948","19-1902948")</f>
        <v>0</v>
      </c>
      <c r="B50" t="s">
        <v>1750</v>
      </c>
      <c r="C50" t="s">
        <v>1802</v>
      </c>
      <c r="D50" t="s">
        <v>312</v>
      </c>
      <c r="E50" t="s">
        <v>2278</v>
      </c>
      <c r="F50">
        <v>1</v>
      </c>
      <c r="G50" t="s">
        <v>677</v>
      </c>
      <c r="H50">
        <v>10460</v>
      </c>
      <c r="I50" t="s">
        <v>682</v>
      </c>
      <c r="J50" t="s">
        <v>2642</v>
      </c>
      <c r="K50" t="s">
        <v>730</v>
      </c>
      <c r="L50" t="s">
        <v>738</v>
      </c>
      <c r="M50" t="s">
        <v>744</v>
      </c>
      <c r="N50" t="s">
        <v>1172</v>
      </c>
      <c r="O50">
        <v>1200</v>
      </c>
      <c r="P50" t="s">
        <v>753</v>
      </c>
      <c r="R50" t="s">
        <v>2933</v>
      </c>
      <c r="T50" t="s">
        <v>3288</v>
      </c>
      <c r="U50">
        <v>3</v>
      </c>
      <c r="V50" t="s">
        <v>1105</v>
      </c>
      <c r="W50" t="s">
        <v>3517</v>
      </c>
      <c r="X50">
        <v>0</v>
      </c>
      <c r="Y50">
        <v>1</v>
      </c>
      <c r="Z50">
        <v>0</v>
      </c>
      <c r="AA50">
        <v>74.08</v>
      </c>
      <c r="AD50" t="s">
        <v>1122</v>
      </c>
      <c r="AE50">
        <v>9252</v>
      </c>
      <c r="AF50" t="s">
        <v>3529</v>
      </c>
      <c r="AK50">
        <v>2.55</v>
      </c>
      <c r="AL50" t="s">
        <v>1168</v>
      </c>
      <c r="AM50" t="s">
        <v>1230</v>
      </c>
      <c r="AN50" t="s">
        <v>1233</v>
      </c>
      <c r="AO50" t="s">
        <v>1236</v>
      </c>
      <c r="AP50" t="s">
        <v>1178</v>
      </c>
      <c r="AR50" t="s">
        <v>683</v>
      </c>
      <c r="AT50" t="s">
        <v>3588</v>
      </c>
      <c r="AU50" t="s">
        <v>684</v>
      </c>
      <c r="AW50" t="s">
        <v>1282</v>
      </c>
    </row>
    <row r="51" spans="1:49">
      <c r="A51" s="1">
        <f>HYPERLINK("https://lsnyc.legalserver.org/matter/dynamic-profile/view/1896736","19-1896736")</f>
        <v>0</v>
      </c>
      <c r="B51" t="s">
        <v>79</v>
      </c>
      <c r="C51" t="s">
        <v>1803</v>
      </c>
      <c r="D51" t="s">
        <v>2038</v>
      </c>
      <c r="E51" t="s">
        <v>2279</v>
      </c>
      <c r="F51" t="s">
        <v>665</v>
      </c>
      <c r="G51" t="s">
        <v>677</v>
      </c>
      <c r="H51">
        <v>10470</v>
      </c>
      <c r="I51" t="s">
        <v>682</v>
      </c>
      <c r="J51" t="s">
        <v>2643</v>
      </c>
      <c r="K51" t="s">
        <v>730</v>
      </c>
      <c r="L51" t="s">
        <v>738</v>
      </c>
      <c r="M51" t="s">
        <v>744</v>
      </c>
      <c r="O51">
        <v>925</v>
      </c>
      <c r="P51" t="s">
        <v>753</v>
      </c>
      <c r="R51" t="s">
        <v>2934</v>
      </c>
      <c r="T51" t="s">
        <v>3289</v>
      </c>
      <c r="U51">
        <v>0</v>
      </c>
      <c r="V51" t="s">
        <v>1102</v>
      </c>
      <c r="W51" t="s">
        <v>1116</v>
      </c>
      <c r="X51">
        <v>3</v>
      </c>
      <c r="Y51">
        <v>1</v>
      </c>
      <c r="Z51">
        <v>0</v>
      </c>
      <c r="AA51">
        <v>640.51</v>
      </c>
      <c r="AD51" t="s">
        <v>1122</v>
      </c>
      <c r="AE51">
        <v>80000</v>
      </c>
      <c r="AF51" t="s">
        <v>3533</v>
      </c>
      <c r="AK51">
        <v>12</v>
      </c>
      <c r="AL51" t="s">
        <v>1182</v>
      </c>
      <c r="AM51" t="s">
        <v>3584</v>
      </c>
      <c r="AO51" t="s">
        <v>1236</v>
      </c>
      <c r="AP51" t="s">
        <v>1249</v>
      </c>
      <c r="AR51" t="s">
        <v>682</v>
      </c>
      <c r="AT51" t="s">
        <v>3588</v>
      </c>
      <c r="AW51" t="s">
        <v>1282</v>
      </c>
    </row>
    <row r="52" spans="1:49">
      <c r="A52" s="1">
        <f>HYPERLINK("https://lsnyc.legalserver.org/matter/dynamic-profile/view/1901159","19-1901159")</f>
        <v>0</v>
      </c>
      <c r="B52" t="s">
        <v>58</v>
      </c>
      <c r="C52" t="s">
        <v>205</v>
      </c>
      <c r="D52" t="s">
        <v>2039</v>
      </c>
      <c r="E52" t="s">
        <v>527</v>
      </c>
      <c r="F52">
        <v>1206</v>
      </c>
      <c r="G52" t="s">
        <v>677</v>
      </c>
      <c r="H52">
        <v>10456</v>
      </c>
      <c r="I52" t="s">
        <v>682</v>
      </c>
      <c r="J52" t="s">
        <v>2644</v>
      </c>
      <c r="K52" t="s">
        <v>730</v>
      </c>
      <c r="L52" t="s">
        <v>738</v>
      </c>
      <c r="M52" t="s">
        <v>744</v>
      </c>
      <c r="O52">
        <v>1682</v>
      </c>
      <c r="P52" t="s">
        <v>753</v>
      </c>
      <c r="R52" t="s">
        <v>2935</v>
      </c>
      <c r="U52">
        <v>120</v>
      </c>
      <c r="V52" t="s">
        <v>1106</v>
      </c>
      <c r="W52" t="s">
        <v>1115</v>
      </c>
      <c r="X52">
        <v>1</v>
      </c>
      <c r="Y52">
        <v>1</v>
      </c>
      <c r="Z52">
        <v>0</v>
      </c>
      <c r="AA52">
        <v>74.75</v>
      </c>
      <c r="AD52" t="s">
        <v>1122</v>
      </c>
      <c r="AE52">
        <v>9336</v>
      </c>
      <c r="AF52" t="s">
        <v>3534</v>
      </c>
      <c r="AK52">
        <v>1.3</v>
      </c>
      <c r="AL52" t="s">
        <v>1165</v>
      </c>
      <c r="AM52" t="s">
        <v>1215</v>
      </c>
      <c r="AN52" t="s">
        <v>1233</v>
      </c>
      <c r="AO52" t="s">
        <v>1236</v>
      </c>
      <c r="AP52" t="s">
        <v>1185</v>
      </c>
      <c r="AR52" t="s">
        <v>683</v>
      </c>
      <c r="AT52" t="s">
        <v>3588</v>
      </c>
      <c r="AU52" t="s">
        <v>684</v>
      </c>
      <c r="AW52" t="s">
        <v>1282</v>
      </c>
    </row>
    <row r="53" spans="1:49">
      <c r="A53" s="1">
        <f>HYPERLINK("https://lsnyc.legalserver.org/matter/dynamic-profile/view/1905521","19-1905521")</f>
        <v>0</v>
      </c>
      <c r="B53" t="s">
        <v>83</v>
      </c>
      <c r="C53" t="s">
        <v>1804</v>
      </c>
      <c r="D53" t="s">
        <v>2040</v>
      </c>
      <c r="E53" t="s">
        <v>2280</v>
      </c>
      <c r="F53" t="s">
        <v>2526</v>
      </c>
      <c r="G53" t="s">
        <v>677</v>
      </c>
      <c r="H53">
        <v>10451</v>
      </c>
      <c r="I53" t="s">
        <v>682</v>
      </c>
      <c r="J53" t="s">
        <v>2645</v>
      </c>
      <c r="K53" t="s">
        <v>730</v>
      </c>
      <c r="L53" t="s">
        <v>738</v>
      </c>
      <c r="M53" t="s">
        <v>744</v>
      </c>
      <c r="O53">
        <v>1200</v>
      </c>
      <c r="P53" t="s">
        <v>753</v>
      </c>
      <c r="R53" t="s">
        <v>2936</v>
      </c>
      <c r="U53">
        <v>0</v>
      </c>
      <c r="V53" t="s">
        <v>1102</v>
      </c>
      <c r="X53">
        <v>1</v>
      </c>
      <c r="Y53">
        <v>1</v>
      </c>
      <c r="Z53">
        <v>1</v>
      </c>
      <c r="AA53">
        <v>0</v>
      </c>
      <c r="AD53" t="s">
        <v>1122</v>
      </c>
      <c r="AE53">
        <v>0</v>
      </c>
      <c r="AK53">
        <v>0.4</v>
      </c>
      <c r="AL53" t="s">
        <v>1170</v>
      </c>
      <c r="AM53" t="s">
        <v>61</v>
      </c>
      <c r="AN53" t="s">
        <v>1233</v>
      </c>
      <c r="AO53" t="s">
        <v>1236</v>
      </c>
      <c r="AP53" t="s">
        <v>1175</v>
      </c>
      <c r="AR53" t="s">
        <v>683</v>
      </c>
      <c r="AT53" t="s">
        <v>3588</v>
      </c>
      <c r="AU53" t="s">
        <v>684</v>
      </c>
      <c r="AW53" t="s">
        <v>1282</v>
      </c>
    </row>
    <row r="54" spans="1:49">
      <c r="A54" s="1">
        <f>HYPERLINK("https://lsnyc.legalserver.org/matter/dynamic-profile/view/1900550","19-1900550")</f>
        <v>0</v>
      </c>
      <c r="B54" t="s">
        <v>79</v>
      </c>
      <c r="C54" t="s">
        <v>1805</v>
      </c>
      <c r="D54" t="s">
        <v>2041</v>
      </c>
      <c r="E54" t="s">
        <v>581</v>
      </c>
      <c r="F54" t="s">
        <v>670</v>
      </c>
      <c r="G54" t="s">
        <v>677</v>
      </c>
      <c r="H54">
        <v>10473</v>
      </c>
      <c r="I54" t="s">
        <v>682</v>
      </c>
      <c r="J54" t="s">
        <v>2646</v>
      </c>
      <c r="K54" t="s">
        <v>730</v>
      </c>
      <c r="L54" t="s">
        <v>738</v>
      </c>
      <c r="O54">
        <v>59</v>
      </c>
      <c r="P54" t="s">
        <v>753</v>
      </c>
      <c r="R54" t="s">
        <v>2937</v>
      </c>
      <c r="U54">
        <v>900</v>
      </c>
      <c r="V54" t="s">
        <v>1102</v>
      </c>
      <c r="W54" t="s">
        <v>1116</v>
      </c>
      <c r="X54">
        <v>25</v>
      </c>
      <c r="Y54">
        <v>2</v>
      </c>
      <c r="Z54">
        <v>0</v>
      </c>
      <c r="AA54">
        <v>350.56</v>
      </c>
      <c r="AD54" t="s">
        <v>1122</v>
      </c>
      <c r="AE54">
        <v>59280</v>
      </c>
      <c r="AF54" t="s">
        <v>3535</v>
      </c>
      <c r="AK54">
        <v>5.1</v>
      </c>
      <c r="AL54" t="s">
        <v>1172</v>
      </c>
      <c r="AM54" t="s">
        <v>1215</v>
      </c>
      <c r="AN54" t="s">
        <v>1233</v>
      </c>
      <c r="AO54" t="s">
        <v>1236</v>
      </c>
      <c r="AP54" t="s">
        <v>1195</v>
      </c>
      <c r="AR54" t="s">
        <v>683</v>
      </c>
      <c r="AT54" t="s">
        <v>3588</v>
      </c>
      <c r="AU54" t="s">
        <v>684</v>
      </c>
      <c r="AW54" t="s">
        <v>1282</v>
      </c>
    </row>
    <row r="55" spans="1:49">
      <c r="A55" s="1">
        <f>HYPERLINK("https://lsnyc.legalserver.org/matter/dynamic-profile/view/1900003","19-1900003")</f>
        <v>0</v>
      </c>
      <c r="B55" t="s">
        <v>1757</v>
      </c>
      <c r="C55" t="s">
        <v>1806</v>
      </c>
      <c r="D55" t="s">
        <v>1802</v>
      </c>
      <c r="E55" t="s">
        <v>2281</v>
      </c>
      <c r="F55" t="s">
        <v>2527</v>
      </c>
      <c r="G55" t="s">
        <v>677</v>
      </c>
      <c r="H55">
        <v>10460</v>
      </c>
      <c r="I55" t="s">
        <v>683</v>
      </c>
      <c r="J55" t="s">
        <v>2642</v>
      </c>
      <c r="K55" t="s">
        <v>730</v>
      </c>
      <c r="L55" t="s">
        <v>738</v>
      </c>
      <c r="O55">
        <v>0</v>
      </c>
      <c r="P55" t="s">
        <v>753</v>
      </c>
      <c r="R55" t="s">
        <v>2933</v>
      </c>
      <c r="U55">
        <v>0</v>
      </c>
      <c r="X55">
        <v>0</v>
      </c>
      <c r="Y55">
        <v>1</v>
      </c>
      <c r="Z55">
        <v>0</v>
      </c>
      <c r="AA55">
        <v>75.42</v>
      </c>
      <c r="AD55" t="s">
        <v>1122</v>
      </c>
      <c r="AE55">
        <v>9420</v>
      </c>
      <c r="AK55">
        <v>0</v>
      </c>
      <c r="AM55" t="s">
        <v>1226</v>
      </c>
      <c r="AO55" t="s">
        <v>1236</v>
      </c>
      <c r="AP55" t="s">
        <v>1183</v>
      </c>
      <c r="AR55" t="s">
        <v>683</v>
      </c>
      <c r="AT55" t="s">
        <v>3588</v>
      </c>
      <c r="AW55" t="s">
        <v>1282</v>
      </c>
    </row>
    <row r="56" spans="1:49">
      <c r="A56" s="1">
        <f>HYPERLINK("https://lsnyc.legalserver.org/matter/dynamic-profile/view/1902944","19-1902944")</f>
        <v>0</v>
      </c>
      <c r="B56" t="s">
        <v>66</v>
      </c>
      <c r="C56" t="s">
        <v>132</v>
      </c>
      <c r="D56" t="s">
        <v>2042</v>
      </c>
      <c r="E56" t="s">
        <v>2282</v>
      </c>
      <c r="F56">
        <v>4</v>
      </c>
      <c r="G56" t="s">
        <v>677</v>
      </c>
      <c r="H56">
        <v>10455</v>
      </c>
      <c r="I56" t="s">
        <v>684</v>
      </c>
      <c r="J56" t="s">
        <v>2647</v>
      </c>
      <c r="K56" t="s">
        <v>730</v>
      </c>
      <c r="L56" t="s">
        <v>738</v>
      </c>
      <c r="O56">
        <v>0</v>
      </c>
      <c r="P56" t="s">
        <v>753</v>
      </c>
      <c r="U56">
        <v>0</v>
      </c>
      <c r="X56">
        <v>0</v>
      </c>
      <c r="Y56">
        <v>2</v>
      </c>
      <c r="Z56">
        <v>0</v>
      </c>
      <c r="AA56">
        <v>0</v>
      </c>
      <c r="AD56" t="s">
        <v>1122</v>
      </c>
      <c r="AE56">
        <v>0</v>
      </c>
      <c r="AF56" t="s">
        <v>3529</v>
      </c>
      <c r="AK56">
        <v>0.5</v>
      </c>
      <c r="AL56" t="s">
        <v>1178</v>
      </c>
      <c r="AM56" t="s">
        <v>1215</v>
      </c>
      <c r="AO56" t="s">
        <v>1236</v>
      </c>
      <c r="AP56" t="s">
        <v>1178</v>
      </c>
      <c r="AR56" t="s">
        <v>683</v>
      </c>
      <c r="AT56" t="s">
        <v>3588</v>
      </c>
      <c r="AW56" t="s">
        <v>1282</v>
      </c>
    </row>
    <row r="57" spans="1:49">
      <c r="A57" s="1">
        <f>HYPERLINK("https://lsnyc.legalserver.org/matter/dynamic-profile/view/1897373","19-1897373")</f>
        <v>0</v>
      </c>
      <c r="B57" t="s">
        <v>85</v>
      </c>
      <c r="C57" t="s">
        <v>1328</v>
      </c>
      <c r="D57" t="s">
        <v>2043</v>
      </c>
      <c r="E57" t="s">
        <v>2283</v>
      </c>
      <c r="F57" t="s">
        <v>2528</v>
      </c>
      <c r="G57" t="s">
        <v>677</v>
      </c>
      <c r="H57">
        <v>10451</v>
      </c>
      <c r="I57" t="s">
        <v>682</v>
      </c>
      <c r="J57" t="s">
        <v>2648</v>
      </c>
      <c r="K57" t="s">
        <v>733</v>
      </c>
      <c r="L57" t="s">
        <v>738</v>
      </c>
      <c r="O57">
        <v>891.87</v>
      </c>
      <c r="P57" t="s">
        <v>752</v>
      </c>
      <c r="R57" t="s">
        <v>2938</v>
      </c>
      <c r="T57" t="s">
        <v>3290</v>
      </c>
      <c r="U57">
        <v>84</v>
      </c>
      <c r="V57" t="s">
        <v>1102</v>
      </c>
      <c r="W57" t="s">
        <v>1121</v>
      </c>
      <c r="X57">
        <v>25</v>
      </c>
      <c r="Y57">
        <v>1</v>
      </c>
      <c r="Z57">
        <v>2</v>
      </c>
      <c r="AA57">
        <v>19.58</v>
      </c>
      <c r="AD57" t="s">
        <v>1123</v>
      </c>
      <c r="AE57">
        <v>4176</v>
      </c>
      <c r="AF57" t="s">
        <v>3536</v>
      </c>
      <c r="AK57">
        <v>0</v>
      </c>
      <c r="AM57" t="s">
        <v>1225</v>
      </c>
      <c r="AN57" t="s">
        <v>1233</v>
      </c>
      <c r="AO57" t="s">
        <v>1236</v>
      </c>
      <c r="AP57" t="s">
        <v>1237</v>
      </c>
      <c r="AR57" t="s">
        <v>682</v>
      </c>
      <c r="AT57" t="s">
        <v>3588</v>
      </c>
      <c r="AU57" t="s">
        <v>684</v>
      </c>
      <c r="AW57" t="s">
        <v>1282</v>
      </c>
    </row>
    <row r="58" spans="1:49">
      <c r="A58" s="1">
        <f>HYPERLINK("https://lsnyc.legalserver.org/matter/dynamic-profile/view/1899671","19-1899671")</f>
        <v>0</v>
      </c>
      <c r="B58" t="s">
        <v>1758</v>
      </c>
      <c r="C58" t="s">
        <v>255</v>
      </c>
      <c r="D58" t="s">
        <v>311</v>
      </c>
      <c r="E58" t="s">
        <v>2284</v>
      </c>
      <c r="F58">
        <v>9</v>
      </c>
      <c r="G58" t="s">
        <v>677</v>
      </c>
      <c r="H58">
        <v>10458</v>
      </c>
      <c r="I58" t="s">
        <v>682</v>
      </c>
      <c r="K58" t="s">
        <v>732</v>
      </c>
      <c r="L58" t="s">
        <v>738</v>
      </c>
      <c r="O58">
        <v>0</v>
      </c>
      <c r="R58" t="s">
        <v>2939</v>
      </c>
      <c r="T58" t="s">
        <v>3291</v>
      </c>
      <c r="U58">
        <v>0</v>
      </c>
      <c r="X58">
        <v>0</v>
      </c>
      <c r="Y58">
        <v>1</v>
      </c>
      <c r="Z58">
        <v>3</v>
      </c>
      <c r="AA58">
        <v>40.39</v>
      </c>
      <c r="AD58" t="s">
        <v>1122</v>
      </c>
      <c r="AE58">
        <v>10400</v>
      </c>
      <c r="AF58" t="s">
        <v>3537</v>
      </c>
      <c r="AK58">
        <v>1</v>
      </c>
      <c r="AL58" t="s">
        <v>1163</v>
      </c>
      <c r="AM58" t="s">
        <v>77</v>
      </c>
      <c r="AN58" t="s">
        <v>1233</v>
      </c>
      <c r="AO58" t="s">
        <v>1236</v>
      </c>
      <c r="AP58" t="s">
        <v>1191</v>
      </c>
      <c r="AR58" t="s">
        <v>683</v>
      </c>
      <c r="AT58" t="s">
        <v>3588</v>
      </c>
      <c r="AW58" t="s">
        <v>1282</v>
      </c>
    </row>
    <row r="59" spans="1:49">
      <c r="A59" s="1">
        <f>HYPERLINK("https://lsnyc.legalserver.org/matter/dynamic-profile/view/1904961","19-1904961")</f>
        <v>0</v>
      </c>
      <c r="B59" t="s">
        <v>83</v>
      </c>
      <c r="C59" t="s">
        <v>216</v>
      </c>
      <c r="D59" t="s">
        <v>2044</v>
      </c>
      <c r="E59" t="s">
        <v>2285</v>
      </c>
      <c r="F59" t="s">
        <v>655</v>
      </c>
      <c r="G59" t="s">
        <v>677</v>
      </c>
      <c r="H59">
        <v>10472</v>
      </c>
      <c r="I59" t="s">
        <v>682</v>
      </c>
      <c r="J59" t="s">
        <v>2649</v>
      </c>
      <c r="K59" t="s">
        <v>732</v>
      </c>
      <c r="L59" t="s">
        <v>738</v>
      </c>
      <c r="M59" t="s">
        <v>744</v>
      </c>
      <c r="O59">
        <v>1100</v>
      </c>
      <c r="P59" t="s">
        <v>757</v>
      </c>
      <c r="R59" t="s">
        <v>2940</v>
      </c>
      <c r="T59" t="s">
        <v>3292</v>
      </c>
      <c r="U59">
        <v>67</v>
      </c>
      <c r="V59" t="s">
        <v>1102</v>
      </c>
      <c r="W59" t="s">
        <v>1115</v>
      </c>
      <c r="X59">
        <v>21</v>
      </c>
      <c r="Y59">
        <v>1</v>
      </c>
      <c r="Z59">
        <v>0</v>
      </c>
      <c r="AA59">
        <v>74.45999999999999</v>
      </c>
      <c r="AD59" t="s">
        <v>1122</v>
      </c>
      <c r="AE59">
        <v>9300</v>
      </c>
      <c r="AK59">
        <v>0.4</v>
      </c>
      <c r="AL59" t="s">
        <v>1170</v>
      </c>
      <c r="AM59" t="s">
        <v>77</v>
      </c>
      <c r="AN59" t="s">
        <v>1233</v>
      </c>
      <c r="AO59" t="s">
        <v>1236</v>
      </c>
      <c r="AP59" t="s">
        <v>1207</v>
      </c>
      <c r="AR59" t="s">
        <v>683</v>
      </c>
      <c r="AT59" t="s">
        <v>3588</v>
      </c>
      <c r="AW59" t="s">
        <v>1282</v>
      </c>
    </row>
    <row r="60" spans="1:49">
      <c r="A60" s="1">
        <f>HYPERLINK("https://lsnyc.legalserver.org/matter/dynamic-profile/view/1902925","19-1902925")</f>
        <v>0</v>
      </c>
      <c r="B60" t="s">
        <v>79</v>
      </c>
      <c r="C60" t="s">
        <v>1807</v>
      </c>
      <c r="D60" t="s">
        <v>168</v>
      </c>
      <c r="E60" t="s">
        <v>2286</v>
      </c>
      <c r="F60" t="s">
        <v>2529</v>
      </c>
      <c r="G60" t="s">
        <v>677</v>
      </c>
      <c r="H60">
        <v>10456</v>
      </c>
      <c r="I60" t="s">
        <v>684</v>
      </c>
      <c r="J60" t="s">
        <v>2650</v>
      </c>
      <c r="K60" t="s">
        <v>732</v>
      </c>
      <c r="L60" t="s">
        <v>738</v>
      </c>
      <c r="M60" t="s">
        <v>1562</v>
      </c>
      <c r="O60">
        <v>799</v>
      </c>
      <c r="R60" t="s">
        <v>2941</v>
      </c>
      <c r="T60" t="s">
        <v>3293</v>
      </c>
      <c r="U60">
        <v>69</v>
      </c>
      <c r="X60">
        <v>3</v>
      </c>
      <c r="Y60">
        <v>1</v>
      </c>
      <c r="Z60">
        <v>0</v>
      </c>
      <c r="AA60">
        <v>123.03</v>
      </c>
      <c r="AD60" t="s">
        <v>1122</v>
      </c>
      <c r="AE60">
        <v>15366</v>
      </c>
      <c r="AK60">
        <v>3.5</v>
      </c>
      <c r="AL60" t="s">
        <v>1193</v>
      </c>
      <c r="AM60" t="s">
        <v>77</v>
      </c>
      <c r="AN60" t="s">
        <v>1116</v>
      </c>
      <c r="AO60" t="s">
        <v>1236</v>
      </c>
      <c r="AP60" t="s">
        <v>1178</v>
      </c>
      <c r="AR60" t="s">
        <v>683</v>
      </c>
      <c r="AT60" t="s">
        <v>3588</v>
      </c>
      <c r="AU60" t="s">
        <v>684</v>
      </c>
      <c r="AW60" t="s">
        <v>1282</v>
      </c>
    </row>
    <row r="61" spans="1:49">
      <c r="A61" s="1">
        <f>HYPERLINK("https://lsnyc.legalserver.org/matter/dynamic-profile/view/1901887","19-1901887")</f>
        <v>0</v>
      </c>
      <c r="B61" t="s">
        <v>1758</v>
      </c>
      <c r="C61" t="s">
        <v>1808</v>
      </c>
      <c r="D61" t="s">
        <v>2045</v>
      </c>
      <c r="E61" t="s">
        <v>2287</v>
      </c>
      <c r="F61" t="s">
        <v>2517</v>
      </c>
      <c r="G61" t="s">
        <v>677</v>
      </c>
      <c r="H61">
        <v>10453</v>
      </c>
      <c r="I61" t="s">
        <v>682</v>
      </c>
      <c r="J61" t="s">
        <v>2651</v>
      </c>
      <c r="K61" t="s">
        <v>732</v>
      </c>
      <c r="L61" t="s">
        <v>738</v>
      </c>
      <c r="O61">
        <v>1391</v>
      </c>
      <c r="R61" t="s">
        <v>2942</v>
      </c>
      <c r="T61" t="s">
        <v>3294</v>
      </c>
      <c r="U61">
        <v>0</v>
      </c>
      <c r="W61" t="s">
        <v>1117</v>
      </c>
      <c r="X61">
        <v>35</v>
      </c>
      <c r="Y61">
        <v>2</v>
      </c>
      <c r="Z61">
        <v>0</v>
      </c>
      <c r="AA61">
        <v>46.94</v>
      </c>
      <c r="AD61" t="s">
        <v>1123</v>
      </c>
      <c r="AE61">
        <v>7938</v>
      </c>
      <c r="AF61" t="s">
        <v>1130</v>
      </c>
      <c r="AK61">
        <v>0.75</v>
      </c>
      <c r="AL61" t="s">
        <v>1163</v>
      </c>
      <c r="AM61" t="s">
        <v>77</v>
      </c>
      <c r="AN61" t="s">
        <v>1233</v>
      </c>
      <c r="AO61" t="s">
        <v>1236</v>
      </c>
      <c r="AP61" t="s">
        <v>1241</v>
      </c>
      <c r="AR61" t="s">
        <v>683</v>
      </c>
      <c r="AT61" t="s">
        <v>3588</v>
      </c>
      <c r="AU61" t="s">
        <v>684</v>
      </c>
      <c r="AW61" t="s">
        <v>1282</v>
      </c>
    </row>
    <row r="62" spans="1:49">
      <c r="A62" s="1">
        <f>HYPERLINK("https://lsnyc.legalserver.org/matter/dynamic-profile/view/1895862","19-1895862")</f>
        <v>0</v>
      </c>
      <c r="B62" t="s">
        <v>92</v>
      </c>
      <c r="C62" t="s">
        <v>1809</v>
      </c>
      <c r="D62" t="s">
        <v>2046</v>
      </c>
      <c r="E62" t="s">
        <v>2288</v>
      </c>
      <c r="F62">
        <v>14</v>
      </c>
      <c r="G62" t="s">
        <v>677</v>
      </c>
      <c r="H62">
        <v>10451</v>
      </c>
      <c r="I62" t="s">
        <v>682</v>
      </c>
      <c r="J62" t="s">
        <v>2652</v>
      </c>
      <c r="K62" t="s">
        <v>732</v>
      </c>
      <c r="L62" t="s">
        <v>738</v>
      </c>
      <c r="O62">
        <v>998</v>
      </c>
      <c r="P62" t="s">
        <v>753</v>
      </c>
      <c r="R62" t="s">
        <v>2943</v>
      </c>
      <c r="T62" t="s">
        <v>3295</v>
      </c>
      <c r="U62">
        <v>0</v>
      </c>
      <c r="V62" t="s">
        <v>1105</v>
      </c>
      <c r="W62" t="s">
        <v>1116</v>
      </c>
      <c r="X62">
        <v>45</v>
      </c>
      <c r="Y62">
        <v>2</v>
      </c>
      <c r="Z62">
        <v>0</v>
      </c>
      <c r="AA62">
        <v>30.29</v>
      </c>
      <c r="AD62" t="s">
        <v>1122</v>
      </c>
      <c r="AE62">
        <v>5122</v>
      </c>
      <c r="AF62" t="s">
        <v>3538</v>
      </c>
      <c r="AK62">
        <v>0.5</v>
      </c>
      <c r="AL62" t="s">
        <v>1243</v>
      </c>
      <c r="AM62" t="s">
        <v>1215</v>
      </c>
      <c r="AO62" t="s">
        <v>1236</v>
      </c>
      <c r="AP62" t="s">
        <v>1243</v>
      </c>
      <c r="AR62" t="s">
        <v>682</v>
      </c>
      <c r="AT62" t="s">
        <v>3588</v>
      </c>
      <c r="AU62" t="s">
        <v>684</v>
      </c>
      <c r="AW62" t="s">
        <v>1282</v>
      </c>
    </row>
    <row r="63" spans="1:49">
      <c r="A63" s="1">
        <f>HYPERLINK("https://lsnyc.legalserver.org/matter/dynamic-profile/view/1903574","19-1903574")</f>
        <v>0</v>
      </c>
      <c r="B63" t="s">
        <v>90</v>
      </c>
      <c r="C63" t="s">
        <v>1810</v>
      </c>
      <c r="D63" t="s">
        <v>2047</v>
      </c>
      <c r="E63" t="s">
        <v>2289</v>
      </c>
      <c r="G63" t="s">
        <v>677</v>
      </c>
      <c r="H63">
        <v>10458</v>
      </c>
      <c r="I63" t="s">
        <v>682</v>
      </c>
      <c r="J63" t="s">
        <v>2653</v>
      </c>
      <c r="K63" t="s">
        <v>732</v>
      </c>
      <c r="L63" t="s">
        <v>738</v>
      </c>
      <c r="M63" t="s">
        <v>744</v>
      </c>
      <c r="N63" t="s">
        <v>1173</v>
      </c>
      <c r="O63">
        <v>1451.92</v>
      </c>
      <c r="P63" t="s">
        <v>755</v>
      </c>
      <c r="R63" t="s">
        <v>2944</v>
      </c>
      <c r="T63" t="s">
        <v>3296</v>
      </c>
      <c r="U63">
        <v>44</v>
      </c>
      <c r="V63" t="s">
        <v>1102</v>
      </c>
      <c r="W63" t="s">
        <v>1121</v>
      </c>
      <c r="X63">
        <v>2</v>
      </c>
      <c r="Y63">
        <v>0</v>
      </c>
      <c r="Z63">
        <v>3</v>
      </c>
      <c r="AA63">
        <v>42.19</v>
      </c>
      <c r="AD63" t="s">
        <v>1122</v>
      </c>
      <c r="AE63">
        <v>9000</v>
      </c>
      <c r="AK63">
        <v>0.6</v>
      </c>
      <c r="AL63" t="s">
        <v>1165</v>
      </c>
      <c r="AM63" t="s">
        <v>73</v>
      </c>
      <c r="AN63" t="s">
        <v>1233</v>
      </c>
      <c r="AO63" t="s">
        <v>1236</v>
      </c>
      <c r="AP63" t="s">
        <v>1173</v>
      </c>
      <c r="AR63" t="s">
        <v>683</v>
      </c>
      <c r="AT63" t="s">
        <v>3588</v>
      </c>
      <c r="AU63" t="s">
        <v>684</v>
      </c>
      <c r="AW63" t="s">
        <v>1282</v>
      </c>
    </row>
    <row r="64" spans="1:49">
      <c r="A64" s="1">
        <f>HYPERLINK("https://lsnyc.legalserver.org/matter/dynamic-profile/view/1904361","19-1904361")</f>
        <v>0</v>
      </c>
      <c r="B64" t="s">
        <v>90</v>
      </c>
      <c r="C64" t="s">
        <v>173</v>
      </c>
      <c r="D64" t="s">
        <v>329</v>
      </c>
      <c r="E64" t="s">
        <v>504</v>
      </c>
      <c r="F64" t="s">
        <v>2530</v>
      </c>
      <c r="G64" t="s">
        <v>677</v>
      </c>
      <c r="H64">
        <v>10467</v>
      </c>
      <c r="I64" t="s">
        <v>682</v>
      </c>
      <c r="J64" t="s">
        <v>2654</v>
      </c>
      <c r="K64" t="s">
        <v>732</v>
      </c>
      <c r="L64" t="s">
        <v>738</v>
      </c>
      <c r="O64">
        <v>1380</v>
      </c>
      <c r="P64" t="s">
        <v>753</v>
      </c>
      <c r="R64" t="s">
        <v>2945</v>
      </c>
      <c r="T64" t="s">
        <v>3297</v>
      </c>
      <c r="U64">
        <v>40</v>
      </c>
      <c r="V64" t="s">
        <v>1105</v>
      </c>
      <c r="W64" t="s">
        <v>1116</v>
      </c>
      <c r="X64">
        <v>0</v>
      </c>
      <c r="Y64">
        <v>2</v>
      </c>
      <c r="Z64">
        <v>1</v>
      </c>
      <c r="AA64">
        <v>245.66</v>
      </c>
      <c r="AD64" t="s">
        <v>1122</v>
      </c>
      <c r="AE64">
        <v>52400</v>
      </c>
      <c r="AK64">
        <v>0.6</v>
      </c>
      <c r="AL64" t="s">
        <v>1165</v>
      </c>
      <c r="AM64" t="s">
        <v>1230</v>
      </c>
      <c r="AN64" t="s">
        <v>1233</v>
      </c>
      <c r="AO64" t="s">
        <v>1236</v>
      </c>
      <c r="AP64" t="s">
        <v>1198</v>
      </c>
      <c r="AR64" t="s">
        <v>683</v>
      </c>
      <c r="AT64" t="s">
        <v>3588</v>
      </c>
      <c r="AU64" t="s">
        <v>684</v>
      </c>
      <c r="AW64" t="s">
        <v>1282</v>
      </c>
    </row>
    <row r="65" spans="1:49">
      <c r="A65" s="1">
        <f>HYPERLINK("https://lsnyc.legalserver.org/matter/dynamic-profile/view/1904667","19-1904667")</f>
        <v>0</v>
      </c>
      <c r="B65" t="s">
        <v>90</v>
      </c>
      <c r="C65" t="s">
        <v>1811</v>
      </c>
      <c r="D65" t="s">
        <v>2048</v>
      </c>
      <c r="E65" t="s">
        <v>2290</v>
      </c>
      <c r="F65" t="s">
        <v>613</v>
      </c>
      <c r="G65" t="s">
        <v>677</v>
      </c>
      <c r="H65">
        <v>10460</v>
      </c>
      <c r="I65" t="s">
        <v>682</v>
      </c>
      <c r="J65" t="s">
        <v>2655</v>
      </c>
      <c r="K65" t="s">
        <v>732</v>
      </c>
      <c r="L65" t="s">
        <v>738</v>
      </c>
      <c r="M65" t="s">
        <v>744</v>
      </c>
      <c r="O65">
        <v>729</v>
      </c>
      <c r="P65" t="s">
        <v>753</v>
      </c>
      <c r="T65" t="s">
        <v>3298</v>
      </c>
      <c r="U65">
        <v>0</v>
      </c>
      <c r="V65" t="s">
        <v>1106</v>
      </c>
      <c r="X65">
        <v>4</v>
      </c>
      <c r="Y65">
        <v>1</v>
      </c>
      <c r="Z65">
        <v>0</v>
      </c>
      <c r="AA65">
        <v>249.61</v>
      </c>
      <c r="AD65" t="s">
        <v>1122</v>
      </c>
      <c r="AE65">
        <v>31176</v>
      </c>
      <c r="AK65">
        <v>0.3</v>
      </c>
      <c r="AL65" t="s">
        <v>1175</v>
      </c>
      <c r="AM65" t="s">
        <v>61</v>
      </c>
      <c r="AN65" t="s">
        <v>1233</v>
      </c>
      <c r="AO65" t="s">
        <v>1236</v>
      </c>
      <c r="AP65" t="s">
        <v>1173</v>
      </c>
      <c r="AR65" t="s">
        <v>683</v>
      </c>
      <c r="AT65" t="s">
        <v>3588</v>
      </c>
      <c r="AW65" t="s">
        <v>1282</v>
      </c>
    </row>
    <row r="66" spans="1:49">
      <c r="A66" s="1">
        <f>HYPERLINK("https://lsnyc.legalserver.org/matter/dynamic-profile/view/1905290","19-1905290")</f>
        <v>0</v>
      </c>
      <c r="B66" t="s">
        <v>90</v>
      </c>
      <c r="C66" t="s">
        <v>1321</v>
      </c>
      <c r="D66" t="s">
        <v>2049</v>
      </c>
      <c r="E66" t="s">
        <v>2291</v>
      </c>
      <c r="F66" t="s">
        <v>2531</v>
      </c>
      <c r="G66" t="s">
        <v>677</v>
      </c>
      <c r="H66">
        <v>10472</v>
      </c>
      <c r="I66" t="s">
        <v>682</v>
      </c>
      <c r="J66" t="s">
        <v>2656</v>
      </c>
      <c r="K66" t="s">
        <v>732</v>
      </c>
      <c r="L66" t="s">
        <v>738</v>
      </c>
      <c r="O66">
        <v>1144.79</v>
      </c>
      <c r="P66" t="s">
        <v>753</v>
      </c>
      <c r="R66" t="s">
        <v>2946</v>
      </c>
      <c r="T66" t="s">
        <v>3299</v>
      </c>
      <c r="U66">
        <v>48</v>
      </c>
      <c r="V66" t="s">
        <v>1105</v>
      </c>
      <c r="W66" t="s">
        <v>1115</v>
      </c>
      <c r="X66">
        <v>11</v>
      </c>
      <c r="Y66">
        <v>1</v>
      </c>
      <c r="Z66">
        <v>1</v>
      </c>
      <c r="AA66">
        <v>0</v>
      </c>
      <c r="AD66" t="s">
        <v>1122</v>
      </c>
      <c r="AE66">
        <v>0</v>
      </c>
      <c r="AK66">
        <v>0.2</v>
      </c>
      <c r="AL66" t="s">
        <v>1206</v>
      </c>
      <c r="AM66" t="s">
        <v>1230</v>
      </c>
      <c r="AN66" t="s">
        <v>1233</v>
      </c>
      <c r="AO66" t="s">
        <v>1236</v>
      </c>
      <c r="AP66" t="s">
        <v>1166</v>
      </c>
      <c r="AR66" t="s">
        <v>683</v>
      </c>
      <c r="AT66" t="s">
        <v>3588</v>
      </c>
      <c r="AU66" t="s">
        <v>684</v>
      </c>
      <c r="AW66" t="s">
        <v>1282</v>
      </c>
    </row>
    <row r="67" spans="1:49">
      <c r="A67" s="1">
        <f>HYPERLINK("https://lsnyc.legalserver.org/matter/dynamic-profile/view/1897263","19-1897263")</f>
        <v>0</v>
      </c>
      <c r="B67" t="s">
        <v>90</v>
      </c>
      <c r="C67" t="s">
        <v>1812</v>
      </c>
      <c r="D67" t="s">
        <v>2050</v>
      </c>
      <c r="E67" t="s">
        <v>2292</v>
      </c>
      <c r="F67">
        <v>1</v>
      </c>
      <c r="G67" t="s">
        <v>677</v>
      </c>
      <c r="H67">
        <v>10472</v>
      </c>
      <c r="I67" t="s">
        <v>682</v>
      </c>
      <c r="K67" t="s">
        <v>732</v>
      </c>
      <c r="L67" t="s">
        <v>738</v>
      </c>
      <c r="O67">
        <v>0</v>
      </c>
      <c r="R67" t="s">
        <v>2947</v>
      </c>
      <c r="T67" t="s">
        <v>3300</v>
      </c>
      <c r="U67">
        <v>0</v>
      </c>
      <c r="V67" t="s">
        <v>1104</v>
      </c>
      <c r="X67">
        <v>0</v>
      </c>
      <c r="Y67">
        <v>2</v>
      </c>
      <c r="Z67">
        <v>3</v>
      </c>
      <c r="AA67">
        <v>75.56999999999999</v>
      </c>
      <c r="AD67" t="s">
        <v>1122</v>
      </c>
      <c r="AE67">
        <v>22800</v>
      </c>
      <c r="AF67" t="s">
        <v>3530</v>
      </c>
      <c r="AK67">
        <v>1</v>
      </c>
      <c r="AL67" t="s">
        <v>1201</v>
      </c>
      <c r="AM67" t="s">
        <v>1215</v>
      </c>
      <c r="AN67" t="s">
        <v>1233</v>
      </c>
      <c r="AO67" t="s">
        <v>1236</v>
      </c>
      <c r="AP67" t="s">
        <v>3580</v>
      </c>
      <c r="AR67" t="s">
        <v>682</v>
      </c>
      <c r="AT67" t="s">
        <v>3588</v>
      </c>
      <c r="AW67" t="s">
        <v>1282</v>
      </c>
    </row>
    <row r="68" spans="1:49">
      <c r="A68" s="1">
        <f>HYPERLINK("https://lsnyc.legalserver.org/matter/dynamic-profile/view/1902643","19-1902643")</f>
        <v>0</v>
      </c>
      <c r="B68" t="s">
        <v>1285</v>
      </c>
      <c r="C68" t="s">
        <v>1813</v>
      </c>
      <c r="D68" t="s">
        <v>2051</v>
      </c>
      <c r="E68" t="s">
        <v>2293</v>
      </c>
      <c r="F68" t="s">
        <v>1524</v>
      </c>
      <c r="G68" t="s">
        <v>677</v>
      </c>
      <c r="H68">
        <v>10456</v>
      </c>
      <c r="I68" t="s">
        <v>682</v>
      </c>
      <c r="J68" t="s">
        <v>2657</v>
      </c>
      <c r="K68" t="s">
        <v>732</v>
      </c>
      <c r="L68" t="s">
        <v>738</v>
      </c>
      <c r="O68">
        <v>1020</v>
      </c>
      <c r="P68" t="s">
        <v>757</v>
      </c>
      <c r="R68" t="s">
        <v>2948</v>
      </c>
      <c r="T68" t="s">
        <v>3301</v>
      </c>
      <c r="U68">
        <v>6</v>
      </c>
      <c r="V68" t="s">
        <v>1102</v>
      </c>
      <c r="X68">
        <v>13</v>
      </c>
      <c r="Y68">
        <v>2</v>
      </c>
      <c r="Z68">
        <v>0</v>
      </c>
      <c r="AA68">
        <v>162.01</v>
      </c>
      <c r="AD68" t="s">
        <v>1123</v>
      </c>
      <c r="AE68">
        <v>27396.56</v>
      </c>
      <c r="AF68" t="s">
        <v>3520</v>
      </c>
      <c r="AK68">
        <v>0</v>
      </c>
      <c r="AM68" t="s">
        <v>77</v>
      </c>
      <c r="AN68" t="s">
        <v>1233</v>
      </c>
      <c r="AO68" t="s">
        <v>1236</v>
      </c>
      <c r="AP68" t="s">
        <v>1167</v>
      </c>
      <c r="AR68" t="s">
        <v>683</v>
      </c>
      <c r="AT68" t="s">
        <v>3588</v>
      </c>
      <c r="AU68" t="s">
        <v>684</v>
      </c>
      <c r="AW68" t="s">
        <v>1282</v>
      </c>
    </row>
    <row r="69" spans="1:49">
      <c r="A69" s="1">
        <f>HYPERLINK("https://lsnyc.legalserver.org/matter/dynamic-profile/view/1905875","19-1905875")</f>
        <v>0</v>
      </c>
      <c r="B69" t="s">
        <v>90</v>
      </c>
      <c r="C69" t="s">
        <v>1814</v>
      </c>
      <c r="D69" t="s">
        <v>2052</v>
      </c>
      <c r="E69" t="s">
        <v>2294</v>
      </c>
      <c r="F69">
        <v>8</v>
      </c>
      <c r="G69" t="s">
        <v>677</v>
      </c>
      <c r="H69">
        <v>10458</v>
      </c>
      <c r="I69" t="s">
        <v>682</v>
      </c>
      <c r="J69" t="s">
        <v>2658</v>
      </c>
      <c r="K69" t="s">
        <v>732</v>
      </c>
      <c r="L69" t="s">
        <v>738</v>
      </c>
      <c r="M69" t="s">
        <v>743</v>
      </c>
      <c r="O69">
        <v>364</v>
      </c>
      <c r="P69" t="s">
        <v>753</v>
      </c>
      <c r="R69" t="s">
        <v>2949</v>
      </c>
      <c r="S69" t="s">
        <v>3194</v>
      </c>
      <c r="T69" t="s">
        <v>3302</v>
      </c>
      <c r="U69">
        <v>9</v>
      </c>
      <c r="V69" t="s">
        <v>1102</v>
      </c>
      <c r="W69" t="s">
        <v>1115</v>
      </c>
      <c r="X69">
        <v>32</v>
      </c>
      <c r="Y69">
        <v>5</v>
      </c>
      <c r="Z69">
        <v>0</v>
      </c>
      <c r="AA69">
        <v>18.15</v>
      </c>
      <c r="AD69" t="s">
        <v>1122</v>
      </c>
      <c r="AE69">
        <v>5476</v>
      </c>
      <c r="AK69">
        <v>0.3</v>
      </c>
      <c r="AL69" t="s">
        <v>1170</v>
      </c>
      <c r="AM69" t="s">
        <v>1229</v>
      </c>
      <c r="AO69" t="s">
        <v>1236</v>
      </c>
      <c r="AP69" t="s">
        <v>1165</v>
      </c>
      <c r="AR69" t="s">
        <v>683</v>
      </c>
      <c r="AT69" t="s">
        <v>3588</v>
      </c>
      <c r="AU69" t="s">
        <v>684</v>
      </c>
      <c r="AW69" t="s">
        <v>1282</v>
      </c>
    </row>
    <row r="70" spans="1:49">
      <c r="A70" s="1">
        <f>HYPERLINK("https://lsnyc.legalserver.org/matter/dynamic-profile/view/1894535","19-1894535")</f>
        <v>0</v>
      </c>
      <c r="B70" t="s">
        <v>89</v>
      </c>
      <c r="C70" t="s">
        <v>1815</v>
      </c>
      <c r="D70" t="s">
        <v>2053</v>
      </c>
      <c r="E70" t="s">
        <v>2295</v>
      </c>
      <c r="F70" t="s">
        <v>2532</v>
      </c>
      <c r="G70" t="s">
        <v>677</v>
      </c>
      <c r="H70">
        <v>10454</v>
      </c>
      <c r="I70" t="s">
        <v>682</v>
      </c>
      <c r="J70" t="s">
        <v>2659</v>
      </c>
      <c r="K70" t="s">
        <v>732</v>
      </c>
      <c r="L70" t="s">
        <v>738</v>
      </c>
      <c r="O70">
        <v>2350</v>
      </c>
      <c r="P70" t="s">
        <v>753</v>
      </c>
      <c r="R70" t="s">
        <v>2950</v>
      </c>
      <c r="T70" t="s">
        <v>3303</v>
      </c>
      <c r="U70">
        <v>10</v>
      </c>
      <c r="V70" t="s">
        <v>1105</v>
      </c>
      <c r="W70" t="s">
        <v>1116</v>
      </c>
      <c r="X70">
        <v>1</v>
      </c>
      <c r="Y70">
        <v>3</v>
      </c>
      <c r="Z70">
        <v>0</v>
      </c>
      <c r="AA70">
        <v>292.55</v>
      </c>
      <c r="AD70" t="s">
        <v>1122</v>
      </c>
      <c r="AE70">
        <v>62400</v>
      </c>
      <c r="AF70" t="s">
        <v>3539</v>
      </c>
      <c r="AK70">
        <v>0.3</v>
      </c>
      <c r="AL70" t="s">
        <v>3581</v>
      </c>
      <c r="AM70" t="s">
        <v>1230</v>
      </c>
      <c r="AN70" t="s">
        <v>1233</v>
      </c>
      <c r="AO70" t="s">
        <v>1236</v>
      </c>
      <c r="AP70" t="s">
        <v>1250</v>
      </c>
      <c r="AR70" t="s">
        <v>682</v>
      </c>
      <c r="AT70" t="s">
        <v>3588</v>
      </c>
      <c r="AU70" t="s">
        <v>684</v>
      </c>
      <c r="AW70" t="s">
        <v>1282</v>
      </c>
    </row>
    <row r="71" spans="1:49">
      <c r="A71" s="1">
        <f>HYPERLINK("https://lsnyc.legalserver.org/matter/dynamic-profile/view/1905886","19-1905886")</f>
        <v>0</v>
      </c>
      <c r="B71" t="s">
        <v>90</v>
      </c>
      <c r="C71" t="s">
        <v>1816</v>
      </c>
      <c r="D71" t="s">
        <v>2054</v>
      </c>
      <c r="E71" t="s">
        <v>2296</v>
      </c>
      <c r="F71" t="s">
        <v>1499</v>
      </c>
      <c r="G71" t="s">
        <v>677</v>
      </c>
      <c r="H71">
        <v>10474</v>
      </c>
      <c r="I71" t="s">
        <v>682</v>
      </c>
      <c r="J71" t="s">
        <v>2660</v>
      </c>
      <c r="K71" t="s">
        <v>732</v>
      </c>
      <c r="L71" t="s">
        <v>738</v>
      </c>
      <c r="O71">
        <v>1151</v>
      </c>
      <c r="P71" t="s">
        <v>757</v>
      </c>
      <c r="R71" t="s">
        <v>2951</v>
      </c>
      <c r="S71" t="s">
        <v>3195</v>
      </c>
      <c r="T71" t="s">
        <v>3304</v>
      </c>
      <c r="U71">
        <v>40</v>
      </c>
      <c r="V71" t="s">
        <v>1105</v>
      </c>
      <c r="W71" t="s">
        <v>1116</v>
      </c>
      <c r="X71">
        <v>5</v>
      </c>
      <c r="Y71">
        <v>1</v>
      </c>
      <c r="Z71">
        <v>0</v>
      </c>
      <c r="AA71">
        <v>19.22</v>
      </c>
      <c r="AD71" t="s">
        <v>1122</v>
      </c>
      <c r="AE71">
        <v>2400</v>
      </c>
      <c r="AK71">
        <v>0</v>
      </c>
      <c r="AM71" t="s">
        <v>1225</v>
      </c>
      <c r="AN71" t="s">
        <v>1233</v>
      </c>
      <c r="AO71" t="s">
        <v>1236</v>
      </c>
      <c r="AP71" t="s">
        <v>1179</v>
      </c>
      <c r="AR71" t="s">
        <v>683</v>
      </c>
      <c r="AT71" t="s">
        <v>3588</v>
      </c>
      <c r="AU71" t="s">
        <v>684</v>
      </c>
      <c r="AW71" t="s">
        <v>1282</v>
      </c>
    </row>
    <row r="72" spans="1:49">
      <c r="A72" s="1">
        <f>HYPERLINK("https://lsnyc.legalserver.org/matter/dynamic-profile/view/1902988","19-1902988")</f>
        <v>0</v>
      </c>
      <c r="B72" t="s">
        <v>88</v>
      </c>
      <c r="C72" t="s">
        <v>1817</v>
      </c>
      <c r="D72" t="s">
        <v>264</v>
      </c>
      <c r="E72" t="s">
        <v>2297</v>
      </c>
      <c r="F72" t="s">
        <v>658</v>
      </c>
      <c r="G72" t="s">
        <v>677</v>
      </c>
      <c r="H72">
        <v>10460</v>
      </c>
      <c r="I72" t="s">
        <v>682</v>
      </c>
      <c r="J72" t="s">
        <v>2661</v>
      </c>
      <c r="K72" t="s">
        <v>732</v>
      </c>
      <c r="L72" t="s">
        <v>738</v>
      </c>
      <c r="O72">
        <v>1060</v>
      </c>
      <c r="R72" t="s">
        <v>2952</v>
      </c>
      <c r="T72" t="s">
        <v>3305</v>
      </c>
      <c r="U72">
        <v>80</v>
      </c>
      <c r="X72">
        <v>0</v>
      </c>
      <c r="Y72">
        <v>2</v>
      </c>
      <c r="Z72">
        <v>2</v>
      </c>
      <c r="AA72">
        <v>155.34</v>
      </c>
      <c r="AD72" t="s">
        <v>1122</v>
      </c>
      <c r="AE72">
        <v>40000</v>
      </c>
      <c r="AF72" t="s">
        <v>3540</v>
      </c>
      <c r="AK72">
        <v>0</v>
      </c>
      <c r="AM72" t="s">
        <v>77</v>
      </c>
      <c r="AN72" t="s">
        <v>1233</v>
      </c>
      <c r="AO72" t="s">
        <v>1236</v>
      </c>
      <c r="AP72" t="s">
        <v>1746</v>
      </c>
      <c r="AR72" t="s">
        <v>683</v>
      </c>
      <c r="AT72" t="s">
        <v>3588</v>
      </c>
      <c r="AU72" t="s">
        <v>684</v>
      </c>
      <c r="AW72" t="s">
        <v>1282</v>
      </c>
    </row>
    <row r="73" spans="1:49">
      <c r="A73" s="1">
        <f>HYPERLINK("https://lsnyc.legalserver.org/matter/dynamic-profile/view/1901910","19-1901910")</f>
        <v>0</v>
      </c>
      <c r="B73" t="s">
        <v>83</v>
      </c>
      <c r="C73" t="s">
        <v>166</v>
      </c>
      <c r="D73" t="s">
        <v>344</v>
      </c>
      <c r="E73" t="s">
        <v>2298</v>
      </c>
      <c r="F73" t="s">
        <v>621</v>
      </c>
      <c r="G73" t="s">
        <v>677</v>
      </c>
      <c r="H73">
        <v>10460</v>
      </c>
      <c r="I73" t="s">
        <v>682</v>
      </c>
      <c r="J73" t="s">
        <v>2662</v>
      </c>
      <c r="K73" t="s">
        <v>732</v>
      </c>
      <c r="L73" t="s">
        <v>738</v>
      </c>
      <c r="M73" t="s">
        <v>744</v>
      </c>
      <c r="N73" t="s">
        <v>1172</v>
      </c>
      <c r="O73">
        <v>589</v>
      </c>
      <c r="R73" t="s">
        <v>2953</v>
      </c>
      <c r="T73" t="s">
        <v>3306</v>
      </c>
      <c r="U73">
        <v>0</v>
      </c>
      <c r="X73">
        <v>23</v>
      </c>
      <c r="Y73">
        <v>1</v>
      </c>
      <c r="Z73">
        <v>0</v>
      </c>
      <c r="AA73">
        <v>74.27</v>
      </c>
      <c r="AD73" t="s">
        <v>1122</v>
      </c>
      <c r="AE73">
        <v>9276</v>
      </c>
      <c r="AF73" t="s">
        <v>1130</v>
      </c>
      <c r="AK73">
        <v>1.25</v>
      </c>
      <c r="AL73" t="s">
        <v>1178</v>
      </c>
      <c r="AM73" t="s">
        <v>77</v>
      </c>
      <c r="AN73" t="s">
        <v>1233</v>
      </c>
      <c r="AO73" t="s">
        <v>1236</v>
      </c>
      <c r="AP73" t="s">
        <v>1241</v>
      </c>
      <c r="AR73" t="s">
        <v>683</v>
      </c>
      <c r="AT73" t="s">
        <v>3588</v>
      </c>
      <c r="AW73" t="s">
        <v>1282</v>
      </c>
    </row>
    <row r="74" spans="1:49">
      <c r="A74" s="1">
        <f>HYPERLINK("https://lsnyc.legalserver.org/matter/dynamic-profile/view/1905544","19-1905544")</f>
        <v>0</v>
      </c>
      <c r="B74" t="s">
        <v>83</v>
      </c>
      <c r="C74" t="s">
        <v>1818</v>
      </c>
      <c r="D74" t="s">
        <v>1371</v>
      </c>
      <c r="E74" t="s">
        <v>2299</v>
      </c>
      <c r="F74" t="s">
        <v>2518</v>
      </c>
      <c r="G74" t="s">
        <v>677</v>
      </c>
      <c r="H74">
        <v>10466</v>
      </c>
      <c r="I74" t="s">
        <v>682</v>
      </c>
      <c r="J74" t="s">
        <v>2663</v>
      </c>
      <c r="K74" t="s">
        <v>732</v>
      </c>
      <c r="L74" t="s">
        <v>738</v>
      </c>
      <c r="O74">
        <v>1557</v>
      </c>
      <c r="R74" t="s">
        <v>2954</v>
      </c>
      <c r="T74" t="s">
        <v>3307</v>
      </c>
      <c r="U74">
        <v>0</v>
      </c>
      <c r="W74" t="s">
        <v>1121</v>
      </c>
      <c r="X74">
        <v>4</v>
      </c>
      <c r="Y74">
        <v>1</v>
      </c>
      <c r="Z74">
        <v>2</v>
      </c>
      <c r="AA74">
        <v>154.81</v>
      </c>
      <c r="AD74" t="s">
        <v>1122</v>
      </c>
      <c r="AE74">
        <v>33020</v>
      </c>
      <c r="AK74">
        <v>0.3</v>
      </c>
      <c r="AL74" t="s">
        <v>1170</v>
      </c>
      <c r="AM74" t="s">
        <v>61</v>
      </c>
      <c r="AN74" t="s">
        <v>1233</v>
      </c>
      <c r="AO74" t="s">
        <v>1236</v>
      </c>
      <c r="AP74" t="s">
        <v>1175</v>
      </c>
      <c r="AR74" t="s">
        <v>683</v>
      </c>
      <c r="AT74" t="s">
        <v>3588</v>
      </c>
      <c r="AW74" t="s">
        <v>1282</v>
      </c>
    </row>
    <row r="75" spans="1:49">
      <c r="A75" s="1">
        <f>HYPERLINK("https://lsnyc.legalserver.org/matter/dynamic-profile/view/1901459","19-1901459")</f>
        <v>0</v>
      </c>
      <c r="B75" t="s">
        <v>1755</v>
      </c>
      <c r="C75" t="s">
        <v>1819</v>
      </c>
      <c r="D75" t="s">
        <v>2055</v>
      </c>
      <c r="E75" t="s">
        <v>2300</v>
      </c>
      <c r="F75" t="s">
        <v>658</v>
      </c>
      <c r="G75" t="s">
        <v>677</v>
      </c>
      <c r="H75">
        <v>10472</v>
      </c>
      <c r="I75" t="s">
        <v>682</v>
      </c>
      <c r="J75" t="s">
        <v>2664</v>
      </c>
      <c r="K75" t="s">
        <v>732</v>
      </c>
      <c r="L75" t="s">
        <v>738</v>
      </c>
      <c r="M75" t="s">
        <v>744</v>
      </c>
      <c r="O75">
        <v>1800</v>
      </c>
      <c r="P75" t="s">
        <v>753</v>
      </c>
      <c r="R75" t="s">
        <v>2955</v>
      </c>
      <c r="T75" t="s">
        <v>3308</v>
      </c>
      <c r="U75">
        <v>90</v>
      </c>
      <c r="V75" t="s">
        <v>1105</v>
      </c>
      <c r="W75" t="s">
        <v>1116</v>
      </c>
      <c r="X75">
        <v>1</v>
      </c>
      <c r="Y75">
        <v>2</v>
      </c>
      <c r="Z75">
        <v>0</v>
      </c>
      <c r="AA75">
        <v>177.41</v>
      </c>
      <c r="AD75" t="s">
        <v>1122</v>
      </c>
      <c r="AE75">
        <v>30000</v>
      </c>
      <c r="AF75" t="s">
        <v>3528</v>
      </c>
      <c r="AK75">
        <v>0.5</v>
      </c>
      <c r="AL75" t="s">
        <v>1246</v>
      </c>
      <c r="AM75" t="s">
        <v>1215</v>
      </c>
      <c r="AN75" t="s">
        <v>1233</v>
      </c>
      <c r="AO75" t="s">
        <v>1236</v>
      </c>
      <c r="AP75" t="s">
        <v>1246</v>
      </c>
      <c r="AR75" t="s">
        <v>683</v>
      </c>
      <c r="AT75" t="s">
        <v>3588</v>
      </c>
      <c r="AU75" t="s">
        <v>684</v>
      </c>
      <c r="AW75" t="s">
        <v>1282</v>
      </c>
    </row>
    <row r="76" spans="1:49">
      <c r="A76" s="1">
        <f>HYPERLINK("https://lsnyc.legalserver.org/matter/dynamic-profile/view/1906115","19-1906115")</f>
        <v>0</v>
      </c>
      <c r="B76" t="s">
        <v>90</v>
      </c>
      <c r="C76" t="s">
        <v>263</v>
      </c>
      <c r="D76" t="s">
        <v>344</v>
      </c>
      <c r="E76" t="s">
        <v>2301</v>
      </c>
      <c r="F76">
        <v>23</v>
      </c>
      <c r="G76" t="s">
        <v>677</v>
      </c>
      <c r="H76">
        <v>10458</v>
      </c>
      <c r="I76" t="s">
        <v>682</v>
      </c>
      <c r="J76" t="s">
        <v>2665</v>
      </c>
      <c r="K76" t="s">
        <v>732</v>
      </c>
      <c r="L76" t="s">
        <v>738</v>
      </c>
      <c r="O76">
        <v>991.76</v>
      </c>
      <c r="R76" t="s">
        <v>2956</v>
      </c>
      <c r="T76" t="s">
        <v>3309</v>
      </c>
      <c r="U76">
        <v>32</v>
      </c>
      <c r="V76" t="s">
        <v>1102</v>
      </c>
      <c r="X76">
        <v>0</v>
      </c>
      <c r="Y76">
        <v>1</v>
      </c>
      <c r="Z76">
        <v>2</v>
      </c>
      <c r="AA76">
        <v>146.27</v>
      </c>
      <c r="AD76" t="s">
        <v>1123</v>
      </c>
      <c r="AE76">
        <v>31200</v>
      </c>
      <c r="AK76">
        <v>0</v>
      </c>
      <c r="AM76" t="s">
        <v>77</v>
      </c>
      <c r="AN76" t="s">
        <v>1233</v>
      </c>
      <c r="AO76" t="s">
        <v>1236</v>
      </c>
      <c r="AP76" t="s">
        <v>1206</v>
      </c>
      <c r="AR76" t="s">
        <v>683</v>
      </c>
      <c r="AT76" t="s">
        <v>3588</v>
      </c>
      <c r="AU76" t="s">
        <v>684</v>
      </c>
      <c r="AW76" t="s">
        <v>1282</v>
      </c>
    </row>
    <row r="77" spans="1:49">
      <c r="A77" s="1">
        <f>HYPERLINK("https://lsnyc.legalserver.org/matter/dynamic-profile/view/1905884","19-1905884")</f>
        <v>0</v>
      </c>
      <c r="B77" t="s">
        <v>90</v>
      </c>
      <c r="C77" t="s">
        <v>209</v>
      </c>
      <c r="D77" t="s">
        <v>2056</v>
      </c>
      <c r="E77" t="s">
        <v>2302</v>
      </c>
      <c r="F77" t="s">
        <v>659</v>
      </c>
      <c r="G77" t="s">
        <v>677</v>
      </c>
      <c r="H77">
        <v>10463</v>
      </c>
      <c r="I77" t="s">
        <v>682</v>
      </c>
      <c r="J77" t="s">
        <v>2666</v>
      </c>
      <c r="K77" t="s">
        <v>732</v>
      </c>
      <c r="L77" t="s">
        <v>738</v>
      </c>
      <c r="O77">
        <v>2000</v>
      </c>
      <c r="P77" t="s">
        <v>757</v>
      </c>
      <c r="R77" t="s">
        <v>2957</v>
      </c>
      <c r="U77">
        <v>26</v>
      </c>
      <c r="V77" t="s">
        <v>1105</v>
      </c>
      <c r="W77" t="s">
        <v>1116</v>
      </c>
      <c r="X77">
        <v>1</v>
      </c>
      <c r="Y77">
        <v>3</v>
      </c>
      <c r="Z77">
        <v>2</v>
      </c>
      <c r="AA77">
        <v>150.08</v>
      </c>
      <c r="AD77" t="s">
        <v>1122</v>
      </c>
      <c r="AE77">
        <v>45278.65</v>
      </c>
      <c r="AK77">
        <v>0</v>
      </c>
      <c r="AM77" t="s">
        <v>1225</v>
      </c>
      <c r="AN77" t="s">
        <v>1233</v>
      </c>
      <c r="AO77" t="s">
        <v>1236</v>
      </c>
      <c r="AP77" t="s">
        <v>1179</v>
      </c>
      <c r="AR77" t="s">
        <v>683</v>
      </c>
      <c r="AT77" t="s">
        <v>3588</v>
      </c>
      <c r="AU77" t="s">
        <v>684</v>
      </c>
      <c r="AW77" t="s">
        <v>1282</v>
      </c>
    </row>
    <row r="78" spans="1:49">
      <c r="A78" s="1">
        <f>HYPERLINK("https://lsnyc.legalserver.org/matter/dynamic-profile/view/1902701","19-1902701")</f>
        <v>0</v>
      </c>
      <c r="B78" t="s">
        <v>85</v>
      </c>
      <c r="C78" t="s">
        <v>1806</v>
      </c>
      <c r="D78" t="s">
        <v>367</v>
      </c>
      <c r="E78" t="s">
        <v>2303</v>
      </c>
      <c r="F78">
        <v>14</v>
      </c>
      <c r="G78" t="s">
        <v>677</v>
      </c>
      <c r="H78">
        <v>10456</v>
      </c>
      <c r="I78" t="s">
        <v>682</v>
      </c>
      <c r="J78" t="s">
        <v>2667</v>
      </c>
      <c r="K78" t="s">
        <v>732</v>
      </c>
      <c r="L78" t="s">
        <v>738</v>
      </c>
      <c r="O78">
        <v>0</v>
      </c>
      <c r="R78" t="s">
        <v>2958</v>
      </c>
      <c r="U78">
        <v>0</v>
      </c>
      <c r="V78" t="s">
        <v>1104</v>
      </c>
      <c r="X78">
        <v>1</v>
      </c>
      <c r="Y78">
        <v>2</v>
      </c>
      <c r="Z78">
        <v>1</v>
      </c>
      <c r="AA78">
        <v>100.05</v>
      </c>
      <c r="AD78" t="s">
        <v>1122</v>
      </c>
      <c r="AE78">
        <v>21340</v>
      </c>
      <c r="AF78" t="s">
        <v>3541</v>
      </c>
      <c r="AK78">
        <v>1.2</v>
      </c>
      <c r="AL78" t="s">
        <v>1256</v>
      </c>
      <c r="AM78" t="s">
        <v>77</v>
      </c>
      <c r="AN78" t="s">
        <v>1233</v>
      </c>
      <c r="AO78" t="s">
        <v>1236</v>
      </c>
      <c r="AP78" t="s">
        <v>1167</v>
      </c>
      <c r="AR78" t="s">
        <v>683</v>
      </c>
      <c r="AT78" t="s">
        <v>3588</v>
      </c>
      <c r="AU78" t="s">
        <v>684</v>
      </c>
      <c r="AW78" t="s">
        <v>1282</v>
      </c>
    </row>
    <row r="79" spans="1:49">
      <c r="A79" s="1">
        <f>HYPERLINK("https://lsnyc.legalserver.org/matter/dynamic-profile/view/1906021","19-1906021")</f>
        <v>0</v>
      </c>
      <c r="B79" t="s">
        <v>1229</v>
      </c>
      <c r="C79" t="s">
        <v>1820</v>
      </c>
      <c r="D79" t="s">
        <v>2057</v>
      </c>
      <c r="E79" t="s">
        <v>544</v>
      </c>
      <c r="F79" t="s">
        <v>2533</v>
      </c>
      <c r="G79" t="s">
        <v>677</v>
      </c>
      <c r="H79">
        <v>10474</v>
      </c>
      <c r="I79" t="s">
        <v>684</v>
      </c>
      <c r="J79" t="s">
        <v>2668</v>
      </c>
      <c r="K79" t="s">
        <v>732</v>
      </c>
      <c r="L79" t="s">
        <v>738</v>
      </c>
      <c r="O79">
        <v>1350</v>
      </c>
      <c r="R79" t="s">
        <v>2959</v>
      </c>
      <c r="U79">
        <v>47</v>
      </c>
      <c r="X79">
        <v>5</v>
      </c>
      <c r="Y79">
        <v>1</v>
      </c>
      <c r="Z79">
        <v>0</v>
      </c>
      <c r="AA79">
        <v>124.9</v>
      </c>
      <c r="AD79" t="s">
        <v>1122</v>
      </c>
      <c r="AE79">
        <v>15600</v>
      </c>
      <c r="AK79">
        <v>0</v>
      </c>
      <c r="AM79" t="s">
        <v>1229</v>
      </c>
      <c r="AN79" t="s">
        <v>1116</v>
      </c>
      <c r="AO79" t="s">
        <v>1236</v>
      </c>
      <c r="AP79" t="s">
        <v>1211</v>
      </c>
      <c r="AR79" t="s">
        <v>683</v>
      </c>
      <c r="AT79" t="s">
        <v>3588</v>
      </c>
      <c r="AU79" t="s">
        <v>684</v>
      </c>
      <c r="AW79" t="s">
        <v>1282</v>
      </c>
    </row>
    <row r="80" spans="1:49">
      <c r="A80" s="1">
        <f>HYPERLINK("https://lsnyc.legalserver.org/matter/dynamic-profile/view/1905558","19-1905558")</f>
        <v>0</v>
      </c>
      <c r="B80" t="s">
        <v>90</v>
      </c>
      <c r="C80" t="s">
        <v>1821</v>
      </c>
      <c r="D80" t="s">
        <v>2058</v>
      </c>
      <c r="E80" t="s">
        <v>2304</v>
      </c>
      <c r="F80" t="s">
        <v>2534</v>
      </c>
      <c r="G80" t="s">
        <v>677</v>
      </c>
      <c r="H80">
        <v>10473</v>
      </c>
      <c r="I80" t="s">
        <v>682</v>
      </c>
      <c r="J80" t="s">
        <v>2669</v>
      </c>
      <c r="K80" t="s">
        <v>732</v>
      </c>
      <c r="L80" t="s">
        <v>738</v>
      </c>
      <c r="M80" t="s">
        <v>744</v>
      </c>
      <c r="O80">
        <v>1651</v>
      </c>
      <c r="R80" t="s">
        <v>2960</v>
      </c>
      <c r="U80">
        <v>0</v>
      </c>
      <c r="X80">
        <v>10</v>
      </c>
      <c r="Y80">
        <v>1</v>
      </c>
      <c r="Z80">
        <v>3</v>
      </c>
      <c r="AA80">
        <v>97.09</v>
      </c>
      <c r="AD80" t="s">
        <v>1122</v>
      </c>
      <c r="AE80">
        <v>25000</v>
      </c>
      <c r="AK80">
        <v>0.3</v>
      </c>
      <c r="AL80" t="s">
        <v>1170</v>
      </c>
      <c r="AM80" t="s">
        <v>61</v>
      </c>
      <c r="AN80" t="s">
        <v>1233</v>
      </c>
      <c r="AO80" t="s">
        <v>1236</v>
      </c>
      <c r="AP80" t="s">
        <v>1175</v>
      </c>
      <c r="AR80" t="s">
        <v>683</v>
      </c>
      <c r="AT80" t="s">
        <v>3588</v>
      </c>
      <c r="AW80" t="s">
        <v>1282</v>
      </c>
    </row>
    <row r="81" spans="1:49">
      <c r="A81" s="1">
        <f>HYPERLINK("https://lsnyc.legalserver.org/matter/dynamic-profile/view/1901896","19-1901896")</f>
        <v>0</v>
      </c>
      <c r="B81" t="s">
        <v>1759</v>
      </c>
      <c r="C81" t="s">
        <v>1822</v>
      </c>
      <c r="D81" t="s">
        <v>1425</v>
      </c>
      <c r="E81" t="s">
        <v>2305</v>
      </c>
      <c r="F81" t="s">
        <v>655</v>
      </c>
      <c r="G81" t="s">
        <v>677</v>
      </c>
      <c r="H81">
        <v>10458</v>
      </c>
      <c r="I81" t="s">
        <v>682</v>
      </c>
      <c r="J81" t="s">
        <v>2670</v>
      </c>
      <c r="K81" t="s">
        <v>732</v>
      </c>
      <c r="L81" t="s">
        <v>738</v>
      </c>
      <c r="M81" t="s">
        <v>744</v>
      </c>
      <c r="O81">
        <v>241</v>
      </c>
      <c r="P81" t="s">
        <v>753</v>
      </c>
      <c r="R81" t="s">
        <v>783</v>
      </c>
      <c r="U81">
        <v>30</v>
      </c>
      <c r="V81" t="s">
        <v>1102</v>
      </c>
      <c r="W81" t="s">
        <v>1116</v>
      </c>
      <c r="X81">
        <v>50</v>
      </c>
      <c r="Y81">
        <v>1</v>
      </c>
      <c r="Z81">
        <v>0</v>
      </c>
      <c r="AA81">
        <v>46.21</v>
      </c>
      <c r="AD81" t="s">
        <v>1122</v>
      </c>
      <c r="AE81">
        <v>5772</v>
      </c>
      <c r="AF81" t="s">
        <v>3542</v>
      </c>
      <c r="AK81">
        <v>0.6</v>
      </c>
      <c r="AL81" t="s">
        <v>1256</v>
      </c>
      <c r="AM81" t="s">
        <v>77</v>
      </c>
      <c r="AN81" t="s">
        <v>1233</v>
      </c>
      <c r="AO81" t="s">
        <v>1236</v>
      </c>
      <c r="AP81" t="s">
        <v>1241</v>
      </c>
      <c r="AR81" t="s">
        <v>683</v>
      </c>
      <c r="AT81" t="s">
        <v>3588</v>
      </c>
      <c r="AU81" t="s">
        <v>684</v>
      </c>
      <c r="AW81" t="s">
        <v>1282</v>
      </c>
    </row>
    <row r="82" spans="1:49">
      <c r="A82" s="1">
        <f>HYPERLINK("https://lsnyc.legalserver.org/matter/dynamic-profile/view/1900136","19-1900136")</f>
        <v>0</v>
      </c>
      <c r="B82" t="s">
        <v>85</v>
      </c>
      <c r="C82" t="s">
        <v>132</v>
      </c>
      <c r="D82" t="s">
        <v>316</v>
      </c>
      <c r="E82" t="s">
        <v>473</v>
      </c>
      <c r="F82" t="s">
        <v>614</v>
      </c>
      <c r="G82" t="s">
        <v>677</v>
      </c>
      <c r="H82">
        <v>10453</v>
      </c>
      <c r="I82" t="s">
        <v>684</v>
      </c>
      <c r="J82" t="s">
        <v>687</v>
      </c>
      <c r="L82" t="s">
        <v>738</v>
      </c>
      <c r="O82">
        <v>0</v>
      </c>
      <c r="R82" t="s">
        <v>816</v>
      </c>
      <c r="T82" t="s">
        <v>3310</v>
      </c>
      <c r="U82">
        <v>0</v>
      </c>
      <c r="X82">
        <v>0</v>
      </c>
      <c r="Y82">
        <v>2</v>
      </c>
      <c r="Z82">
        <v>1</v>
      </c>
      <c r="AA82">
        <v>150.02</v>
      </c>
      <c r="AD82" t="s">
        <v>1122</v>
      </c>
      <c r="AE82">
        <v>32000</v>
      </c>
      <c r="AK82">
        <v>3.2</v>
      </c>
      <c r="AL82" t="s">
        <v>1208</v>
      </c>
      <c r="AM82" t="s">
        <v>77</v>
      </c>
      <c r="AN82" t="s">
        <v>1116</v>
      </c>
      <c r="AO82" t="s">
        <v>1236</v>
      </c>
      <c r="AP82" t="s">
        <v>1182</v>
      </c>
      <c r="AR82" t="s">
        <v>683</v>
      </c>
      <c r="AT82" t="s">
        <v>3588</v>
      </c>
      <c r="AU82" t="s">
        <v>684</v>
      </c>
      <c r="AW82" t="s">
        <v>1282</v>
      </c>
    </row>
    <row r="83" spans="1:49">
      <c r="A83" s="1">
        <f>HYPERLINK("https://lsnyc.legalserver.org/matter/dynamic-profile/view/1905229","19-1905229")</f>
        <v>0</v>
      </c>
      <c r="B83" t="s">
        <v>96</v>
      </c>
      <c r="C83" t="s">
        <v>1823</v>
      </c>
      <c r="D83" t="s">
        <v>2059</v>
      </c>
      <c r="E83" t="s">
        <v>2306</v>
      </c>
      <c r="F83">
        <v>13</v>
      </c>
      <c r="G83" t="s">
        <v>677</v>
      </c>
      <c r="H83">
        <v>10469</v>
      </c>
      <c r="I83" t="s">
        <v>682</v>
      </c>
      <c r="J83" t="s">
        <v>2671</v>
      </c>
      <c r="L83" t="s">
        <v>738</v>
      </c>
      <c r="M83" t="s">
        <v>744</v>
      </c>
      <c r="O83">
        <v>1050</v>
      </c>
      <c r="R83" t="s">
        <v>2961</v>
      </c>
      <c r="S83">
        <v>5550356</v>
      </c>
      <c r="T83" t="s">
        <v>3311</v>
      </c>
      <c r="U83">
        <v>8</v>
      </c>
      <c r="W83" t="s">
        <v>1120</v>
      </c>
      <c r="X83">
        <v>10</v>
      </c>
      <c r="Y83">
        <v>1</v>
      </c>
      <c r="Z83">
        <v>1</v>
      </c>
      <c r="AA83">
        <v>70.95999999999999</v>
      </c>
      <c r="AD83" t="s">
        <v>1122</v>
      </c>
      <c r="AE83">
        <v>12000</v>
      </c>
      <c r="AK83">
        <v>0.5</v>
      </c>
      <c r="AL83" t="s">
        <v>1206</v>
      </c>
      <c r="AM83" t="s">
        <v>77</v>
      </c>
      <c r="AN83" t="s">
        <v>1233</v>
      </c>
      <c r="AO83" t="s">
        <v>1236</v>
      </c>
      <c r="AP83" t="s">
        <v>1166</v>
      </c>
      <c r="AR83" t="s">
        <v>683</v>
      </c>
      <c r="AT83" t="s">
        <v>3588</v>
      </c>
      <c r="AW83" t="s">
        <v>1282</v>
      </c>
    </row>
    <row r="84" spans="1:49">
      <c r="A84" s="1">
        <f>HYPERLINK("https://lsnyc.legalserver.org/matter/dynamic-profile/view/1901396","19-1901396")</f>
        <v>0</v>
      </c>
      <c r="B84" t="s">
        <v>66</v>
      </c>
      <c r="C84" t="s">
        <v>1824</v>
      </c>
      <c r="D84" t="s">
        <v>1413</v>
      </c>
      <c r="E84" t="s">
        <v>2267</v>
      </c>
      <c r="F84" t="s">
        <v>652</v>
      </c>
      <c r="G84" t="s">
        <v>677</v>
      </c>
      <c r="H84">
        <v>10460</v>
      </c>
      <c r="I84" t="s">
        <v>682</v>
      </c>
      <c r="L84" t="s">
        <v>738</v>
      </c>
      <c r="O84">
        <v>0</v>
      </c>
      <c r="P84" t="s">
        <v>753</v>
      </c>
      <c r="R84" t="s">
        <v>2962</v>
      </c>
      <c r="T84" t="s">
        <v>3312</v>
      </c>
      <c r="U84">
        <v>0</v>
      </c>
      <c r="X84">
        <v>0</v>
      </c>
      <c r="Y84">
        <v>1</v>
      </c>
      <c r="Z84">
        <v>0</v>
      </c>
      <c r="AA84">
        <v>125.57</v>
      </c>
      <c r="AD84" t="s">
        <v>1122</v>
      </c>
      <c r="AE84">
        <v>15684</v>
      </c>
      <c r="AF84" t="s">
        <v>3528</v>
      </c>
      <c r="AK84">
        <v>0.6</v>
      </c>
      <c r="AL84" t="s">
        <v>1194</v>
      </c>
      <c r="AM84" t="s">
        <v>1215</v>
      </c>
      <c r="AN84" t="s">
        <v>1233</v>
      </c>
      <c r="AO84" t="s">
        <v>1236</v>
      </c>
      <c r="AP84" t="s">
        <v>1189</v>
      </c>
      <c r="AR84" t="s">
        <v>683</v>
      </c>
      <c r="AT84" t="s">
        <v>3588</v>
      </c>
      <c r="AW84" t="s">
        <v>1282</v>
      </c>
    </row>
    <row r="85" spans="1:49">
      <c r="A85" s="1">
        <f>HYPERLINK("https://lsnyc.legalserver.org/matter/dynamic-profile/view/1901314","19-1901314")</f>
        <v>0</v>
      </c>
      <c r="B85" t="s">
        <v>1756</v>
      </c>
      <c r="C85" t="s">
        <v>1825</v>
      </c>
      <c r="D85" t="s">
        <v>2060</v>
      </c>
      <c r="E85" t="s">
        <v>2307</v>
      </c>
      <c r="F85" t="s">
        <v>2535</v>
      </c>
      <c r="G85" t="s">
        <v>677</v>
      </c>
      <c r="H85">
        <v>10458</v>
      </c>
      <c r="I85" t="s">
        <v>682</v>
      </c>
      <c r="L85" t="s">
        <v>738</v>
      </c>
      <c r="O85">
        <v>0</v>
      </c>
      <c r="R85" t="s">
        <v>2963</v>
      </c>
      <c r="T85" t="s">
        <v>3313</v>
      </c>
      <c r="U85">
        <v>0</v>
      </c>
      <c r="X85">
        <v>0</v>
      </c>
      <c r="Y85">
        <v>5</v>
      </c>
      <c r="Z85">
        <v>1</v>
      </c>
      <c r="AA85">
        <v>0.41</v>
      </c>
      <c r="AD85" t="s">
        <v>1122</v>
      </c>
      <c r="AE85">
        <v>141</v>
      </c>
      <c r="AF85" t="s">
        <v>3543</v>
      </c>
      <c r="AK85">
        <v>0.5</v>
      </c>
      <c r="AL85" t="s">
        <v>1189</v>
      </c>
      <c r="AM85" t="s">
        <v>1215</v>
      </c>
      <c r="AN85" t="s">
        <v>1233</v>
      </c>
      <c r="AO85" t="s">
        <v>1236</v>
      </c>
      <c r="AP85" t="s">
        <v>1189</v>
      </c>
      <c r="AR85" t="s">
        <v>683</v>
      </c>
      <c r="AT85" t="s">
        <v>3588</v>
      </c>
      <c r="AW85" t="s">
        <v>1282</v>
      </c>
    </row>
    <row r="86" spans="1:49">
      <c r="A86" s="1">
        <f>HYPERLINK("https://lsnyc.legalserver.org/matter/dynamic-profile/view/1895864","19-1895864")</f>
        <v>0</v>
      </c>
      <c r="B86" t="s">
        <v>1756</v>
      </c>
      <c r="C86" t="s">
        <v>209</v>
      </c>
      <c r="D86" t="s">
        <v>264</v>
      </c>
      <c r="E86" t="s">
        <v>2308</v>
      </c>
      <c r="F86" t="s">
        <v>668</v>
      </c>
      <c r="G86" t="s">
        <v>677</v>
      </c>
      <c r="H86">
        <v>10456</v>
      </c>
      <c r="I86" t="s">
        <v>682</v>
      </c>
      <c r="L86" t="s">
        <v>738</v>
      </c>
      <c r="O86">
        <v>160</v>
      </c>
      <c r="R86" t="s">
        <v>2964</v>
      </c>
      <c r="T86" t="s">
        <v>3314</v>
      </c>
      <c r="U86">
        <v>0</v>
      </c>
      <c r="V86" t="s">
        <v>1113</v>
      </c>
      <c r="W86" t="s">
        <v>1116</v>
      </c>
      <c r="X86">
        <v>-1</v>
      </c>
      <c r="Y86">
        <v>1</v>
      </c>
      <c r="Z86">
        <v>0</v>
      </c>
      <c r="AA86">
        <v>0</v>
      </c>
      <c r="AD86" t="s">
        <v>1122</v>
      </c>
      <c r="AE86">
        <v>0</v>
      </c>
      <c r="AF86" t="s">
        <v>3544</v>
      </c>
      <c r="AK86">
        <v>0.5</v>
      </c>
      <c r="AL86" t="s">
        <v>1243</v>
      </c>
      <c r="AM86" t="s">
        <v>1215</v>
      </c>
      <c r="AN86" t="s">
        <v>1233</v>
      </c>
      <c r="AO86" t="s">
        <v>1236</v>
      </c>
      <c r="AP86" t="s">
        <v>1243</v>
      </c>
      <c r="AR86" t="s">
        <v>682</v>
      </c>
      <c r="AT86" t="s">
        <v>3588</v>
      </c>
      <c r="AW86" t="s">
        <v>1282</v>
      </c>
    </row>
    <row r="87" spans="1:49">
      <c r="A87" s="1">
        <f>HYPERLINK("https://lsnyc.legalserver.org/matter/dynamic-profile/view/1901907","19-1901907")</f>
        <v>0</v>
      </c>
      <c r="B87" t="s">
        <v>1756</v>
      </c>
      <c r="C87" t="s">
        <v>1826</v>
      </c>
      <c r="D87" t="s">
        <v>264</v>
      </c>
      <c r="E87" t="s">
        <v>2309</v>
      </c>
      <c r="F87" t="s">
        <v>641</v>
      </c>
      <c r="G87" t="s">
        <v>677</v>
      </c>
      <c r="H87">
        <v>10454</v>
      </c>
      <c r="I87" t="s">
        <v>682</v>
      </c>
      <c r="L87" t="s">
        <v>738</v>
      </c>
      <c r="O87">
        <v>0</v>
      </c>
      <c r="R87" t="s">
        <v>2965</v>
      </c>
      <c r="T87" t="s">
        <v>3315</v>
      </c>
      <c r="U87">
        <v>0</v>
      </c>
      <c r="X87">
        <v>0</v>
      </c>
      <c r="Y87">
        <v>3</v>
      </c>
      <c r="Z87">
        <v>0</v>
      </c>
      <c r="AA87">
        <v>84.67</v>
      </c>
      <c r="AD87" t="s">
        <v>1122</v>
      </c>
      <c r="AE87">
        <v>18060</v>
      </c>
      <c r="AF87" t="s">
        <v>1130</v>
      </c>
      <c r="AK87">
        <v>0</v>
      </c>
      <c r="AM87" t="s">
        <v>77</v>
      </c>
      <c r="AN87" t="s">
        <v>1233</v>
      </c>
      <c r="AO87" t="s">
        <v>1236</v>
      </c>
      <c r="AP87" t="s">
        <v>1241</v>
      </c>
      <c r="AR87" t="s">
        <v>683</v>
      </c>
      <c r="AT87" t="s">
        <v>3588</v>
      </c>
      <c r="AW87" t="s">
        <v>1282</v>
      </c>
    </row>
    <row r="88" spans="1:49">
      <c r="A88" s="1">
        <f>HYPERLINK("https://lsnyc.legalserver.org/matter/dynamic-profile/view/1904769","19-1904769")</f>
        <v>0</v>
      </c>
      <c r="B88" t="s">
        <v>61</v>
      </c>
      <c r="C88" t="s">
        <v>1827</v>
      </c>
      <c r="D88" t="s">
        <v>2061</v>
      </c>
      <c r="E88" t="s">
        <v>2310</v>
      </c>
      <c r="F88" t="s">
        <v>2536</v>
      </c>
      <c r="G88" t="s">
        <v>677</v>
      </c>
      <c r="H88">
        <v>10453</v>
      </c>
      <c r="I88" t="s">
        <v>682</v>
      </c>
      <c r="J88" t="s">
        <v>2672</v>
      </c>
      <c r="L88" t="s">
        <v>738</v>
      </c>
      <c r="O88">
        <v>879.3</v>
      </c>
      <c r="R88" t="s">
        <v>2966</v>
      </c>
      <c r="T88" t="s">
        <v>3316</v>
      </c>
      <c r="U88">
        <v>0</v>
      </c>
      <c r="X88">
        <v>27</v>
      </c>
      <c r="Y88">
        <v>1</v>
      </c>
      <c r="Z88">
        <v>0</v>
      </c>
      <c r="AA88">
        <v>47.94</v>
      </c>
      <c r="AD88" t="s">
        <v>1123</v>
      </c>
      <c r="AE88">
        <v>5988</v>
      </c>
      <c r="AK88">
        <v>0</v>
      </c>
      <c r="AM88" t="s">
        <v>61</v>
      </c>
      <c r="AN88" t="s">
        <v>1233</v>
      </c>
      <c r="AO88" t="s">
        <v>1236</v>
      </c>
      <c r="AP88" t="s">
        <v>1161</v>
      </c>
      <c r="AR88" t="s">
        <v>683</v>
      </c>
      <c r="AT88" t="s">
        <v>3588</v>
      </c>
      <c r="AW88" t="s">
        <v>1282</v>
      </c>
    </row>
    <row r="89" spans="1:49">
      <c r="A89" s="1">
        <f>HYPERLINK("https://lsnyc.legalserver.org/matter/dynamic-profile/view/1904972","19-1904972")</f>
        <v>0</v>
      </c>
      <c r="B89" t="s">
        <v>1754</v>
      </c>
      <c r="C89" t="s">
        <v>1828</v>
      </c>
      <c r="D89" t="s">
        <v>2062</v>
      </c>
      <c r="G89" t="s">
        <v>677</v>
      </c>
      <c r="H89">
        <v>10466</v>
      </c>
      <c r="I89" t="s">
        <v>682</v>
      </c>
      <c r="J89" t="s">
        <v>2673</v>
      </c>
      <c r="L89" t="s">
        <v>738</v>
      </c>
      <c r="O89">
        <v>0</v>
      </c>
      <c r="T89" t="s">
        <v>3317</v>
      </c>
      <c r="U89">
        <v>0</v>
      </c>
      <c r="X89">
        <v>0</v>
      </c>
      <c r="Y89">
        <v>3</v>
      </c>
      <c r="Z89">
        <v>0</v>
      </c>
      <c r="AA89">
        <v>48.1</v>
      </c>
      <c r="AD89" t="s">
        <v>1122</v>
      </c>
      <c r="AE89">
        <v>10260</v>
      </c>
      <c r="AK89">
        <v>0.5</v>
      </c>
      <c r="AL89" t="s">
        <v>1206</v>
      </c>
      <c r="AM89" t="s">
        <v>77</v>
      </c>
      <c r="AN89" t="s">
        <v>1233</v>
      </c>
      <c r="AO89" t="s">
        <v>1236</v>
      </c>
      <c r="AP89" t="s">
        <v>1207</v>
      </c>
      <c r="AR89" t="s">
        <v>683</v>
      </c>
      <c r="AT89" t="s">
        <v>3588</v>
      </c>
      <c r="AW89" t="s">
        <v>1282</v>
      </c>
    </row>
    <row r="90" spans="1:49">
      <c r="A90" s="1">
        <f>HYPERLINK("https://lsnyc.legalserver.org/matter/dynamic-profile/view/1899098","19-1899098")</f>
        <v>0</v>
      </c>
      <c r="B90" t="s">
        <v>89</v>
      </c>
      <c r="C90" t="s">
        <v>1829</v>
      </c>
      <c r="D90" t="s">
        <v>312</v>
      </c>
      <c r="E90" t="s">
        <v>2311</v>
      </c>
      <c r="F90">
        <v>2</v>
      </c>
      <c r="G90" t="s">
        <v>677</v>
      </c>
      <c r="H90">
        <v>10469</v>
      </c>
      <c r="I90" t="s">
        <v>683</v>
      </c>
      <c r="J90" t="s">
        <v>2674</v>
      </c>
      <c r="L90" t="s">
        <v>738</v>
      </c>
      <c r="O90">
        <v>0</v>
      </c>
      <c r="R90" t="s">
        <v>2967</v>
      </c>
      <c r="T90" t="s">
        <v>3318</v>
      </c>
      <c r="U90">
        <v>0</v>
      </c>
      <c r="X90">
        <v>0</v>
      </c>
      <c r="Y90">
        <v>1</v>
      </c>
      <c r="Z90">
        <v>3</v>
      </c>
      <c r="AA90">
        <v>53.01</v>
      </c>
      <c r="AD90" t="s">
        <v>1122</v>
      </c>
      <c r="AE90">
        <v>13650</v>
      </c>
      <c r="AK90">
        <v>0.3</v>
      </c>
      <c r="AL90" t="s">
        <v>3581</v>
      </c>
      <c r="AM90" t="s">
        <v>1226</v>
      </c>
      <c r="AO90" t="s">
        <v>1236</v>
      </c>
      <c r="AP90" t="s">
        <v>1247</v>
      </c>
      <c r="AR90" t="s">
        <v>683</v>
      </c>
      <c r="AT90" t="s">
        <v>3588</v>
      </c>
      <c r="AW90" t="s">
        <v>1282</v>
      </c>
    </row>
    <row r="91" spans="1:49">
      <c r="A91" s="1">
        <f>HYPERLINK("https://lsnyc.legalserver.org/matter/dynamic-profile/view/1901889","19-1901889")</f>
        <v>0</v>
      </c>
      <c r="B91" t="s">
        <v>1757</v>
      </c>
      <c r="C91" t="s">
        <v>1830</v>
      </c>
      <c r="D91" t="s">
        <v>2063</v>
      </c>
      <c r="E91" t="s">
        <v>2312</v>
      </c>
      <c r="F91" t="s">
        <v>604</v>
      </c>
      <c r="G91" t="s">
        <v>677</v>
      </c>
      <c r="H91">
        <v>10453</v>
      </c>
      <c r="I91" t="s">
        <v>683</v>
      </c>
      <c r="L91" t="s">
        <v>738</v>
      </c>
      <c r="O91">
        <v>690</v>
      </c>
      <c r="R91" t="s">
        <v>2968</v>
      </c>
      <c r="T91" t="s">
        <v>3319</v>
      </c>
      <c r="U91">
        <v>0</v>
      </c>
      <c r="X91">
        <v>40</v>
      </c>
      <c r="Y91">
        <v>1</v>
      </c>
      <c r="Z91">
        <v>0</v>
      </c>
      <c r="AA91">
        <v>84.36</v>
      </c>
      <c r="AD91" t="s">
        <v>1122</v>
      </c>
      <c r="AE91">
        <v>10536</v>
      </c>
      <c r="AF91" t="s">
        <v>1130</v>
      </c>
      <c r="AK91">
        <v>2</v>
      </c>
      <c r="AL91" t="s">
        <v>1214</v>
      </c>
      <c r="AM91" t="s">
        <v>61</v>
      </c>
      <c r="AO91" t="s">
        <v>1236</v>
      </c>
      <c r="AP91" t="s">
        <v>1241</v>
      </c>
      <c r="AR91" t="s">
        <v>683</v>
      </c>
      <c r="AT91" t="s">
        <v>3588</v>
      </c>
      <c r="AW91" t="s">
        <v>1282</v>
      </c>
    </row>
    <row r="92" spans="1:49">
      <c r="A92" s="1">
        <f>HYPERLINK("https://lsnyc.legalserver.org/matter/dynamic-profile/view/1905909","19-1905909")</f>
        <v>0</v>
      </c>
      <c r="B92" t="s">
        <v>90</v>
      </c>
      <c r="C92" t="s">
        <v>1831</v>
      </c>
      <c r="D92" t="s">
        <v>2032</v>
      </c>
      <c r="E92" t="s">
        <v>2287</v>
      </c>
      <c r="F92" t="s">
        <v>2537</v>
      </c>
      <c r="G92" t="s">
        <v>677</v>
      </c>
      <c r="H92">
        <v>10453</v>
      </c>
      <c r="I92" t="s">
        <v>682</v>
      </c>
      <c r="J92" t="s">
        <v>2675</v>
      </c>
      <c r="L92" t="s">
        <v>738</v>
      </c>
      <c r="O92">
        <v>628</v>
      </c>
      <c r="P92" t="s">
        <v>753</v>
      </c>
      <c r="R92" t="s">
        <v>2969</v>
      </c>
      <c r="T92" t="s">
        <v>3320</v>
      </c>
      <c r="U92">
        <v>0</v>
      </c>
      <c r="V92" t="s">
        <v>1106</v>
      </c>
      <c r="W92" t="s">
        <v>748</v>
      </c>
      <c r="X92">
        <v>10</v>
      </c>
      <c r="Y92">
        <v>1</v>
      </c>
      <c r="Z92">
        <v>0</v>
      </c>
      <c r="AA92">
        <v>84.36</v>
      </c>
      <c r="AD92" t="s">
        <v>1122</v>
      </c>
      <c r="AE92">
        <v>10536</v>
      </c>
      <c r="AK92">
        <v>0</v>
      </c>
      <c r="AM92" t="s">
        <v>1231</v>
      </c>
      <c r="AO92" t="s">
        <v>1236</v>
      </c>
      <c r="AP92" t="s">
        <v>1179</v>
      </c>
      <c r="AR92" t="s">
        <v>683</v>
      </c>
      <c r="AT92" t="s">
        <v>3588</v>
      </c>
      <c r="AU92" t="s">
        <v>684</v>
      </c>
      <c r="AW92" t="s">
        <v>1282</v>
      </c>
    </row>
    <row r="93" spans="1:49">
      <c r="A93" s="1">
        <f>HYPERLINK("https://lsnyc.legalserver.org/matter/dynamic-profile/view/1897254","19-1897254")</f>
        <v>0</v>
      </c>
      <c r="B93" t="s">
        <v>61</v>
      </c>
      <c r="C93" t="s">
        <v>298</v>
      </c>
      <c r="D93" t="s">
        <v>2064</v>
      </c>
      <c r="E93" t="s">
        <v>2313</v>
      </c>
      <c r="F93" t="s">
        <v>1510</v>
      </c>
      <c r="G93" t="s">
        <v>677</v>
      </c>
      <c r="H93">
        <v>10454</v>
      </c>
      <c r="I93" t="s">
        <v>682</v>
      </c>
      <c r="J93" t="s">
        <v>2676</v>
      </c>
      <c r="L93" t="s">
        <v>738</v>
      </c>
      <c r="O93">
        <v>236</v>
      </c>
      <c r="P93" t="s">
        <v>753</v>
      </c>
      <c r="R93" t="s">
        <v>2970</v>
      </c>
      <c r="T93" t="s">
        <v>3321</v>
      </c>
      <c r="U93">
        <v>0</v>
      </c>
      <c r="V93" t="s">
        <v>1112</v>
      </c>
      <c r="X93">
        <v>6</v>
      </c>
      <c r="Y93">
        <v>1</v>
      </c>
      <c r="Z93">
        <v>0</v>
      </c>
      <c r="AA93">
        <v>0</v>
      </c>
      <c r="AD93" t="s">
        <v>1122</v>
      </c>
      <c r="AE93">
        <v>0</v>
      </c>
      <c r="AF93" t="s">
        <v>3530</v>
      </c>
      <c r="AK93">
        <v>0.7</v>
      </c>
      <c r="AL93" t="s">
        <v>1745</v>
      </c>
      <c r="AM93" t="s">
        <v>1215</v>
      </c>
      <c r="AO93" t="s">
        <v>1236</v>
      </c>
      <c r="AP93" t="s">
        <v>3580</v>
      </c>
      <c r="AR93" t="s">
        <v>684</v>
      </c>
      <c r="AT93" t="s">
        <v>3588</v>
      </c>
      <c r="AW93" t="s">
        <v>1282</v>
      </c>
    </row>
    <row r="94" spans="1:49">
      <c r="A94" s="1">
        <f>HYPERLINK("https://lsnyc.legalserver.org/matter/dynamic-profile/view/1905500","19-1905500")</f>
        <v>0</v>
      </c>
      <c r="B94" t="s">
        <v>90</v>
      </c>
      <c r="C94" t="s">
        <v>209</v>
      </c>
      <c r="D94" t="s">
        <v>2065</v>
      </c>
      <c r="E94" t="s">
        <v>2314</v>
      </c>
      <c r="F94" t="s">
        <v>1518</v>
      </c>
      <c r="G94" t="s">
        <v>677</v>
      </c>
      <c r="H94">
        <v>10466</v>
      </c>
      <c r="I94" t="s">
        <v>682</v>
      </c>
      <c r="J94" t="s">
        <v>2677</v>
      </c>
      <c r="L94" t="s">
        <v>738</v>
      </c>
      <c r="M94" t="s">
        <v>744</v>
      </c>
      <c r="O94">
        <v>1398.51</v>
      </c>
      <c r="P94" t="s">
        <v>753</v>
      </c>
      <c r="R94" t="s">
        <v>2971</v>
      </c>
      <c r="T94" t="s">
        <v>3322</v>
      </c>
      <c r="U94">
        <v>50</v>
      </c>
      <c r="V94" t="s">
        <v>1102</v>
      </c>
      <c r="X94">
        <v>17</v>
      </c>
      <c r="Y94">
        <v>3</v>
      </c>
      <c r="Z94">
        <v>1</v>
      </c>
      <c r="AA94">
        <v>134.21</v>
      </c>
      <c r="AD94" t="s">
        <v>1122</v>
      </c>
      <c r="AE94">
        <v>34560</v>
      </c>
      <c r="AK94">
        <v>0</v>
      </c>
      <c r="AM94" t="s">
        <v>77</v>
      </c>
      <c r="AN94" t="s">
        <v>1233</v>
      </c>
      <c r="AO94" t="s">
        <v>1236</v>
      </c>
      <c r="AP94" t="s">
        <v>1169</v>
      </c>
      <c r="AR94" t="s">
        <v>683</v>
      </c>
      <c r="AT94" t="s">
        <v>3588</v>
      </c>
      <c r="AW94" t="s">
        <v>1282</v>
      </c>
    </row>
    <row r="95" spans="1:49">
      <c r="A95" s="1">
        <f>HYPERLINK("https://lsnyc.legalserver.org/matter/dynamic-profile/view/1898364","19-1898364")</f>
        <v>0</v>
      </c>
      <c r="B95" t="s">
        <v>1760</v>
      </c>
      <c r="C95" t="s">
        <v>1832</v>
      </c>
      <c r="D95" t="s">
        <v>2066</v>
      </c>
      <c r="E95" t="s">
        <v>2315</v>
      </c>
      <c r="F95" t="s">
        <v>666</v>
      </c>
      <c r="G95" t="s">
        <v>677</v>
      </c>
      <c r="H95">
        <v>10458</v>
      </c>
      <c r="I95" t="s">
        <v>682</v>
      </c>
      <c r="J95" t="s">
        <v>2678</v>
      </c>
      <c r="L95" t="s">
        <v>738</v>
      </c>
      <c r="O95">
        <v>2225</v>
      </c>
      <c r="R95" t="s">
        <v>2972</v>
      </c>
      <c r="T95" t="s">
        <v>3323</v>
      </c>
      <c r="U95">
        <v>0</v>
      </c>
      <c r="V95" t="s">
        <v>1112</v>
      </c>
      <c r="W95" t="s">
        <v>1115</v>
      </c>
      <c r="X95">
        <v>1</v>
      </c>
      <c r="Y95">
        <v>1</v>
      </c>
      <c r="Z95">
        <v>4</v>
      </c>
      <c r="AA95">
        <v>103.41</v>
      </c>
      <c r="AD95" t="s">
        <v>1122</v>
      </c>
      <c r="AE95">
        <v>31200</v>
      </c>
      <c r="AK95">
        <v>1.1</v>
      </c>
      <c r="AL95" t="s">
        <v>1238</v>
      </c>
      <c r="AM95" t="s">
        <v>61</v>
      </c>
      <c r="AO95" t="s">
        <v>1236</v>
      </c>
      <c r="AP95" t="s">
        <v>1245</v>
      </c>
      <c r="AR95" t="s">
        <v>682</v>
      </c>
      <c r="AT95" t="s">
        <v>3588</v>
      </c>
      <c r="AW95" t="s">
        <v>1282</v>
      </c>
    </row>
    <row r="96" spans="1:49">
      <c r="A96" s="1">
        <f>HYPERLINK("https://lsnyc.legalserver.org/matter/dynamic-profile/view/1901903","19-1901903")</f>
        <v>0</v>
      </c>
      <c r="B96" t="s">
        <v>89</v>
      </c>
      <c r="C96" t="s">
        <v>1833</v>
      </c>
      <c r="D96" t="s">
        <v>2067</v>
      </c>
      <c r="E96" t="s">
        <v>2316</v>
      </c>
      <c r="F96">
        <v>614</v>
      </c>
      <c r="G96" t="s">
        <v>677</v>
      </c>
      <c r="H96">
        <v>10473</v>
      </c>
      <c r="I96" t="s">
        <v>682</v>
      </c>
      <c r="L96" t="s">
        <v>738</v>
      </c>
      <c r="O96">
        <v>12000</v>
      </c>
      <c r="R96" t="s">
        <v>2973</v>
      </c>
      <c r="U96">
        <v>0</v>
      </c>
      <c r="X96">
        <v>3</v>
      </c>
      <c r="Y96">
        <v>1</v>
      </c>
      <c r="Z96">
        <v>2</v>
      </c>
      <c r="AA96">
        <v>150.02</v>
      </c>
      <c r="AD96" t="s">
        <v>1122</v>
      </c>
      <c r="AE96">
        <v>32000</v>
      </c>
      <c r="AF96" t="s">
        <v>1130</v>
      </c>
      <c r="AK96">
        <v>0.3</v>
      </c>
      <c r="AL96" t="s">
        <v>3581</v>
      </c>
      <c r="AM96" t="s">
        <v>77</v>
      </c>
      <c r="AN96" t="s">
        <v>1233</v>
      </c>
      <c r="AO96" t="s">
        <v>1236</v>
      </c>
      <c r="AP96" t="s">
        <v>1241</v>
      </c>
      <c r="AR96" t="s">
        <v>683</v>
      </c>
      <c r="AT96" t="s">
        <v>3588</v>
      </c>
      <c r="AW96" t="s">
        <v>1282</v>
      </c>
    </row>
    <row r="97" spans="1:49">
      <c r="A97" s="1">
        <f>HYPERLINK("https://lsnyc.legalserver.org/matter/dynamic-profile/view/1901597","19-1901597")</f>
        <v>0</v>
      </c>
      <c r="B97" t="s">
        <v>88</v>
      </c>
      <c r="C97" t="s">
        <v>1834</v>
      </c>
      <c r="D97" t="s">
        <v>371</v>
      </c>
      <c r="E97" t="s">
        <v>2317</v>
      </c>
      <c r="F97" t="s">
        <v>609</v>
      </c>
      <c r="G97" t="s">
        <v>677</v>
      </c>
      <c r="H97">
        <v>10453</v>
      </c>
      <c r="I97" t="s">
        <v>683</v>
      </c>
      <c r="L97" t="s">
        <v>738</v>
      </c>
      <c r="O97">
        <v>0</v>
      </c>
      <c r="R97" t="s">
        <v>2974</v>
      </c>
      <c r="U97">
        <v>0</v>
      </c>
      <c r="X97">
        <v>0</v>
      </c>
      <c r="Y97">
        <v>2</v>
      </c>
      <c r="Z97">
        <v>0</v>
      </c>
      <c r="AA97">
        <v>0</v>
      </c>
      <c r="AD97" t="s">
        <v>1122</v>
      </c>
      <c r="AE97">
        <v>0</v>
      </c>
      <c r="AF97" t="s">
        <v>1139</v>
      </c>
      <c r="AK97">
        <v>0</v>
      </c>
      <c r="AM97" t="s">
        <v>61</v>
      </c>
      <c r="AO97" t="s">
        <v>1236</v>
      </c>
      <c r="AP97" t="s">
        <v>1209</v>
      </c>
      <c r="AR97" t="s">
        <v>683</v>
      </c>
      <c r="AT97" t="s">
        <v>3588</v>
      </c>
      <c r="AW97" t="s">
        <v>1282</v>
      </c>
    </row>
    <row r="98" spans="1:49">
      <c r="A98" s="1">
        <f>HYPERLINK("https://lsnyc.legalserver.org/matter/dynamic-profile/view/1901315","19-1901315")</f>
        <v>0</v>
      </c>
      <c r="B98" t="s">
        <v>92</v>
      </c>
      <c r="C98" t="s">
        <v>1835</v>
      </c>
      <c r="D98" t="s">
        <v>264</v>
      </c>
      <c r="E98" t="s">
        <v>2318</v>
      </c>
      <c r="G98" t="s">
        <v>677</v>
      </c>
      <c r="H98">
        <v>10458</v>
      </c>
      <c r="I98" t="s">
        <v>682</v>
      </c>
      <c r="L98" t="s">
        <v>738</v>
      </c>
      <c r="O98">
        <v>0</v>
      </c>
      <c r="R98" t="s">
        <v>2975</v>
      </c>
      <c r="U98">
        <v>0</v>
      </c>
      <c r="X98">
        <v>0</v>
      </c>
      <c r="Y98">
        <v>1</v>
      </c>
      <c r="Z98">
        <v>3</v>
      </c>
      <c r="AA98">
        <v>118.94</v>
      </c>
      <c r="AD98" t="s">
        <v>1122</v>
      </c>
      <c r="AE98">
        <v>30628</v>
      </c>
      <c r="AF98" t="s">
        <v>3543</v>
      </c>
      <c r="AK98">
        <v>0</v>
      </c>
      <c r="AM98" t="s">
        <v>61</v>
      </c>
      <c r="AN98" t="s">
        <v>1233</v>
      </c>
      <c r="AO98" t="s">
        <v>1236</v>
      </c>
      <c r="AP98" t="s">
        <v>1189</v>
      </c>
      <c r="AR98" t="s">
        <v>683</v>
      </c>
      <c r="AT98" t="s">
        <v>3588</v>
      </c>
      <c r="AW98" t="s">
        <v>1282</v>
      </c>
    </row>
    <row r="99" spans="1:49">
      <c r="A99" s="1">
        <f>HYPERLINK("https://lsnyc.legalserver.org/matter/dynamic-profile/view/1903729","19-1903729")</f>
        <v>0</v>
      </c>
      <c r="B99" t="s">
        <v>49</v>
      </c>
      <c r="C99" t="s">
        <v>1836</v>
      </c>
      <c r="D99" t="s">
        <v>1367</v>
      </c>
      <c r="E99" t="s">
        <v>2319</v>
      </c>
      <c r="F99" t="s">
        <v>2538</v>
      </c>
      <c r="G99" t="s">
        <v>677</v>
      </c>
      <c r="H99">
        <v>10451</v>
      </c>
      <c r="I99" t="s">
        <v>682</v>
      </c>
      <c r="J99" t="s">
        <v>2679</v>
      </c>
      <c r="K99" t="s">
        <v>730</v>
      </c>
      <c r="L99" t="s">
        <v>739</v>
      </c>
      <c r="M99" t="s">
        <v>743</v>
      </c>
      <c r="O99">
        <v>0</v>
      </c>
      <c r="P99" t="s">
        <v>753</v>
      </c>
      <c r="R99" t="s">
        <v>2976</v>
      </c>
      <c r="T99" t="s">
        <v>3324</v>
      </c>
      <c r="U99">
        <v>7</v>
      </c>
      <c r="V99" t="s">
        <v>1102</v>
      </c>
      <c r="W99" t="s">
        <v>1116</v>
      </c>
      <c r="X99">
        <v>40</v>
      </c>
      <c r="Y99">
        <v>1</v>
      </c>
      <c r="Z99">
        <v>0</v>
      </c>
      <c r="AA99">
        <v>0</v>
      </c>
      <c r="AD99" t="s">
        <v>1123</v>
      </c>
      <c r="AE99">
        <v>0</v>
      </c>
      <c r="AK99">
        <v>1.8</v>
      </c>
      <c r="AL99" t="s">
        <v>1175</v>
      </c>
      <c r="AM99" t="s">
        <v>1215</v>
      </c>
      <c r="AN99" t="s">
        <v>1233</v>
      </c>
      <c r="AO99" t="s">
        <v>1236</v>
      </c>
      <c r="AP99" t="s">
        <v>1163</v>
      </c>
      <c r="AR99" t="s">
        <v>683</v>
      </c>
      <c r="AT99" t="s">
        <v>3588</v>
      </c>
      <c r="AU99" t="s">
        <v>684</v>
      </c>
      <c r="AW99" t="s">
        <v>1282</v>
      </c>
    </row>
    <row r="100" spans="1:49">
      <c r="A100" s="1">
        <f>HYPERLINK("https://lsnyc.legalserver.org/matter/dynamic-profile/view/1898548","19-1898548")</f>
        <v>0</v>
      </c>
      <c r="B100" t="s">
        <v>78</v>
      </c>
      <c r="C100" t="s">
        <v>1837</v>
      </c>
      <c r="D100" t="s">
        <v>2068</v>
      </c>
      <c r="E100" t="s">
        <v>2320</v>
      </c>
      <c r="F100" t="s">
        <v>2539</v>
      </c>
      <c r="G100" t="s">
        <v>677</v>
      </c>
      <c r="H100">
        <v>10473</v>
      </c>
      <c r="I100" t="s">
        <v>682</v>
      </c>
      <c r="K100" t="s">
        <v>731</v>
      </c>
      <c r="L100" t="s">
        <v>739</v>
      </c>
      <c r="O100">
        <v>286</v>
      </c>
      <c r="P100" t="s">
        <v>748</v>
      </c>
      <c r="R100" t="s">
        <v>2977</v>
      </c>
      <c r="T100" t="s">
        <v>3325</v>
      </c>
      <c r="U100">
        <v>0</v>
      </c>
      <c r="V100" t="s">
        <v>1112</v>
      </c>
      <c r="X100">
        <v>7</v>
      </c>
      <c r="Y100">
        <v>1</v>
      </c>
      <c r="Z100">
        <v>0</v>
      </c>
      <c r="AA100">
        <v>98.95999999999999</v>
      </c>
      <c r="AD100" t="s">
        <v>1123</v>
      </c>
      <c r="AE100">
        <v>12360</v>
      </c>
      <c r="AF100" t="s">
        <v>3545</v>
      </c>
      <c r="AK100">
        <v>9.800000000000001</v>
      </c>
      <c r="AL100" t="s">
        <v>1160</v>
      </c>
      <c r="AM100" t="s">
        <v>78</v>
      </c>
      <c r="AO100" t="s">
        <v>1236</v>
      </c>
      <c r="AP100" t="s">
        <v>1204</v>
      </c>
      <c r="AR100" t="s">
        <v>684</v>
      </c>
      <c r="AT100" t="s">
        <v>3588</v>
      </c>
      <c r="AU100" t="s">
        <v>684</v>
      </c>
      <c r="AW100" t="s">
        <v>1281</v>
      </c>
    </row>
    <row r="101" spans="1:49">
      <c r="A101" s="1">
        <f>HYPERLINK("https://lsnyc.legalserver.org/matter/dynamic-profile/view/1897789","19-1897789")</f>
        <v>0</v>
      </c>
      <c r="B101" t="s">
        <v>1753</v>
      </c>
      <c r="C101" t="s">
        <v>1838</v>
      </c>
      <c r="D101" t="s">
        <v>307</v>
      </c>
      <c r="E101" t="s">
        <v>2321</v>
      </c>
      <c r="F101" t="s">
        <v>2540</v>
      </c>
      <c r="G101" t="s">
        <v>677</v>
      </c>
      <c r="H101">
        <v>10454</v>
      </c>
      <c r="I101" t="s">
        <v>683</v>
      </c>
      <c r="J101" t="s">
        <v>2680</v>
      </c>
      <c r="K101" t="s">
        <v>730</v>
      </c>
      <c r="L101" t="s">
        <v>741</v>
      </c>
      <c r="M101" t="s">
        <v>744</v>
      </c>
      <c r="O101">
        <v>0</v>
      </c>
      <c r="P101" t="s">
        <v>752</v>
      </c>
      <c r="R101" t="s">
        <v>2978</v>
      </c>
      <c r="S101" t="s">
        <v>3196</v>
      </c>
      <c r="T101" t="s">
        <v>3326</v>
      </c>
      <c r="U101">
        <v>74</v>
      </c>
      <c r="W101" t="s">
        <v>1120</v>
      </c>
      <c r="X101">
        <v>11</v>
      </c>
      <c r="Y101">
        <v>2</v>
      </c>
      <c r="Z101">
        <v>2</v>
      </c>
      <c r="AA101">
        <v>18.92</v>
      </c>
      <c r="AD101" t="s">
        <v>1122</v>
      </c>
      <c r="AE101">
        <v>4870.8</v>
      </c>
      <c r="AF101" t="s">
        <v>3546</v>
      </c>
      <c r="AK101">
        <v>8.050000000000001</v>
      </c>
      <c r="AL101" t="s">
        <v>1209</v>
      </c>
      <c r="AM101" t="s">
        <v>1229</v>
      </c>
      <c r="AN101" t="s">
        <v>1234</v>
      </c>
      <c r="AO101" t="s">
        <v>1236</v>
      </c>
      <c r="AP101" t="s">
        <v>1255</v>
      </c>
      <c r="AR101" t="s">
        <v>683</v>
      </c>
      <c r="AT101" t="s">
        <v>3588</v>
      </c>
      <c r="AU101" t="s">
        <v>684</v>
      </c>
      <c r="AW101" t="s">
        <v>1282</v>
      </c>
    </row>
    <row r="102" spans="1:49">
      <c r="A102" s="1">
        <f>HYPERLINK("https://lsnyc.legalserver.org/matter/dynamic-profile/view/1895469","19-1895469")</f>
        <v>0</v>
      </c>
      <c r="B102" t="s">
        <v>93</v>
      </c>
      <c r="C102" t="s">
        <v>1302</v>
      </c>
      <c r="D102" t="s">
        <v>2046</v>
      </c>
      <c r="E102" t="s">
        <v>2287</v>
      </c>
      <c r="F102" t="s">
        <v>2541</v>
      </c>
      <c r="G102" t="s">
        <v>677</v>
      </c>
      <c r="H102">
        <v>10453</v>
      </c>
      <c r="I102" t="s">
        <v>682</v>
      </c>
      <c r="J102" t="s">
        <v>2681</v>
      </c>
      <c r="K102" t="s">
        <v>733</v>
      </c>
      <c r="L102" t="s">
        <v>741</v>
      </c>
      <c r="M102" t="s">
        <v>744</v>
      </c>
      <c r="O102">
        <v>1174</v>
      </c>
      <c r="P102" t="s">
        <v>753</v>
      </c>
      <c r="R102" t="s">
        <v>2979</v>
      </c>
      <c r="T102" t="s">
        <v>3327</v>
      </c>
      <c r="U102">
        <v>43</v>
      </c>
      <c r="V102" t="s">
        <v>1105</v>
      </c>
      <c r="X102">
        <v>0</v>
      </c>
      <c r="Y102">
        <v>1</v>
      </c>
      <c r="Z102">
        <v>1</v>
      </c>
      <c r="AA102">
        <v>105.31</v>
      </c>
      <c r="AD102" t="s">
        <v>1122</v>
      </c>
      <c r="AE102">
        <v>17808</v>
      </c>
      <c r="AK102">
        <v>2</v>
      </c>
      <c r="AL102" t="s">
        <v>1180</v>
      </c>
      <c r="AM102" t="s">
        <v>3584</v>
      </c>
      <c r="AO102" t="s">
        <v>1236</v>
      </c>
      <c r="AP102" t="s">
        <v>1186</v>
      </c>
      <c r="AR102" t="s">
        <v>682</v>
      </c>
      <c r="AT102" t="s">
        <v>3588</v>
      </c>
      <c r="AW102" t="s">
        <v>1282</v>
      </c>
    </row>
    <row r="103" spans="1:49">
      <c r="A103" s="1">
        <f>HYPERLINK("https://lsnyc.legalserver.org/matter/dynamic-profile/view/1905501","19-1905501")</f>
        <v>0</v>
      </c>
      <c r="B103" t="s">
        <v>1753</v>
      </c>
      <c r="C103" t="s">
        <v>1839</v>
      </c>
      <c r="D103" t="s">
        <v>2069</v>
      </c>
      <c r="E103" t="s">
        <v>2322</v>
      </c>
      <c r="F103" t="s">
        <v>2542</v>
      </c>
      <c r="G103" t="s">
        <v>677</v>
      </c>
      <c r="H103">
        <v>10460</v>
      </c>
      <c r="I103" t="s">
        <v>682</v>
      </c>
      <c r="J103" t="s">
        <v>2682</v>
      </c>
      <c r="K103" t="s">
        <v>732</v>
      </c>
      <c r="L103" t="s">
        <v>741</v>
      </c>
      <c r="M103" t="s">
        <v>1562</v>
      </c>
      <c r="O103">
        <v>710</v>
      </c>
      <c r="P103" t="s">
        <v>753</v>
      </c>
      <c r="R103" t="s">
        <v>2980</v>
      </c>
      <c r="T103" t="s">
        <v>3328</v>
      </c>
      <c r="U103">
        <v>0</v>
      </c>
      <c r="V103" t="s">
        <v>1106</v>
      </c>
      <c r="X103">
        <v>4</v>
      </c>
      <c r="Y103">
        <v>1</v>
      </c>
      <c r="Z103">
        <v>2</v>
      </c>
      <c r="AA103">
        <v>17.44</v>
      </c>
      <c r="AD103" t="s">
        <v>1122</v>
      </c>
      <c r="AE103">
        <v>3720</v>
      </c>
      <c r="AK103">
        <v>0.7</v>
      </c>
      <c r="AL103" t="s">
        <v>1170</v>
      </c>
      <c r="AM103" t="s">
        <v>61</v>
      </c>
      <c r="AN103" t="s">
        <v>1233</v>
      </c>
      <c r="AO103" t="s">
        <v>1236</v>
      </c>
      <c r="AP103" t="s">
        <v>1169</v>
      </c>
      <c r="AR103" t="s">
        <v>683</v>
      </c>
      <c r="AT103" t="s">
        <v>3588</v>
      </c>
      <c r="AW103" t="s">
        <v>1282</v>
      </c>
    </row>
    <row r="104" spans="1:49">
      <c r="A104" s="1">
        <f>HYPERLINK("https://lsnyc.legalserver.org/matter/dynamic-profile/view/1900986","19-1900986")</f>
        <v>0</v>
      </c>
      <c r="B104" t="s">
        <v>96</v>
      </c>
      <c r="C104" t="s">
        <v>1840</v>
      </c>
      <c r="D104" t="s">
        <v>346</v>
      </c>
      <c r="E104" t="s">
        <v>2323</v>
      </c>
      <c r="F104" t="s">
        <v>1530</v>
      </c>
      <c r="G104" t="s">
        <v>677</v>
      </c>
      <c r="H104">
        <v>10472</v>
      </c>
      <c r="I104" t="s">
        <v>682</v>
      </c>
      <c r="J104" t="s">
        <v>2683</v>
      </c>
      <c r="K104" t="s">
        <v>732</v>
      </c>
      <c r="L104" t="s">
        <v>741</v>
      </c>
      <c r="O104">
        <v>896</v>
      </c>
      <c r="P104" t="s">
        <v>756</v>
      </c>
      <c r="R104" t="s">
        <v>2981</v>
      </c>
      <c r="T104" t="s">
        <v>3329</v>
      </c>
      <c r="U104">
        <v>594</v>
      </c>
      <c r="W104" t="s">
        <v>1115</v>
      </c>
      <c r="X104">
        <v>10</v>
      </c>
      <c r="Y104">
        <v>2</v>
      </c>
      <c r="Z104">
        <v>0</v>
      </c>
      <c r="AA104">
        <v>146.68</v>
      </c>
      <c r="AD104" t="s">
        <v>1122</v>
      </c>
      <c r="AE104">
        <v>24804</v>
      </c>
      <c r="AK104">
        <v>6.2</v>
      </c>
      <c r="AL104" t="s">
        <v>1157</v>
      </c>
      <c r="AM104" t="s">
        <v>1231</v>
      </c>
      <c r="AN104" t="s">
        <v>1233</v>
      </c>
      <c r="AO104" t="s">
        <v>1236</v>
      </c>
      <c r="AP104" t="s">
        <v>1171</v>
      </c>
      <c r="AR104" t="s">
        <v>683</v>
      </c>
      <c r="AT104" t="s">
        <v>3588</v>
      </c>
      <c r="AU104" t="s">
        <v>684</v>
      </c>
      <c r="AW104" t="s">
        <v>1282</v>
      </c>
    </row>
    <row r="105" spans="1:49">
      <c r="A105" s="1">
        <f>HYPERLINK("https://lsnyc.legalserver.org/matter/dynamic-profile/view/1905893","19-1905893")</f>
        <v>0</v>
      </c>
      <c r="B105" t="s">
        <v>1753</v>
      </c>
      <c r="C105" t="s">
        <v>1841</v>
      </c>
      <c r="D105" t="s">
        <v>2070</v>
      </c>
      <c r="E105" t="s">
        <v>2324</v>
      </c>
      <c r="F105" t="s">
        <v>2543</v>
      </c>
      <c r="G105" t="s">
        <v>677</v>
      </c>
      <c r="H105">
        <v>10459</v>
      </c>
      <c r="I105" t="s">
        <v>682</v>
      </c>
      <c r="J105" t="s">
        <v>2684</v>
      </c>
      <c r="K105" t="s">
        <v>732</v>
      </c>
      <c r="L105" t="s">
        <v>741</v>
      </c>
      <c r="O105">
        <v>1532</v>
      </c>
      <c r="P105" t="s">
        <v>757</v>
      </c>
      <c r="R105" t="s">
        <v>2923</v>
      </c>
      <c r="T105" t="s">
        <v>3330</v>
      </c>
      <c r="U105">
        <v>0</v>
      </c>
      <c r="V105" t="s">
        <v>1102</v>
      </c>
      <c r="W105" t="s">
        <v>1115</v>
      </c>
      <c r="X105">
        <v>9</v>
      </c>
      <c r="Y105">
        <v>1</v>
      </c>
      <c r="Z105">
        <v>1</v>
      </c>
      <c r="AA105">
        <v>165.58</v>
      </c>
      <c r="AD105" t="s">
        <v>1122</v>
      </c>
      <c r="AE105">
        <v>28000</v>
      </c>
      <c r="AK105">
        <v>0.5</v>
      </c>
      <c r="AL105" t="s">
        <v>1170</v>
      </c>
      <c r="AM105" t="s">
        <v>1231</v>
      </c>
      <c r="AO105" t="s">
        <v>1236</v>
      </c>
      <c r="AP105" t="s">
        <v>1179</v>
      </c>
      <c r="AR105" t="s">
        <v>683</v>
      </c>
      <c r="AT105" t="s">
        <v>3588</v>
      </c>
      <c r="AU105" t="s">
        <v>684</v>
      </c>
      <c r="AW105" t="s">
        <v>1282</v>
      </c>
    </row>
    <row r="106" spans="1:49">
      <c r="A106" s="1">
        <f>HYPERLINK("https://lsnyc.legalserver.org/matter/dynamic-profile/view/1900171","19-1900171")</f>
        <v>0</v>
      </c>
      <c r="B106" t="s">
        <v>71</v>
      </c>
      <c r="C106" t="s">
        <v>1842</v>
      </c>
      <c r="D106" t="s">
        <v>2071</v>
      </c>
      <c r="E106" t="s">
        <v>2325</v>
      </c>
      <c r="F106" t="s">
        <v>659</v>
      </c>
      <c r="G106" t="s">
        <v>677</v>
      </c>
      <c r="H106">
        <v>10472</v>
      </c>
      <c r="I106" t="s">
        <v>682</v>
      </c>
      <c r="J106" t="s">
        <v>2685</v>
      </c>
      <c r="K106" t="s">
        <v>732</v>
      </c>
      <c r="L106" t="s">
        <v>741</v>
      </c>
      <c r="M106" t="s">
        <v>743</v>
      </c>
      <c r="O106">
        <v>1350</v>
      </c>
      <c r="R106" t="s">
        <v>2982</v>
      </c>
      <c r="T106" t="s">
        <v>3331</v>
      </c>
      <c r="U106">
        <v>46</v>
      </c>
      <c r="V106" t="s">
        <v>1102</v>
      </c>
      <c r="W106" t="s">
        <v>1116</v>
      </c>
      <c r="X106">
        <v>6</v>
      </c>
      <c r="Y106">
        <v>3</v>
      </c>
      <c r="Z106">
        <v>0</v>
      </c>
      <c r="AA106">
        <v>91.03</v>
      </c>
      <c r="AD106" t="s">
        <v>3519</v>
      </c>
      <c r="AE106">
        <v>19417</v>
      </c>
      <c r="AK106">
        <v>5</v>
      </c>
      <c r="AL106" t="s">
        <v>1194</v>
      </c>
      <c r="AM106" t="s">
        <v>77</v>
      </c>
      <c r="AN106" t="s">
        <v>1233</v>
      </c>
      <c r="AO106" t="s">
        <v>1236</v>
      </c>
      <c r="AP106" t="s">
        <v>1164</v>
      </c>
      <c r="AR106" t="s">
        <v>683</v>
      </c>
      <c r="AT106" t="s">
        <v>3588</v>
      </c>
      <c r="AU106" t="s">
        <v>684</v>
      </c>
      <c r="AW106" t="s">
        <v>1282</v>
      </c>
    </row>
    <row r="107" spans="1:49">
      <c r="A107" s="1">
        <f>HYPERLINK("https://lsnyc.legalserver.org/matter/dynamic-profile/view/1905427","19-1905427")</f>
        <v>0</v>
      </c>
      <c r="B107" t="s">
        <v>89</v>
      </c>
      <c r="C107" t="s">
        <v>1320</v>
      </c>
      <c r="D107" t="s">
        <v>2072</v>
      </c>
      <c r="E107" t="s">
        <v>2326</v>
      </c>
      <c r="F107">
        <v>43</v>
      </c>
      <c r="G107" t="s">
        <v>677</v>
      </c>
      <c r="H107">
        <v>10458</v>
      </c>
      <c r="I107" t="s">
        <v>682</v>
      </c>
      <c r="J107" t="s">
        <v>2686</v>
      </c>
      <c r="K107" t="s">
        <v>732</v>
      </c>
      <c r="L107" t="s">
        <v>741</v>
      </c>
      <c r="O107">
        <v>1139.04</v>
      </c>
      <c r="R107" t="s">
        <v>2983</v>
      </c>
      <c r="T107" t="s">
        <v>3332</v>
      </c>
      <c r="U107">
        <v>0</v>
      </c>
      <c r="X107">
        <v>6</v>
      </c>
      <c r="Y107">
        <v>1</v>
      </c>
      <c r="Z107">
        <v>2</v>
      </c>
      <c r="AA107">
        <v>95.64</v>
      </c>
      <c r="AD107" t="s">
        <v>1123</v>
      </c>
      <c r="AE107">
        <v>20400</v>
      </c>
      <c r="AK107">
        <v>0</v>
      </c>
      <c r="AM107" t="s">
        <v>61</v>
      </c>
      <c r="AN107" t="s">
        <v>1233</v>
      </c>
      <c r="AO107" t="s">
        <v>1236</v>
      </c>
      <c r="AP107" t="s">
        <v>1169</v>
      </c>
      <c r="AR107" t="s">
        <v>683</v>
      </c>
      <c r="AT107" t="s">
        <v>3588</v>
      </c>
      <c r="AW107" t="s">
        <v>1282</v>
      </c>
    </row>
    <row r="108" spans="1:49">
      <c r="A108" s="1">
        <f>HYPERLINK("https://lsnyc.legalserver.org/matter/dynamic-profile/view/1906048","19-1906048")</f>
        <v>0</v>
      </c>
      <c r="B108" t="s">
        <v>1753</v>
      </c>
      <c r="C108" t="s">
        <v>239</v>
      </c>
      <c r="D108" t="s">
        <v>397</v>
      </c>
      <c r="E108" t="s">
        <v>562</v>
      </c>
      <c r="F108" t="s">
        <v>661</v>
      </c>
      <c r="G108" t="s">
        <v>677</v>
      </c>
      <c r="H108">
        <v>10452</v>
      </c>
      <c r="I108" t="s">
        <v>683</v>
      </c>
      <c r="L108" t="s">
        <v>741</v>
      </c>
      <c r="O108">
        <v>983</v>
      </c>
      <c r="P108" t="s">
        <v>752</v>
      </c>
      <c r="R108" t="s">
        <v>909</v>
      </c>
      <c r="T108" t="s">
        <v>1074</v>
      </c>
      <c r="U108">
        <v>68</v>
      </c>
      <c r="V108" t="s">
        <v>1102</v>
      </c>
      <c r="W108" t="s">
        <v>1116</v>
      </c>
      <c r="X108">
        <v>40</v>
      </c>
      <c r="Y108">
        <v>1</v>
      </c>
      <c r="Z108">
        <v>0</v>
      </c>
      <c r="AA108">
        <v>124.9</v>
      </c>
      <c r="AD108" t="s">
        <v>1122</v>
      </c>
      <c r="AE108">
        <v>15600</v>
      </c>
      <c r="AK108">
        <v>0.5</v>
      </c>
      <c r="AL108" t="s">
        <v>1170</v>
      </c>
      <c r="AM108" t="s">
        <v>1229</v>
      </c>
      <c r="AO108" t="s">
        <v>1236</v>
      </c>
      <c r="AP108" t="s">
        <v>1206</v>
      </c>
      <c r="AR108" t="s">
        <v>683</v>
      </c>
      <c r="AT108" t="s">
        <v>3588</v>
      </c>
      <c r="AW108" t="s">
        <v>1282</v>
      </c>
    </row>
    <row r="109" spans="1:49">
      <c r="A109" s="1">
        <f>HYPERLINK("https://lsnyc.legalserver.org/matter/dynamic-profile/view/1904022","19-1904022")</f>
        <v>0</v>
      </c>
      <c r="B109" t="s">
        <v>90</v>
      </c>
      <c r="C109" t="s">
        <v>1843</v>
      </c>
      <c r="D109" t="s">
        <v>2073</v>
      </c>
      <c r="E109" t="s">
        <v>2327</v>
      </c>
      <c r="F109" t="s">
        <v>1505</v>
      </c>
      <c r="G109" t="s">
        <v>677</v>
      </c>
      <c r="H109">
        <v>10466</v>
      </c>
      <c r="I109" t="s">
        <v>682</v>
      </c>
      <c r="L109" t="s">
        <v>741</v>
      </c>
      <c r="O109">
        <v>942</v>
      </c>
      <c r="R109" t="s">
        <v>2984</v>
      </c>
      <c r="U109">
        <v>120</v>
      </c>
      <c r="X109">
        <v>19</v>
      </c>
      <c r="Y109">
        <v>4</v>
      </c>
      <c r="Z109">
        <v>2</v>
      </c>
      <c r="AA109">
        <v>53.01</v>
      </c>
      <c r="AD109" t="s">
        <v>1122</v>
      </c>
      <c r="AE109">
        <v>18336</v>
      </c>
      <c r="AK109">
        <v>0.6</v>
      </c>
      <c r="AL109" t="s">
        <v>1170</v>
      </c>
      <c r="AM109" t="s">
        <v>77</v>
      </c>
      <c r="AN109" t="s">
        <v>1233</v>
      </c>
      <c r="AO109" t="s">
        <v>1236</v>
      </c>
      <c r="AP109" t="s">
        <v>1208</v>
      </c>
      <c r="AR109" t="s">
        <v>683</v>
      </c>
      <c r="AT109" t="s">
        <v>3588</v>
      </c>
      <c r="AW109" t="s">
        <v>1282</v>
      </c>
    </row>
    <row r="110" spans="1:49">
      <c r="A110" s="1">
        <f>HYPERLINK("https://lsnyc.legalserver.org/matter/dynamic-profile/view/1895780","19-1895780")</f>
        <v>0</v>
      </c>
      <c r="B110" t="s">
        <v>66</v>
      </c>
      <c r="C110" t="s">
        <v>1844</v>
      </c>
      <c r="D110" t="s">
        <v>367</v>
      </c>
      <c r="E110" t="s">
        <v>2328</v>
      </c>
      <c r="F110" t="s">
        <v>621</v>
      </c>
      <c r="G110" t="s">
        <v>677</v>
      </c>
      <c r="H110">
        <v>10455</v>
      </c>
      <c r="I110" t="s">
        <v>682</v>
      </c>
      <c r="J110" t="s">
        <v>2687</v>
      </c>
      <c r="K110" t="s">
        <v>2880</v>
      </c>
      <c r="L110" t="s">
        <v>1561</v>
      </c>
      <c r="O110">
        <v>218</v>
      </c>
      <c r="R110" t="s">
        <v>2985</v>
      </c>
      <c r="T110" t="s">
        <v>3333</v>
      </c>
      <c r="U110">
        <v>0</v>
      </c>
      <c r="V110" t="s">
        <v>1112</v>
      </c>
      <c r="W110" t="s">
        <v>1116</v>
      </c>
      <c r="X110">
        <v>0</v>
      </c>
      <c r="Y110">
        <v>1</v>
      </c>
      <c r="Z110">
        <v>0</v>
      </c>
      <c r="AA110">
        <v>74.08</v>
      </c>
      <c r="AD110" t="s">
        <v>1123</v>
      </c>
      <c r="AE110">
        <v>9252</v>
      </c>
      <c r="AF110" t="s">
        <v>3547</v>
      </c>
      <c r="AK110">
        <v>8.199999999999999</v>
      </c>
      <c r="AL110" t="s">
        <v>1213</v>
      </c>
      <c r="AM110" t="s">
        <v>66</v>
      </c>
      <c r="AO110" t="s">
        <v>1236</v>
      </c>
      <c r="AP110" t="s">
        <v>1243</v>
      </c>
      <c r="AR110" t="s">
        <v>682</v>
      </c>
      <c r="AT110" t="s">
        <v>3588</v>
      </c>
      <c r="AU110" t="s">
        <v>684</v>
      </c>
      <c r="AW110" t="s">
        <v>1283</v>
      </c>
    </row>
    <row r="111" spans="1:49">
      <c r="A111" s="1">
        <f>HYPERLINK("https://lsnyc.legalserver.org/matter/dynamic-profile/view/1904982","19-1904982")</f>
        <v>0</v>
      </c>
      <c r="B111" t="s">
        <v>1759</v>
      </c>
      <c r="C111" t="s">
        <v>1845</v>
      </c>
      <c r="D111" t="s">
        <v>2074</v>
      </c>
      <c r="E111" t="s">
        <v>2329</v>
      </c>
      <c r="F111">
        <v>2</v>
      </c>
      <c r="G111" t="s">
        <v>677</v>
      </c>
      <c r="H111">
        <v>10467</v>
      </c>
      <c r="I111" t="s">
        <v>682</v>
      </c>
      <c r="K111" t="s">
        <v>2881</v>
      </c>
      <c r="L111" t="s">
        <v>740</v>
      </c>
      <c r="M111" t="s">
        <v>744</v>
      </c>
      <c r="N111" t="s">
        <v>1207</v>
      </c>
      <c r="O111">
        <v>1545</v>
      </c>
      <c r="P111" t="s">
        <v>752</v>
      </c>
      <c r="R111" t="s">
        <v>2986</v>
      </c>
      <c r="T111" t="s">
        <v>3334</v>
      </c>
      <c r="U111">
        <v>3</v>
      </c>
      <c r="V111" t="s">
        <v>1113</v>
      </c>
      <c r="W111" t="s">
        <v>1115</v>
      </c>
      <c r="X111">
        <v>6</v>
      </c>
      <c r="Y111">
        <v>3</v>
      </c>
      <c r="Z111">
        <v>0</v>
      </c>
      <c r="AA111">
        <v>187.53</v>
      </c>
      <c r="AD111" t="s">
        <v>1122</v>
      </c>
      <c r="AE111">
        <v>40000</v>
      </c>
      <c r="AK111">
        <v>24.4</v>
      </c>
      <c r="AL111" t="s">
        <v>1211</v>
      </c>
      <c r="AM111" t="s">
        <v>1229</v>
      </c>
      <c r="AN111" t="s">
        <v>1233</v>
      </c>
      <c r="AO111" t="s">
        <v>1236</v>
      </c>
      <c r="AP111" t="s">
        <v>1207</v>
      </c>
      <c r="AR111" t="s">
        <v>683</v>
      </c>
      <c r="AT111" t="s">
        <v>3588</v>
      </c>
      <c r="AU111" t="s">
        <v>684</v>
      </c>
      <c r="AW111" t="s">
        <v>1281</v>
      </c>
    </row>
    <row r="112" spans="1:49">
      <c r="A112" s="1">
        <f>HYPERLINK("https://lsnyc.legalserver.org/matter/dynamic-profile/view/1899467","19-1899467")</f>
        <v>0</v>
      </c>
      <c r="B112" t="s">
        <v>85</v>
      </c>
      <c r="C112" t="s">
        <v>1846</v>
      </c>
      <c r="D112" t="s">
        <v>2075</v>
      </c>
      <c r="E112" t="s">
        <v>2330</v>
      </c>
      <c r="F112" t="s">
        <v>2521</v>
      </c>
      <c r="G112" t="s">
        <v>677</v>
      </c>
      <c r="H112">
        <v>10460</v>
      </c>
      <c r="I112" t="s">
        <v>684</v>
      </c>
      <c r="J112" t="s">
        <v>2688</v>
      </c>
      <c r="K112" t="s">
        <v>730</v>
      </c>
      <c r="L112" t="s">
        <v>740</v>
      </c>
      <c r="M112" t="s">
        <v>744</v>
      </c>
      <c r="O112">
        <v>0</v>
      </c>
      <c r="R112" t="s">
        <v>2987</v>
      </c>
      <c r="T112" t="s">
        <v>3335</v>
      </c>
      <c r="U112">
        <v>0</v>
      </c>
      <c r="V112" t="s">
        <v>1112</v>
      </c>
      <c r="W112" t="s">
        <v>1116</v>
      </c>
      <c r="X112">
        <v>5</v>
      </c>
      <c r="Y112">
        <v>2</v>
      </c>
      <c r="Z112">
        <v>1</v>
      </c>
      <c r="AA112">
        <v>158.46</v>
      </c>
      <c r="AD112" t="s">
        <v>1122</v>
      </c>
      <c r="AE112">
        <v>33800</v>
      </c>
      <c r="AK112">
        <v>49.5</v>
      </c>
      <c r="AL112" t="s">
        <v>1211</v>
      </c>
      <c r="AM112" t="s">
        <v>77</v>
      </c>
      <c r="AN112" t="s">
        <v>1233</v>
      </c>
      <c r="AO112" t="s">
        <v>1236</v>
      </c>
      <c r="AP112" t="s">
        <v>1252</v>
      </c>
      <c r="AR112" t="s">
        <v>683</v>
      </c>
      <c r="AT112" t="s">
        <v>3588</v>
      </c>
      <c r="AW112" t="s">
        <v>1282</v>
      </c>
    </row>
    <row r="113" spans="1:49">
      <c r="A113" s="1">
        <f>HYPERLINK("https://lsnyc.legalserver.org/matter/dynamic-profile/view/1904305","19-1904305")</f>
        <v>0</v>
      </c>
      <c r="B113" t="s">
        <v>1761</v>
      </c>
      <c r="C113" t="s">
        <v>1847</v>
      </c>
      <c r="D113" t="s">
        <v>2076</v>
      </c>
      <c r="E113" t="s">
        <v>2331</v>
      </c>
      <c r="F113" t="s">
        <v>2544</v>
      </c>
      <c r="G113" t="s">
        <v>677</v>
      </c>
      <c r="H113">
        <v>10456</v>
      </c>
      <c r="I113" t="s">
        <v>682</v>
      </c>
      <c r="J113" t="s">
        <v>2689</v>
      </c>
      <c r="K113" t="s">
        <v>730</v>
      </c>
      <c r="L113" t="s">
        <v>740</v>
      </c>
      <c r="N113" t="s">
        <v>1198</v>
      </c>
      <c r="O113">
        <v>1263.13</v>
      </c>
      <c r="P113" t="s">
        <v>752</v>
      </c>
      <c r="R113" t="s">
        <v>2988</v>
      </c>
      <c r="T113" t="s">
        <v>3336</v>
      </c>
      <c r="U113">
        <v>71</v>
      </c>
      <c r="V113" t="s">
        <v>1102</v>
      </c>
      <c r="X113">
        <v>27</v>
      </c>
      <c r="Y113">
        <v>1</v>
      </c>
      <c r="Z113">
        <v>4</v>
      </c>
      <c r="AA113">
        <v>135.9</v>
      </c>
      <c r="AD113" t="s">
        <v>1122</v>
      </c>
      <c r="AE113">
        <v>41000</v>
      </c>
      <c r="AK113">
        <v>2.8</v>
      </c>
      <c r="AL113" t="s">
        <v>1207</v>
      </c>
      <c r="AM113" t="s">
        <v>1230</v>
      </c>
      <c r="AN113" t="s">
        <v>1233</v>
      </c>
      <c r="AO113" t="s">
        <v>1236</v>
      </c>
      <c r="AP113" t="s">
        <v>1198</v>
      </c>
      <c r="AR113" t="s">
        <v>683</v>
      </c>
      <c r="AT113" t="s">
        <v>3588</v>
      </c>
      <c r="AU113" t="s">
        <v>684</v>
      </c>
      <c r="AW113" t="s">
        <v>1282</v>
      </c>
    </row>
    <row r="114" spans="1:49">
      <c r="A114" s="1">
        <f>HYPERLINK("https://lsnyc.legalserver.org/matter/dynamic-profile/view/1903766","19-1903766")</f>
        <v>0</v>
      </c>
      <c r="B114" t="s">
        <v>89</v>
      </c>
      <c r="C114" t="s">
        <v>1848</v>
      </c>
      <c r="D114" t="s">
        <v>314</v>
      </c>
      <c r="E114" t="s">
        <v>2332</v>
      </c>
      <c r="F114" t="s">
        <v>618</v>
      </c>
      <c r="G114" t="s">
        <v>677</v>
      </c>
      <c r="H114">
        <v>10453</v>
      </c>
      <c r="I114" t="s">
        <v>682</v>
      </c>
      <c r="J114" t="s">
        <v>2690</v>
      </c>
      <c r="K114" t="s">
        <v>730</v>
      </c>
      <c r="L114" t="s">
        <v>740</v>
      </c>
      <c r="M114" t="s">
        <v>1562</v>
      </c>
      <c r="N114" t="s">
        <v>1163</v>
      </c>
      <c r="O114">
        <v>1213</v>
      </c>
      <c r="P114" t="s">
        <v>753</v>
      </c>
      <c r="R114" t="s">
        <v>2989</v>
      </c>
      <c r="T114" t="s">
        <v>3337</v>
      </c>
      <c r="U114">
        <v>30</v>
      </c>
      <c r="V114" t="s">
        <v>1102</v>
      </c>
      <c r="W114" t="s">
        <v>1741</v>
      </c>
      <c r="X114">
        <v>3</v>
      </c>
      <c r="Y114">
        <v>1</v>
      </c>
      <c r="Z114">
        <v>0</v>
      </c>
      <c r="AA114">
        <v>82.43000000000001</v>
      </c>
      <c r="AD114" t="s">
        <v>1122</v>
      </c>
      <c r="AE114">
        <v>10296</v>
      </c>
      <c r="AK114">
        <v>3.4</v>
      </c>
      <c r="AL114" t="s">
        <v>1175</v>
      </c>
      <c r="AM114" t="s">
        <v>1215</v>
      </c>
      <c r="AN114" t="s">
        <v>1233</v>
      </c>
      <c r="AO114" t="s">
        <v>1236</v>
      </c>
      <c r="AP114" t="s">
        <v>1163</v>
      </c>
      <c r="AR114" t="s">
        <v>683</v>
      </c>
      <c r="AT114" t="s">
        <v>3588</v>
      </c>
      <c r="AU114" t="s">
        <v>684</v>
      </c>
      <c r="AW114" t="s">
        <v>1282</v>
      </c>
    </row>
    <row r="115" spans="1:49">
      <c r="A115" s="1">
        <f>HYPERLINK("https://lsnyc.legalserver.org/matter/dynamic-profile/view/1902599","19-1902599")</f>
        <v>0</v>
      </c>
      <c r="B115" t="s">
        <v>104</v>
      </c>
      <c r="C115" t="s">
        <v>1849</v>
      </c>
      <c r="D115" t="s">
        <v>2077</v>
      </c>
      <c r="E115" t="s">
        <v>2333</v>
      </c>
      <c r="F115" t="s">
        <v>666</v>
      </c>
      <c r="G115" t="s">
        <v>677</v>
      </c>
      <c r="H115">
        <v>10455</v>
      </c>
      <c r="I115" t="s">
        <v>682</v>
      </c>
      <c r="J115" t="s">
        <v>2691</v>
      </c>
      <c r="K115" t="s">
        <v>730</v>
      </c>
      <c r="L115" t="s">
        <v>740</v>
      </c>
      <c r="M115" t="s">
        <v>744</v>
      </c>
      <c r="O115">
        <v>568</v>
      </c>
      <c r="P115" t="s">
        <v>1564</v>
      </c>
      <c r="R115" t="s">
        <v>2990</v>
      </c>
      <c r="U115">
        <v>54</v>
      </c>
      <c r="V115" t="s">
        <v>1102</v>
      </c>
      <c r="W115" t="s">
        <v>1116</v>
      </c>
      <c r="X115">
        <v>3</v>
      </c>
      <c r="Y115">
        <v>3</v>
      </c>
      <c r="Z115">
        <v>0</v>
      </c>
      <c r="AA115">
        <v>181.51</v>
      </c>
      <c r="AD115" t="s">
        <v>1122</v>
      </c>
      <c r="AE115">
        <v>38717</v>
      </c>
      <c r="AK115">
        <v>0.5</v>
      </c>
      <c r="AL115" t="s">
        <v>1159</v>
      </c>
      <c r="AM115" t="s">
        <v>1215</v>
      </c>
      <c r="AO115" t="s">
        <v>1236</v>
      </c>
      <c r="AP115" t="s">
        <v>1159</v>
      </c>
      <c r="AR115" t="s">
        <v>683</v>
      </c>
      <c r="AT115" t="s">
        <v>3588</v>
      </c>
      <c r="AW115" t="s">
        <v>1282</v>
      </c>
    </row>
    <row r="116" spans="1:49">
      <c r="A116" s="1">
        <f>HYPERLINK("https://lsnyc.legalserver.org/matter/dynamic-profile/view/1898959","19-1898959")</f>
        <v>0</v>
      </c>
      <c r="B116" t="s">
        <v>1756</v>
      </c>
      <c r="C116" t="s">
        <v>1850</v>
      </c>
      <c r="D116" t="s">
        <v>2078</v>
      </c>
      <c r="E116" t="s">
        <v>2334</v>
      </c>
      <c r="F116" t="s">
        <v>2527</v>
      </c>
      <c r="G116" t="s">
        <v>677</v>
      </c>
      <c r="H116">
        <v>10469</v>
      </c>
      <c r="I116" t="s">
        <v>683</v>
      </c>
      <c r="J116" t="s">
        <v>2692</v>
      </c>
      <c r="K116" t="s">
        <v>730</v>
      </c>
      <c r="L116" t="s">
        <v>740</v>
      </c>
      <c r="O116">
        <v>3500</v>
      </c>
      <c r="P116" t="s">
        <v>753</v>
      </c>
      <c r="R116" t="s">
        <v>2991</v>
      </c>
      <c r="U116">
        <v>0</v>
      </c>
      <c r="V116" t="s">
        <v>1104</v>
      </c>
      <c r="X116">
        <v>3</v>
      </c>
      <c r="Y116">
        <v>1</v>
      </c>
      <c r="Z116">
        <v>4</v>
      </c>
      <c r="AA116">
        <v>47.81</v>
      </c>
      <c r="AD116" t="s">
        <v>1122</v>
      </c>
      <c r="AE116">
        <v>14424</v>
      </c>
      <c r="AF116" t="s">
        <v>3548</v>
      </c>
      <c r="AK116">
        <v>0</v>
      </c>
      <c r="AM116" t="s">
        <v>1226</v>
      </c>
      <c r="AO116" t="s">
        <v>1236</v>
      </c>
      <c r="AP116" t="s">
        <v>1184</v>
      </c>
      <c r="AR116" t="s">
        <v>683</v>
      </c>
      <c r="AT116" t="s">
        <v>3588</v>
      </c>
      <c r="AW116" t="s">
        <v>1282</v>
      </c>
    </row>
    <row r="117" spans="1:49">
      <c r="A117" s="1">
        <f>HYPERLINK("https://lsnyc.legalserver.org/matter/dynamic-profile/view/1905538","19-1905538")</f>
        <v>0</v>
      </c>
      <c r="B117" t="s">
        <v>92</v>
      </c>
      <c r="C117" t="s">
        <v>1851</v>
      </c>
      <c r="D117" t="s">
        <v>267</v>
      </c>
      <c r="E117" t="s">
        <v>2335</v>
      </c>
      <c r="F117" t="s">
        <v>615</v>
      </c>
      <c r="G117" t="s">
        <v>677</v>
      </c>
      <c r="H117">
        <v>10467</v>
      </c>
      <c r="I117" t="s">
        <v>682</v>
      </c>
      <c r="J117" t="s">
        <v>2693</v>
      </c>
      <c r="K117" t="s">
        <v>730</v>
      </c>
      <c r="L117" t="s">
        <v>740</v>
      </c>
      <c r="O117">
        <v>0</v>
      </c>
      <c r="P117" t="s">
        <v>748</v>
      </c>
      <c r="U117">
        <v>49</v>
      </c>
      <c r="W117" t="s">
        <v>1118</v>
      </c>
      <c r="X117">
        <v>0</v>
      </c>
      <c r="Y117">
        <v>1</v>
      </c>
      <c r="Z117">
        <v>0</v>
      </c>
      <c r="AA117">
        <v>74.08</v>
      </c>
      <c r="AD117" t="s">
        <v>1122</v>
      </c>
      <c r="AE117">
        <v>9252</v>
      </c>
      <c r="AK117">
        <v>0.2</v>
      </c>
      <c r="AL117" t="s">
        <v>1175</v>
      </c>
      <c r="AM117" t="s">
        <v>1230</v>
      </c>
      <c r="AN117" t="s">
        <v>1233</v>
      </c>
      <c r="AO117" t="s">
        <v>1236</v>
      </c>
      <c r="AP117" t="s">
        <v>1175</v>
      </c>
      <c r="AR117" t="s">
        <v>683</v>
      </c>
      <c r="AT117" t="s">
        <v>3588</v>
      </c>
      <c r="AU117" t="s">
        <v>684</v>
      </c>
      <c r="AW117" t="s">
        <v>1282</v>
      </c>
    </row>
    <row r="118" spans="1:49">
      <c r="A118" s="1">
        <f>HYPERLINK("https://lsnyc.legalserver.org/matter/dynamic-profile/view/1902055","19-1902055")</f>
        <v>0</v>
      </c>
      <c r="B118" t="s">
        <v>49</v>
      </c>
      <c r="C118" t="s">
        <v>1321</v>
      </c>
      <c r="D118" t="s">
        <v>298</v>
      </c>
      <c r="E118" t="s">
        <v>2336</v>
      </c>
      <c r="F118" t="s">
        <v>1502</v>
      </c>
      <c r="G118" t="s">
        <v>677</v>
      </c>
      <c r="H118">
        <v>10472</v>
      </c>
      <c r="I118" t="s">
        <v>682</v>
      </c>
      <c r="K118" t="s">
        <v>733</v>
      </c>
      <c r="L118" t="s">
        <v>740</v>
      </c>
      <c r="M118" t="s">
        <v>744</v>
      </c>
      <c r="O118">
        <v>1000</v>
      </c>
      <c r="P118" t="s">
        <v>747</v>
      </c>
      <c r="R118" t="s">
        <v>2992</v>
      </c>
      <c r="T118" t="s">
        <v>3338</v>
      </c>
      <c r="U118">
        <v>0</v>
      </c>
      <c r="V118" t="s">
        <v>1112</v>
      </c>
      <c r="W118" t="s">
        <v>1116</v>
      </c>
      <c r="X118">
        <v>40</v>
      </c>
      <c r="Y118">
        <v>1</v>
      </c>
      <c r="Z118">
        <v>0</v>
      </c>
      <c r="AA118">
        <v>324.74</v>
      </c>
      <c r="AD118" t="s">
        <v>1122</v>
      </c>
      <c r="AE118">
        <v>40560</v>
      </c>
      <c r="AK118">
        <v>0.5</v>
      </c>
      <c r="AL118" t="s">
        <v>1248</v>
      </c>
      <c r="AM118" t="s">
        <v>49</v>
      </c>
      <c r="AN118" t="s">
        <v>1233</v>
      </c>
      <c r="AO118" t="s">
        <v>1236</v>
      </c>
      <c r="AP118" t="s">
        <v>1197</v>
      </c>
      <c r="AR118" t="s">
        <v>683</v>
      </c>
      <c r="AT118" t="s">
        <v>3588</v>
      </c>
      <c r="AU118" t="s">
        <v>684</v>
      </c>
      <c r="AW118" t="s">
        <v>1283</v>
      </c>
    </row>
    <row r="119" spans="1:49">
      <c r="A119" s="1">
        <f>HYPERLINK("https://lsnyc.legalserver.org/matter/dynamic-profile/view/1902393","19-1902393")</f>
        <v>0</v>
      </c>
      <c r="B119" t="s">
        <v>104</v>
      </c>
      <c r="C119" t="s">
        <v>1852</v>
      </c>
      <c r="D119" t="s">
        <v>2079</v>
      </c>
      <c r="E119" t="s">
        <v>2337</v>
      </c>
      <c r="F119" t="s">
        <v>600</v>
      </c>
      <c r="G119" t="s">
        <v>677</v>
      </c>
      <c r="H119">
        <v>10456</v>
      </c>
      <c r="I119" t="s">
        <v>683</v>
      </c>
      <c r="J119" t="s">
        <v>2694</v>
      </c>
      <c r="K119" t="s">
        <v>732</v>
      </c>
      <c r="L119" t="s">
        <v>740</v>
      </c>
      <c r="O119">
        <v>1847.89</v>
      </c>
      <c r="P119" t="s">
        <v>752</v>
      </c>
      <c r="R119" t="s">
        <v>2993</v>
      </c>
      <c r="T119" t="s">
        <v>3339</v>
      </c>
      <c r="U119">
        <v>0</v>
      </c>
      <c r="V119" t="s">
        <v>1102</v>
      </c>
      <c r="W119" t="s">
        <v>1119</v>
      </c>
      <c r="X119">
        <v>4</v>
      </c>
      <c r="Y119">
        <v>1</v>
      </c>
      <c r="Z119">
        <v>0</v>
      </c>
      <c r="AA119">
        <v>124.9</v>
      </c>
      <c r="AE119">
        <v>15600</v>
      </c>
      <c r="AG119" t="s">
        <v>3569</v>
      </c>
      <c r="AH119" t="s">
        <v>1154</v>
      </c>
      <c r="AI119" t="s">
        <v>1155</v>
      </c>
      <c r="AJ119" t="s">
        <v>3576</v>
      </c>
      <c r="AK119">
        <v>7.9</v>
      </c>
      <c r="AL119" t="s">
        <v>1211</v>
      </c>
      <c r="AM119" t="s">
        <v>1226</v>
      </c>
      <c r="AO119" t="s">
        <v>1236</v>
      </c>
      <c r="AP119" t="s">
        <v>1194</v>
      </c>
      <c r="AR119" t="s">
        <v>683</v>
      </c>
      <c r="AT119" t="s">
        <v>3588</v>
      </c>
      <c r="AW119" t="s">
        <v>1282</v>
      </c>
    </row>
    <row r="120" spans="1:49">
      <c r="A120" s="1">
        <f>HYPERLINK("https://lsnyc.legalserver.org/matter/dynamic-profile/view/1899542","19-1899542")</f>
        <v>0</v>
      </c>
      <c r="B120" t="s">
        <v>1751</v>
      </c>
      <c r="C120" t="s">
        <v>1853</v>
      </c>
      <c r="D120" t="s">
        <v>2080</v>
      </c>
      <c r="E120" t="s">
        <v>2338</v>
      </c>
      <c r="F120" t="s">
        <v>2545</v>
      </c>
      <c r="G120" t="s">
        <v>677</v>
      </c>
      <c r="H120">
        <v>10451</v>
      </c>
      <c r="I120" t="s">
        <v>682</v>
      </c>
      <c r="J120" t="s">
        <v>2695</v>
      </c>
      <c r="K120" t="s">
        <v>732</v>
      </c>
      <c r="L120" t="s">
        <v>740</v>
      </c>
      <c r="M120" t="s">
        <v>744</v>
      </c>
      <c r="O120">
        <v>1550</v>
      </c>
      <c r="R120" t="s">
        <v>2994</v>
      </c>
      <c r="S120" t="s">
        <v>3197</v>
      </c>
      <c r="T120" t="s">
        <v>3340</v>
      </c>
      <c r="U120">
        <v>60</v>
      </c>
      <c r="V120" t="s">
        <v>1102</v>
      </c>
      <c r="W120" t="s">
        <v>1120</v>
      </c>
      <c r="X120">
        <v>0</v>
      </c>
      <c r="Y120">
        <v>1</v>
      </c>
      <c r="Z120">
        <v>0</v>
      </c>
      <c r="AA120">
        <v>0</v>
      </c>
      <c r="AD120" t="s">
        <v>1122</v>
      </c>
      <c r="AE120">
        <v>0</v>
      </c>
      <c r="AK120">
        <v>10.75</v>
      </c>
      <c r="AL120" t="s">
        <v>1162</v>
      </c>
      <c r="AM120" t="s">
        <v>1230</v>
      </c>
      <c r="AN120" t="s">
        <v>1234</v>
      </c>
      <c r="AO120" t="s">
        <v>1236</v>
      </c>
      <c r="AP120" t="s">
        <v>1191</v>
      </c>
      <c r="AR120" t="s">
        <v>683</v>
      </c>
      <c r="AT120" t="s">
        <v>3588</v>
      </c>
      <c r="AW120" t="s">
        <v>1282</v>
      </c>
    </row>
    <row r="121" spans="1:49">
      <c r="A121" s="1">
        <f>HYPERLINK("https://lsnyc.legalserver.org/matter/dynamic-profile/view/1902390","19-1902390")</f>
        <v>0</v>
      </c>
      <c r="B121" t="s">
        <v>104</v>
      </c>
      <c r="C121" t="s">
        <v>1854</v>
      </c>
      <c r="D121" t="s">
        <v>2081</v>
      </c>
      <c r="E121" t="s">
        <v>2339</v>
      </c>
      <c r="F121" t="s">
        <v>2546</v>
      </c>
      <c r="G121" t="s">
        <v>677</v>
      </c>
      <c r="H121">
        <v>10460</v>
      </c>
      <c r="I121" t="s">
        <v>682</v>
      </c>
      <c r="J121" t="s">
        <v>2696</v>
      </c>
      <c r="K121" t="s">
        <v>732</v>
      </c>
      <c r="L121" t="s">
        <v>740</v>
      </c>
      <c r="M121" t="s">
        <v>744</v>
      </c>
      <c r="O121">
        <v>800</v>
      </c>
      <c r="P121" t="s">
        <v>752</v>
      </c>
      <c r="R121" t="s">
        <v>2995</v>
      </c>
      <c r="T121" t="s">
        <v>3341</v>
      </c>
      <c r="U121">
        <v>102</v>
      </c>
      <c r="V121" t="s">
        <v>1114</v>
      </c>
      <c r="W121" t="s">
        <v>1116</v>
      </c>
      <c r="X121">
        <v>5</v>
      </c>
      <c r="Y121">
        <v>1</v>
      </c>
      <c r="Z121">
        <v>1</v>
      </c>
      <c r="AA121">
        <v>15.26</v>
      </c>
      <c r="AD121" t="s">
        <v>1122</v>
      </c>
      <c r="AE121">
        <v>2580</v>
      </c>
      <c r="AK121">
        <v>4.8</v>
      </c>
      <c r="AL121" t="s">
        <v>1175</v>
      </c>
      <c r="AM121" t="s">
        <v>1226</v>
      </c>
      <c r="AO121" t="s">
        <v>1236</v>
      </c>
      <c r="AP121" t="s">
        <v>1194</v>
      </c>
      <c r="AR121" t="s">
        <v>683</v>
      </c>
      <c r="AT121" t="s">
        <v>3588</v>
      </c>
      <c r="AW121" t="s">
        <v>1282</v>
      </c>
    </row>
    <row r="122" spans="1:49">
      <c r="A122" s="1">
        <f>HYPERLINK("https://lsnyc.legalserver.org/matter/dynamic-profile/view/1902145","19-1902145")</f>
        <v>0</v>
      </c>
      <c r="B122" t="s">
        <v>1762</v>
      </c>
      <c r="C122" t="s">
        <v>1855</v>
      </c>
      <c r="D122" t="s">
        <v>2082</v>
      </c>
      <c r="E122" t="s">
        <v>2340</v>
      </c>
      <c r="F122" t="s">
        <v>1518</v>
      </c>
      <c r="G122" t="s">
        <v>677</v>
      </c>
      <c r="H122">
        <v>10453</v>
      </c>
      <c r="I122" t="s">
        <v>682</v>
      </c>
      <c r="J122" t="s">
        <v>2697</v>
      </c>
      <c r="K122" t="s">
        <v>732</v>
      </c>
      <c r="L122" t="s">
        <v>740</v>
      </c>
      <c r="M122" t="s">
        <v>744</v>
      </c>
      <c r="N122" t="s">
        <v>1161</v>
      </c>
      <c r="O122">
        <v>1665</v>
      </c>
      <c r="P122" t="s">
        <v>755</v>
      </c>
      <c r="R122" t="s">
        <v>2996</v>
      </c>
      <c r="T122" t="s">
        <v>3342</v>
      </c>
      <c r="U122">
        <v>75</v>
      </c>
      <c r="V122" t="s">
        <v>1102</v>
      </c>
      <c r="W122" t="s">
        <v>1118</v>
      </c>
      <c r="X122">
        <v>1</v>
      </c>
      <c r="Y122">
        <v>1</v>
      </c>
      <c r="Z122">
        <v>0</v>
      </c>
      <c r="AA122">
        <v>68.20999999999999</v>
      </c>
      <c r="AD122" t="s">
        <v>1122</v>
      </c>
      <c r="AE122">
        <v>8520</v>
      </c>
      <c r="AK122">
        <v>9.52</v>
      </c>
      <c r="AL122" t="s">
        <v>1170</v>
      </c>
      <c r="AM122" t="s">
        <v>1220</v>
      </c>
      <c r="AN122" t="s">
        <v>1233</v>
      </c>
      <c r="AO122" t="s">
        <v>1236</v>
      </c>
      <c r="AP122" t="s">
        <v>1190</v>
      </c>
      <c r="AR122" t="s">
        <v>683</v>
      </c>
      <c r="AT122" t="s">
        <v>3588</v>
      </c>
      <c r="AU122" t="s">
        <v>684</v>
      </c>
      <c r="AW122" t="s">
        <v>1282</v>
      </c>
    </row>
    <row r="123" spans="1:49">
      <c r="A123" s="1">
        <f>HYPERLINK("https://lsnyc.legalserver.org/matter/dynamic-profile/view/1904135","19-1904135")</f>
        <v>0</v>
      </c>
      <c r="B123" t="s">
        <v>89</v>
      </c>
      <c r="C123" t="s">
        <v>1856</v>
      </c>
      <c r="D123" t="s">
        <v>1420</v>
      </c>
      <c r="E123" t="s">
        <v>1489</v>
      </c>
      <c r="F123">
        <v>2</v>
      </c>
      <c r="G123" t="s">
        <v>677</v>
      </c>
      <c r="H123">
        <v>10460</v>
      </c>
      <c r="I123" t="s">
        <v>682</v>
      </c>
      <c r="J123" t="s">
        <v>2698</v>
      </c>
      <c r="K123" t="s">
        <v>732</v>
      </c>
      <c r="L123" t="s">
        <v>740</v>
      </c>
      <c r="M123" t="s">
        <v>1562</v>
      </c>
      <c r="O123">
        <v>1106.46</v>
      </c>
      <c r="P123" t="s">
        <v>752</v>
      </c>
      <c r="R123" t="s">
        <v>1646</v>
      </c>
      <c r="T123" t="s">
        <v>1731</v>
      </c>
      <c r="U123">
        <v>25</v>
      </c>
      <c r="V123" t="s">
        <v>1102</v>
      </c>
      <c r="W123" t="s">
        <v>1116</v>
      </c>
      <c r="X123">
        <v>12</v>
      </c>
      <c r="Y123">
        <v>2</v>
      </c>
      <c r="Z123">
        <v>0</v>
      </c>
      <c r="AA123">
        <v>150.05</v>
      </c>
      <c r="AD123" t="s">
        <v>1122</v>
      </c>
      <c r="AE123">
        <v>25374</v>
      </c>
      <c r="AK123">
        <v>6.2</v>
      </c>
      <c r="AL123" t="s">
        <v>1211</v>
      </c>
      <c r="AM123" t="s">
        <v>1230</v>
      </c>
      <c r="AN123" t="s">
        <v>1233</v>
      </c>
      <c r="AO123" t="s">
        <v>1236</v>
      </c>
      <c r="AP123" t="s">
        <v>1157</v>
      </c>
      <c r="AR123" t="s">
        <v>683</v>
      </c>
      <c r="AT123" t="s">
        <v>3588</v>
      </c>
      <c r="AU123" t="s">
        <v>684</v>
      </c>
      <c r="AW123" t="s">
        <v>1282</v>
      </c>
    </row>
    <row r="124" spans="1:49">
      <c r="A124" s="1">
        <f>HYPERLINK("https://lsnyc.legalserver.org/matter/dynamic-profile/view/1902307","19-1902307")</f>
        <v>0</v>
      </c>
      <c r="B124" t="s">
        <v>95</v>
      </c>
      <c r="C124" t="s">
        <v>154</v>
      </c>
      <c r="D124" t="s">
        <v>2083</v>
      </c>
      <c r="E124" t="s">
        <v>2341</v>
      </c>
      <c r="F124" t="s">
        <v>621</v>
      </c>
      <c r="G124" t="s">
        <v>677</v>
      </c>
      <c r="H124">
        <v>10469</v>
      </c>
      <c r="I124" t="s">
        <v>682</v>
      </c>
      <c r="J124" t="s">
        <v>2699</v>
      </c>
      <c r="K124" t="s">
        <v>732</v>
      </c>
      <c r="L124" t="s">
        <v>740</v>
      </c>
      <c r="M124" t="s">
        <v>744</v>
      </c>
      <c r="O124">
        <v>1048</v>
      </c>
      <c r="P124" t="s">
        <v>752</v>
      </c>
      <c r="R124" t="s">
        <v>2997</v>
      </c>
      <c r="T124" t="s">
        <v>3343</v>
      </c>
      <c r="U124">
        <v>0</v>
      </c>
      <c r="V124" t="s">
        <v>1105</v>
      </c>
      <c r="W124" t="s">
        <v>1120</v>
      </c>
      <c r="X124">
        <v>6</v>
      </c>
      <c r="Y124">
        <v>1</v>
      </c>
      <c r="Z124">
        <v>1</v>
      </c>
      <c r="AA124">
        <v>71.52</v>
      </c>
      <c r="AD124" t="s">
        <v>1122</v>
      </c>
      <c r="AE124">
        <v>12094</v>
      </c>
      <c r="AK124">
        <v>10.5</v>
      </c>
      <c r="AL124" t="s">
        <v>1170</v>
      </c>
      <c r="AM124" t="s">
        <v>1231</v>
      </c>
      <c r="AN124" t="s">
        <v>1233</v>
      </c>
      <c r="AO124" t="s">
        <v>1236</v>
      </c>
      <c r="AP124" t="s">
        <v>1194</v>
      </c>
      <c r="AR124" t="s">
        <v>683</v>
      </c>
      <c r="AT124" t="s">
        <v>3588</v>
      </c>
      <c r="AU124" t="s">
        <v>684</v>
      </c>
      <c r="AW124" t="s">
        <v>1282</v>
      </c>
    </row>
    <row r="125" spans="1:49">
      <c r="A125" s="1">
        <f>HYPERLINK("https://lsnyc.legalserver.org/matter/dynamic-profile/view/1903892","19-1903892")</f>
        <v>0</v>
      </c>
      <c r="B125" t="s">
        <v>89</v>
      </c>
      <c r="C125" t="s">
        <v>1857</v>
      </c>
      <c r="D125" t="s">
        <v>2084</v>
      </c>
      <c r="E125" t="s">
        <v>2342</v>
      </c>
      <c r="F125" t="s">
        <v>2533</v>
      </c>
      <c r="G125" t="s">
        <v>677</v>
      </c>
      <c r="H125">
        <v>10453</v>
      </c>
      <c r="I125" t="s">
        <v>683</v>
      </c>
      <c r="J125" t="s">
        <v>2700</v>
      </c>
      <c r="K125" t="s">
        <v>732</v>
      </c>
      <c r="L125" t="s">
        <v>740</v>
      </c>
      <c r="M125" t="s">
        <v>746</v>
      </c>
      <c r="O125">
        <v>338.1</v>
      </c>
      <c r="P125" t="s">
        <v>752</v>
      </c>
      <c r="R125" t="s">
        <v>2998</v>
      </c>
      <c r="T125" t="s">
        <v>3344</v>
      </c>
      <c r="U125">
        <v>30</v>
      </c>
      <c r="V125" t="s">
        <v>1111</v>
      </c>
      <c r="W125" t="s">
        <v>748</v>
      </c>
      <c r="X125">
        <v>9</v>
      </c>
      <c r="Y125">
        <v>1</v>
      </c>
      <c r="Z125">
        <v>0</v>
      </c>
      <c r="AA125">
        <v>108.28</v>
      </c>
      <c r="AD125" t="s">
        <v>1122</v>
      </c>
      <c r="AE125">
        <v>13524</v>
      </c>
      <c r="AK125">
        <v>6.75</v>
      </c>
      <c r="AL125" t="s">
        <v>1170</v>
      </c>
      <c r="AM125" t="s">
        <v>1221</v>
      </c>
      <c r="AO125" t="s">
        <v>1236</v>
      </c>
      <c r="AP125" t="s">
        <v>1172</v>
      </c>
      <c r="AR125" t="s">
        <v>683</v>
      </c>
      <c r="AT125" t="s">
        <v>3588</v>
      </c>
      <c r="AW125" t="s">
        <v>1282</v>
      </c>
    </row>
    <row r="126" spans="1:49">
      <c r="A126" s="1">
        <f>HYPERLINK("https://lsnyc.legalserver.org/matter/dynamic-profile/view/1900258","19-1900258")</f>
        <v>0</v>
      </c>
      <c r="B126" t="s">
        <v>1756</v>
      </c>
      <c r="C126" t="s">
        <v>1858</v>
      </c>
      <c r="D126" t="s">
        <v>2085</v>
      </c>
      <c r="E126" t="s">
        <v>2343</v>
      </c>
      <c r="F126" t="s">
        <v>1518</v>
      </c>
      <c r="G126" t="s">
        <v>677</v>
      </c>
      <c r="H126">
        <v>10453</v>
      </c>
      <c r="I126" t="s">
        <v>682</v>
      </c>
      <c r="J126" t="s">
        <v>2701</v>
      </c>
      <c r="K126" t="s">
        <v>732</v>
      </c>
      <c r="L126" t="s">
        <v>740</v>
      </c>
      <c r="M126" t="s">
        <v>744</v>
      </c>
      <c r="O126">
        <v>800</v>
      </c>
      <c r="P126" t="s">
        <v>752</v>
      </c>
      <c r="R126" t="s">
        <v>2999</v>
      </c>
      <c r="T126" t="s">
        <v>3345</v>
      </c>
      <c r="U126">
        <v>0</v>
      </c>
      <c r="V126" t="s">
        <v>1102</v>
      </c>
      <c r="X126">
        <v>12</v>
      </c>
      <c r="Y126">
        <v>2</v>
      </c>
      <c r="Z126">
        <v>4</v>
      </c>
      <c r="AA126">
        <v>95.20999999999999</v>
      </c>
      <c r="AD126" t="s">
        <v>1122</v>
      </c>
      <c r="AE126">
        <v>32933</v>
      </c>
      <c r="AK126">
        <v>8</v>
      </c>
      <c r="AL126" t="s">
        <v>1162</v>
      </c>
      <c r="AM126" t="s">
        <v>77</v>
      </c>
      <c r="AN126" t="s">
        <v>1233</v>
      </c>
      <c r="AO126" t="s">
        <v>1236</v>
      </c>
      <c r="AP126" t="s">
        <v>1164</v>
      </c>
      <c r="AR126" t="s">
        <v>683</v>
      </c>
      <c r="AT126" t="s">
        <v>3588</v>
      </c>
      <c r="AU126" t="s">
        <v>684</v>
      </c>
      <c r="AW126" t="s">
        <v>1282</v>
      </c>
    </row>
    <row r="127" spans="1:49">
      <c r="A127" s="1">
        <f>HYPERLINK("https://lsnyc.legalserver.org/matter/dynamic-profile/view/1902906","19-1902906")</f>
        <v>0</v>
      </c>
      <c r="B127" t="s">
        <v>79</v>
      </c>
      <c r="C127" t="s">
        <v>1859</v>
      </c>
      <c r="D127" t="s">
        <v>2086</v>
      </c>
      <c r="E127" t="s">
        <v>2344</v>
      </c>
      <c r="F127" t="s">
        <v>641</v>
      </c>
      <c r="G127" t="s">
        <v>677</v>
      </c>
      <c r="H127">
        <v>10460</v>
      </c>
      <c r="I127" t="s">
        <v>683</v>
      </c>
      <c r="K127" t="s">
        <v>732</v>
      </c>
      <c r="L127" t="s">
        <v>740</v>
      </c>
      <c r="O127">
        <v>1400</v>
      </c>
      <c r="P127" t="s">
        <v>1564</v>
      </c>
      <c r="R127" t="s">
        <v>3000</v>
      </c>
      <c r="S127" t="s">
        <v>3198</v>
      </c>
      <c r="T127" t="s">
        <v>3346</v>
      </c>
      <c r="U127">
        <v>0</v>
      </c>
      <c r="X127">
        <v>10</v>
      </c>
      <c r="Y127">
        <v>2</v>
      </c>
      <c r="Z127">
        <v>4</v>
      </c>
      <c r="AA127">
        <v>84.04000000000001</v>
      </c>
      <c r="AD127" t="s">
        <v>1122</v>
      </c>
      <c r="AE127">
        <v>29069.6</v>
      </c>
      <c r="AK127">
        <v>14.5</v>
      </c>
      <c r="AL127" t="s">
        <v>1166</v>
      </c>
      <c r="AM127" t="s">
        <v>1226</v>
      </c>
      <c r="AO127" t="s">
        <v>1236</v>
      </c>
      <c r="AP127" t="s">
        <v>1178</v>
      </c>
      <c r="AR127" t="s">
        <v>683</v>
      </c>
      <c r="AT127" t="s">
        <v>3588</v>
      </c>
      <c r="AW127" t="s">
        <v>1282</v>
      </c>
    </row>
    <row r="128" spans="1:49">
      <c r="A128" s="1">
        <f>HYPERLINK("https://lsnyc.legalserver.org/matter/dynamic-profile/view/1899081","19-1899081")</f>
        <v>0</v>
      </c>
      <c r="B128" t="s">
        <v>92</v>
      </c>
      <c r="C128" t="s">
        <v>1860</v>
      </c>
      <c r="D128" t="s">
        <v>357</v>
      </c>
      <c r="E128" t="s">
        <v>2345</v>
      </c>
      <c r="F128" t="s">
        <v>2547</v>
      </c>
      <c r="G128" t="s">
        <v>677</v>
      </c>
      <c r="H128">
        <v>10456</v>
      </c>
      <c r="I128" t="s">
        <v>682</v>
      </c>
      <c r="K128" t="s">
        <v>732</v>
      </c>
      <c r="L128" t="s">
        <v>740</v>
      </c>
      <c r="O128">
        <v>1700</v>
      </c>
      <c r="P128" t="s">
        <v>752</v>
      </c>
      <c r="R128" t="s">
        <v>3001</v>
      </c>
      <c r="T128" t="s">
        <v>3347</v>
      </c>
      <c r="U128">
        <v>0</v>
      </c>
      <c r="W128" t="s">
        <v>1115</v>
      </c>
      <c r="X128">
        <v>5</v>
      </c>
      <c r="Y128">
        <v>2</v>
      </c>
      <c r="Z128">
        <v>1</v>
      </c>
      <c r="AA128">
        <v>77.64</v>
      </c>
      <c r="AD128" t="s">
        <v>1122</v>
      </c>
      <c r="AE128">
        <v>16560</v>
      </c>
      <c r="AF128" t="s">
        <v>3549</v>
      </c>
      <c r="AK128">
        <v>0</v>
      </c>
      <c r="AM128" t="s">
        <v>1226</v>
      </c>
      <c r="AN128" t="s">
        <v>1233</v>
      </c>
      <c r="AO128" t="s">
        <v>1236</v>
      </c>
      <c r="AP128" t="s">
        <v>1247</v>
      </c>
      <c r="AR128" t="s">
        <v>683</v>
      </c>
      <c r="AT128" t="s">
        <v>3588</v>
      </c>
      <c r="AW128" t="s">
        <v>1282</v>
      </c>
    </row>
    <row r="129" spans="1:49">
      <c r="A129" s="1">
        <f>HYPERLINK("https://lsnyc.legalserver.org/matter/dynamic-profile/view/1905430","19-1905430")</f>
        <v>0</v>
      </c>
      <c r="B129" t="s">
        <v>58</v>
      </c>
      <c r="C129" t="s">
        <v>1861</v>
      </c>
      <c r="D129" t="s">
        <v>285</v>
      </c>
      <c r="E129" t="s">
        <v>2346</v>
      </c>
      <c r="F129" t="s">
        <v>665</v>
      </c>
      <c r="G129" t="s">
        <v>677</v>
      </c>
      <c r="H129">
        <v>10457</v>
      </c>
      <c r="I129" t="s">
        <v>682</v>
      </c>
      <c r="J129" t="s">
        <v>2702</v>
      </c>
      <c r="K129" t="s">
        <v>732</v>
      </c>
      <c r="L129" t="s">
        <v>740</v>
      </c>
      <c r="N129" t="s">
        <v>1169</v>
      </c>
      <c r="O129">
        <v>1500</v>
      </c>
      <c r="P129" t="s">
        <v>753</v>
      </c>
      <c r="R129" t="s">
        <v>3002</v>
      </c>
      <c r="T129" t="s">
        <v>3348</v>
      </c>
      <c r="U129">
        <v>152</v>
      </c>
      <c r="V129" t="s">
        <v>1102</v>
      </c>
      <c r="W129" t="s">
        <v>1115</v>
      </c>
      <c r="X129">
        <v>6</v>
      </c>
      <c r="Y129">
        <v>1</v>
      </c>
      <c r="Z129">
        <v>2</v>
      </c>
      <c r="AA129">
        <v>40.56</v>
      </c>
      <c r="AD129" t="s">
        <v>1122</v>
      </c>
      <c r="AE129">
        <v>8652</v>
      </c>
      <c r="AK129">
        <v>0.4</v>
      </c>
      <c r="AL129" t="s">
        <v>1175</v>
      </c>
      <c r="AM129" t="s">
        <v>1230</v>
      </c>
      <c r="AN129" t="s">
        <v>1233</v>
      </c>
      <c r="AO129" t="s">
        <v>1236</v>
      </c>
      <c r="AP129" t="s">
        <v>1169</v>
      </c>
      <c r="AR129" t="s">
        <v>683</v>
      </c>
      <c r="AT129" t="s">
        <v>3588</v>
      </c>
      <c r="AU129" t="s">
        <v>684</v>
      </c>
      <c r="AW129" t="s">
        <v>1282</v>
      </c>
    </row>
    <row r="130" spans="1:49">
      <c r="A130" s="1">
        <f>HYPERLINK("https://lsnyc.legalserver.org/matter/dynamic-profile/view/1904771","19-1904771")</f>
        <v>0</v>
      </c>
      <c r="B130" t="s">
        <v>89</v>
      </c>
      <c r="C130" t="s">
        <v>1347</v>
      </c>
      <c r="D130" t="s">
        <v>2087</v>
      </c>
      <c r="E130" t="s">
        <v>2347</v>
      </c>
      <c r="F130" t="s">
        <v>604</v>
      </c>
      <c r="G130" t="s">
        <v>677</v>
      </c>
      <c r="H130">
        <v>10457</v>
      </c>
      <c r="I130" t="s">
        <v>682</v>
      </c>
      <c r="J130" t="s">
        <v>2703</v>
      </c>
      <c r="K130" t="s">
        <v>732</v>
      </c>
      <c r="L130" t="s">
        <v>740</v>
      </c>
      <c r="O130">
        <v>848.87</v>
      </c>
      <c r="P130" t="s">
        <v>748</v>
      </c>
      <c r="R130" t="s">
        <v>3003</v>
      </c>
      <c r="T130" t="s">
        <v>3349</v>
      </c>
      <c r="U130">
        <v>48</v>
      </c>
      <c r="V130" t="s">
        <v>1102</v>
      </c>
      <c r="W130" t="s">
        <v>1115</v>
      </c>
      <c r="X130">
        <v>45</v>
      </c>
      <c r="Y130">
        <v>2</v>
      </c>
      <c r="Z130">
        <v>2</v>
      </c>
      <c r="AA130">
        <v>35.93</v>
      </c>
      <c r="AD130" t="s">
        <v>1122</v>
      </c>
      <c r="AE130">
        <v>9252</v>
      </c>
      <c r="AK130">
        <v>0.8</v>
      </c>
      <c r="AL130" t="s">
        <v>1175</v>
      </c>
      <c r="AM130" t="s">
        <v>1230</v>
      </c>
      <c r="AN130" t="s">
        <v>1234</v>
      </c>
      <c r="AO130" t="s">
        <v>1236</v>
      </c>
      <c r="AP130" t="s">
        <v>1161</v>
      </c>
      <c r="AR130" t="s">
        <v>683</v>
      </c>
      <c r="AT130" t="s">
        <v>3588</v>
      </c>
      <c r="AU130" t="s">
        <v>684</v>
      </c>
      <c r="AW130" t="s">
        <v>1282</v>
      </c>
    </row>
    <row r="131" spans="1:49">
      <c r="A131" s="1">
        <f>HYPERLINK("https://lsnyc.legalserver.org/matter/dynamic-profile/view/1905213","19-1905213")</f>
        <v>0</v>
      </c>
      <c r="B131" t="s">
        <v>104</v>
      </c>
      <c r="C131" t="s">
        <v>1862</v>
      </c>
      <c r="D131" t="s">
        <v>2088</v>
      </c>
      <c r="E131" t="s">
        <v>563</v>
      </c>
      <c r="F131" t="s">
        <v>2548</v>
      </c>
      <c r="G131" t="s">
        <v>677</v>
      </c>
      <c r="H131">
        <v>10467</v>
      </c>
      <c r="I131" t="s">
        <v>682</v>
      </c>
      <c r="J131" t="s">
        <v>2704</v>
      </c>
      <c r="K131" t="s">
        <v>732</v>
      </c>
      <c r="L131" t="s">
        <v>740</v>
      </c>
      <c r="N131" t="s">
        <v>1166</v>
      </c>
      <c r="O131">
        <v>1477</v>
      </c>
      <c r="P131" t="s">
        <v>757</v>
      </c>
      <c r="R131" t="s">
        <v>3004</v>
      </c>
      <c r="T131" t="s">
        <v>3350</v>
      </c>
      <c r="U131">
        <v>85</v>
      </c>
      <c r="V131" t="s">
        <v>1102</v>
      </c>
      <c r="W131" t="s">
        <v>1115</v>
      </c>
      <c r="X131">
        <v>22</v>
      </c>
      <c r="Y131">
        <v>2</v>
      </c>
      <c r="Z131">
        <v>2</v>
      </c>
      <c r="AA131">
        <v>35.18</v>
      </c>
      <c r="AD131" t="s">
        <v>1122</v>
      </c>
      <c r="AE131">
        <v>9060</v>
      </c>
      <c r="AK131">
        <v>6.2</v>
      </c>
      <c r="AL131" t="s">
        <v>1170</v>
      </c>
      <c r="AM131" t="s">
        <v>1230</v>
      </c>
      <c r="AN131" t="s">
        <v>1233</v>
      </c>
      <c r="AO131" t="s">
        <v>1236</v>
      </c>
      <c r="AP131" t="s">
        <v>1166</v>
      </c>
      <c r="AR131" t="s">
        <v>683</v>
      </c>
      <c r="AT131" t="s">
        <v>3588</v>
      </c>
      <c r="AU131" t="s">
        <v>684</v>
      </c>
      <c r="AW131" t="s">
        <v>1282</v>
      </c>
    </row>
    <row r="132" spans="1:49">
      <c r="A132" s="1">
        <f>HYPERLINK("https://lsnyc.legalserver.org/matter/dynamic-profile/view/1898158","19-1898158")</f>
        <v>0</v>
      </c>
      <c r="B132" t="s">
        <v>1750</v>
      </c>
      <c r="C132" t="s">
        <v>1863</v>
      </c>
      <c r="D132" t="s">
        <v>2089</v>
      </c>
      <c r="E132" t="s">
        <v>2348</v>
      </c>
      <c r="F132">
        <v>1</v>
      </c>
      <c r="G132" t="s">
        <v>677</v>
      </c>
      <c r="H132">
        <v>10461</v>
      </c>
      <c r="I132" t="s">
        <v>682</v>
      </c>
      <c r="J132" t="s">
        <v>2705</v>
      </c>
      <c r="K132" t="s">
        <v>732</v>
      </c>
      <c r="L132" t="s">
        <v>740</v>
      </c>
      <c r="M132" t="s">
        <v>744</v>
      </c>
      <c r="O132">
        <v>1050</v>
      </c>
      <c r="P132" t="s">
        <v>752</v>
      </c>
      <c r="R132" t="s">
        <v>3005</v>
      </c>
      <c r="T132" t="s">
        <v>3351</v>
      </c>
      <c r="U132">
        <v>2</v>
      </c>
      <c r="V132" t="s">
        <v>1105</v>
      </c>
      <c r="W132" t="s">
        <v>1116</v>
      </c>
      <c r="X132">
        <v>0</v>
      </c>
      <c r="Y132">
        <v>2</v>
      </c>
      <c r="Z132">
        <v>0</v>
      </c>
      <c r="AA132">
        <v>59.4</v>
      </c>
      <c r="AE132">
        <v>10044</v>
      </c>
      <c r="AF132" t="s">
        <v>3548</v>
      </c>
      <c r="AK132">
        <v>8.300000000000001</v>
      </c>
      <c r="AL132" t="s">
        <v>1172</v>
      </c>
      <c r="AM132" t="s">
        <v>3584</v>
      </c>
      <c r="AN132" t="s">
        <v>1233</v>
      </c>
      <c r="AO132" t="s">
        <v>1236</v>
      </c>
      <c r="AP132" t="s">
        <v>1187</v>
      </c>
      <c r="AR132" t="s">
        <v>682</v>
      </c>
      <c r="AT132" t="s">
        <v>3588</v>
      </c>
      <c r="AU132" t="s">
        <v>684</v>
      </c>
      <c r="AW132" t="s">
        <v>1282</v>
      </c>
    </row>
    <row r="133" spans="1:49">
      <c r="A133" s="1">
        <f>HYPERLINK("https://lsnyc.legalserver.org/matter/dynamic-profile/view/1905520","19-1905520")</f>
        <v>0</v>
      </c>
      <c r="B133" t="s">
        <v>1751</v>
      </c>
      <c r="C133" t="s">
        <v>1864</v>
      </c>
      <c r="D133" t="s">
        <v>2090</v>
      </c>
      <c r="E133" t="s">
        <v>2349</v>
      </c>
      <c r="F133" t="s">
        <v>2549</v>
      </c>
      <c r="G133" t="s">
        <v>677</v>
      </c>
      <c r="H133">
        <v>10467</v>
      </c>
      <c r="I133" t="s">
        <v>682</v>
      </c>
      <c r="J133" t="s">
        <v>2706</v>
      </c>
      <c r="K133" t="s">
        <v>732</v>
      </c>
      <c r="L133" t="s">
        <v>740</v>
      </c>
      <c r="N133" t="s">
        <v>1175</v>
      </c>
      <c r="O133">
        <v>2000</v>
      </c>
      <c r="P133" t="s">
        <v>753</v>
      </c>
      <c r="R133" t="s">
        <v>3006</v>
      </c>
      <c r="T133" t="s">
        <v>3352</v>
      </c>
      <c r="U133">
        <v>68</v>
      </c>
      <c r="V133" t="s">
        <v>1105</v>
      </c>
      <c r="W133" t="s">
        <v>1116</v>
      </c>
      <c r="X133">
        <v>15</v>
      </c>
      <c r="Y133">
        <v>2</v>
      </c>
      <c r="Z133">
        <v>1</v>
      </c>
      <c r="AA133">
        <v>168.78</v>
      </c>
      <c r="AD133" t="s">
        <v>1122</v>
      </c>
      <c r="AE133">
        <v>36000</v>
      </c>
      <c r="AK133">
        <v>1.2</v>
      </c>
      <c r="AL133" t="s">
        <v>1165</v>
      </c>
      <c r="AM133" t="s">
        <v>1230</v>
      </c>
      <c r="AN133" t="s">
        <v>1233</v>
      </c>
      <c r="AO133" t="s">
        <v>1236</v>
      </c>
      <c r="AP133" t="s">
        <v>1175</v>
      </c>
      <c r="AR133" t="s">
        <v>683</v>
      </c>
      <c r="AT133" t="s">
        <v>3588</v>
      </c>
      <c r="AU133" t="s">
        <v>684</v>
      </c>
      <c r="AW133" t="s">
        <v>1282</v>
      </c>
    </row>
    <row r="134" spans="1:49">
      <c r="A134" s="1">
        <f>HYPERLINK("https://lsnyc.legalserver.org/matter/dynamic-profile/view/1901338","19-1901338")</f>
        <v>0</v>
      </c>
      <c r="B134" t="s">
        <v>104</v>
      </c>
      <c r="C134" t="s">
        <v>1865</v>
      </c>
      <c r="D134" t="s">
        <v>2091</v>
      </c>
      <c r="E134" t="s">
        <v>2350</v>
      </c>
      <c r="F134" t="s">
        <v>632</v>
      </c>
      <c r="G134" t="s">
        <v>677</v>
      </c>
      <c r="H134">
        <v>10462</v>
      </c>
      <c r="I134" t="s">
        <v>682</v>
      </c>
      <c r="J134" t="s">
        <v>2707</v>
      </c>
      <c r="K134" t="s">
        <v>732</v>
      </c>
      <c r="L134" t="s">
        <v>740</v>
      </c>
      <c r="M134" t="s">
        <v>744</v>
      </c>
      <c r="O134">
        <v>1608</v>
      </c>
      <c r="P134" t="s">
        <v>753</v>
      </c>
      <c r="R134" t="s">
        <v>3007</v>
      </c>
      <c r="S134" t="s">
        <v>3199</v>
      </c>
      <c r="T134" t="s">
        <v>3353</v>
      </c>
      <c r="U134">
        <v>6</v>
      </c>
      <c r="V134" t="s">
        <v>1103</v>
      </c>
      <c r="W134" t="s">
        <v>1121</v>
      </c>
      <c r="X134">
        <v>3</v>
      </c>
      <c r="Y134">
        <v>2</v>
      </c>
      <c r="Z134">
        <v>0</v>
      </c>
      <c r="AA134">
        <v>66.56</v>
      </c>
      <c r="AD134" t="s">
        <v>1122</v>
      </c>
      <c r="AE134">
        <v>11256</v>
      </c>
      <c r="AK134">
        <v>4.9</v>
      </c>
      <c r="AL134" t="s">
        <v>1206</v>
      </c>
      <c r="AM134" t="s">
        <v>1226</v>
      </c>
      <c r="AO134" t="s">
        <v>1236</v>
      </c>
      <c r="AP134" t="s">
        <v>1189</v>
      </c>
      <c r="AR134" t="s">
        <v>683</v>
      </c>
      <c r="AT134" t="s">
        <v>3588</v>
      </c>
      <c r="AW134" t="s">
        <v>1282</v>
      </c>
    </row>
    <row r="135" spans="1:49">
      <c r="A135" s="1">
        <f>HYPERLINK("https://lsnyc.legalserver.org/matter/dynamic-profile/view/1904364","19-1904364")</f>
        <v>0</v>
      </c>
      <c r="B135" t="s">
        <v>96</v>
      </c>
      <c r="C135" t="s">
        <v>1866</v>
      </c>
      <c r="D135" t="s">
        <v>2092</v>
      </c>
      <c r="E135" t="s">
        <v>2351</v>
      </c>
      <c r="F135" t="s">
        <v>2550</v>
      </c>
      <c r="G135" t="s">
        <v>677</v>
      </c>
      <c r="H135">
        <v>10473</v>
      </c>
      <c r="I135" t="s">
        <v>682</v>
      </c>
      <c r="J135" t="s">
        <v>2708</v>
      </c>
      <c r="K135" t="s">
        <v>732</v>
      </c>
      <c r="L135" t="s">
        <v>740</v>
      </c>
      <c r="O135">
        <v>1075</v>
      </c>
      <c r="R135" t="s">
        <v>3008</v>
      </c>
      <c r="T135" t="s">
        <v>3354</v>
      </c>
      <c r="U135">
        <v>49</v>
      </c>
      <c r="V135" t="s">
        <v>1112</v>
      </c>
      <c r="X135">
        <v>8</v>
      </c>
      <c r="Y135">
        <v>1</v>
      </c>
      <c r="Z135">
        <v>1</v>
      </c>
      <c r="AA135">
        <v>286.64</v>
      </c>
      <c r="AD135" t="s">
        <v>1123</v>
      </c>
      <c r="AE135">
        <v>48470.24</v>
      </c>
      <c r="AK135">
        <v>1.5</v>
      </c>
      <c r="AL135" t="s">
        <v>1158</v>
      </c>
      <c r="AM135" t="s">
        <v>3583</v>
      </c>
      <c r="AO135" t="s">
        <v>1236</v>
      </c>
      <c r="AP135" t="s">
        <v>1158</v>
      </c>
      <c r="AR135" t="s">
        <v>683</v>
      </c>
      <c r="AT135" t="s">
        <v>3588</v>
      </c>
      <c r="AW135" t="s">
        <v>1282</v>
      </c>
    </row>
    <row r="136" spans="1:49">
      <c r="A136" s="1">
        <f>HYPERLINK("https://lsnyc.legalserver.org/matter/dynamic-profile/view/1901333","19-1901333")</f>
        <v>0</v>
      </c>
      <c r="B136" t="s">
        <v>1751</v>
      </c>
      <c r="C136" t="s">
        <v>1867</v>
      </c>
      <c r="D136" t="s">
        <v>2093</v>
      </c>
      <c r="E136" t="s">
        <v>2352</v>
      </c>
      <c r="F136" t="s">
        <v>2551</v>
      </c>
      <c r="G136" t="s">
        <v>677</v>
      </c>
      <c r="H136">
        <v>10474</v>
      </c>
      <c r="I136" t="s">
        <v>682</v>
      </c>
      <c r="J136" t="s">
        <v>2709</v>
      </c>
      <c r="K136" t="s">
        <v>732</v>
      </c>
      <c r="L136" t="s">
        <v>740</v>
      </c>
      <c r="M136" t="s">
        <v>1562</v>
      </c>
      <c r="N136" t="s">
        <v>1163</v>
      </c>
      <c r="O136">
        <v>790</v>
      </c>
      <c r="P136" t="s">
        <v>753</v>
      </c>
      <c r="R136" t="s">
        <v>3009</v>
      </c>
      <c r="S136" t="s">
        <v>3200</v>
      </c>
      <c r="T136" t="s">
        <v>3355</v>
      </c>
      <c r="U136">
        <v>0</v>
      </c>
      <c r="V136" t="s">
        <v>1102</v>
      </c>
      <c r="W136" t="s">
        <v>1115</v>
      </c>
      <c r="X136">
        <v>9</v>
      </c>
      <c r="Y136">
        <v>1</v>
      </c>
      <c r="Z136">
        <v>2</v>
      </c>
      <c r="AA136">
        <v>146.27</v>
      </c>
      <c r="AD136" t="s">
        <v>1122</v>
      </c>
      <c r="AE136">
        <v>31200</v>
      </c>
      <c r="AK136">
        <v>10</v>
      </c>
      <c r="AL136" t="s">
        <v>1168</v>
      </c>
      <c r="AM136" t="s">
        <v>77</v>
      </c>
      <c r="AN136" t="s">
        <v>1234</v>
      </c>
      <c r="AO136" t="s">
        <v>1236</v>
      </c>
      <c r="AP136" t="s">
        <v>1189</v>
      </c>
      <c r="AR136" t="s">
        <v>683</v>
      </c>
      <c r="AT136" t="s">
        <v>3588</v>
      </c>
      <c r="AU136" t="s">
        <v>684</v>
      </c>
      <c r="AW136" t="s">
        <v>1282</v>
      </c>
    </row>
    <row r="137" spans="1:49">
      <c r="A137" s="1">
        <f>HYPERLINK("https://lsnyc.legalserver.org/matter/dynamic-profile/view/1895865","19-1895865")</f>
        <v>0</v>
      </c>
      <c r="B137" t="s">
        <v>1750</v>
      </c>
      <c r="C137" t="s">
        <v>1868</v>
      </c>
      <c r="D137" t="s">
        <v>274</v>
      </c>
      <c r="E137" t="s">
        <v>2353</v>
      </c>
      <c r="F137" t="s">
        <v>2517</v>
      </c>
      <c r="G137" t="s">
        <v>677</v>
      </c>
      <c r="H137">
        <v>10453</v>
      </c>
      <c r="I137" t="s">
        <v>682</v>
      </c>
      <c r="J137" t="s">
        <v>2710</v>
      </c>
      <c r="K137" t="s">
        <v>732</v>
      </c>
      <c r="L137" t="s">
        <v>740</v>
      </c>
      <c r="M137" t="s">
        <v>744</v>
      </c>
      <c r="O137">
        <v>1540</v>
      </c>
      <c r="P137" t="s">
        <v>757</v>
      </c>
      <c r="R137" t="s">
        <v>3010</v>
      </c>
      <c r="T137" t="s">
        <v>3356</v>
      </c>
      <c r="U137">
        <v>1654</v>
      </c>
      <c r="V137" t="s">
        <v>1102</v>
      </c>
      <c r="W137" t="s">
        <v>1120</v>
      </c>
      <c r="X137">
        <v>5</v>
      </c>
      <c r="Y137">
        <v>1</v>
      </c>
      <c r="Z137">
        <v>2</v>
      </c>
      <c r="AA137">
        <v>78.73999999999999</v>
      </c>
      <c r="AD137" t="s">
        <v>1123</v>
      </c>
      <c r="AE137">
        <v>16796</v>
      </c>
      <c r="AK137">
        <v>2.1</v>
      </c>
      <c r="AL137" t="s">
        <v>1179</v>
      </c>
      <c r="AM137" t="s">
        <v>1215</v>
      </c>
      <c r="AN137" t="s">
        <v>1233</v>
      </c>
      <c r="AO137" t="s">
        <v>1236</v>
      </c>
      <c r="AP137" t="s">
        <v>1243</v>
      </c>
      <c r="AR137" t="s">
        <v>684</v>
      </c>
      <c r="AT137" t="s">
        <v>3588</v>
      </c>
      <c r="AU137" t="s">
        <v>684</v>
      </c>
      <c r="AW137" t="s">
        <v>1282</v>
      </c>
    </row>
    <row r="138" spans="1:49">
      <c r="A138" s="1">
        <f>HYPERLINK("https://lsnyc.legalserver.org/matter/dynamic-profile/view/1901312","19-1901312")</f>
        <v>0</v>
      </c>
      <c r="B138" t="s">
        <v>1750</v>
      </c>
      <c r="C138" t="s">
        <v>1869</v>
      </c>
      <c r="D138" t="s">
        <v>2094</v>
      </c>
      <c r="E138" t="s">
        <v>2354</v>
      </c>
      <c r="F138" t="s">
        <v>2552</v>
      </c>
      <c r="G138" t="s">
        <v>677</v>
      </c>
      <c r="H138">
        <v>10468</v>
      </c>
      <c r="I138" t="s">
        <v>682</v>
      </c>
      <c r="J138" t="s">
        <v>2711</v>
      </c>
      <c r="K138" t="s">
        <v>732</v>
      </c>
      <c r="L138" t="s">
        <v>740</v>
      </c>
      <c r="M138" t="s">
        <v>744</v>
      </c>
      <c r="O138">
        <v>1086.26</v>
      </c>
      <c r="P138" t="s">
        <v>757</v>
      </c>
      <c r="R138" t="s">
        <v>3011</v>
      </c>
      <c r="S138" t="s">
        <v>3201</v>
      </c>
      <c r="T138" t="s">
        <v>3357</v>
      </c>
      <c r="U138">
        <v>871</v>
      </c>
      <c r="V138" t="s">
        <v>1107</v>
      </c>
      <c r="W138" t="s">
        <v>1115</v>
      </c>
      <c r="X138">
        <v>5</v>
      </c>
      <c r="Y138">
        <v>1</v>
      </c>
      <c r="Z138">
        <v>0</v>
      </c>
      <c r="AA138">
        <v>104.08</v>
      </c>
      <c r="AD138" t="s">
        <v>1122</v>
      </c>
      <c r="AE138">
        <v>13000</v>
      </c>
      <c r="AK138">
        <v>2</v>
      </c>
      <c r="AL138" t="s">
        <v>1157</v>
      </c>
      <c r="AM138" t="s">
        <v>1226</v>
      </c>
      <c r="AN138" t="s">
        <v>1233</v>
      </c>
      <c r="AO138" t="s">
        <v>1236</v>
      </c>
      <c r="AP138" t="s">
        <v>1189</v>
      </c>
      <c r="AR138" t="s">
        <v>683</v>
      </c>
      <c r="AT138" t="s">
        <v>3588</v>
      </c>
      <c r="AU138" t="s">
        <v>684</v>
      </c>
      <c r="AW138" t="s">
        <v>1282</v>
      </c>
    </row>
    <row r="139" spans="1:49">
      <c r="A139" s="1">
        <f>HYPERLINK("https://lsnyc.legalserver.org/matter/dynamic-profile/view/1900453","19-1900453")</f>
        <v>0</v>
      </c>
      <c r="B139" t="s">
        <v>104</v>
      </c>
      <c r="C139" t="s">
        <v>1870</v>
      </c>
      <c r="D139" t="s">
        <v>365</v>
      </c>
      <c r="E139" t="s">
        <v>2355</v>
      </c>
      <c r="F139" t="s">
        <v>615</v>
      </c>
      <c r="G139" t="s">
        <v>677</v>
      </c>
      <c r="H139">
        <v>10460</v>
      </c>
      <c r="I139" t="s">
        <v>682</v>
      </c>
      <c r="J139" t="s">
        <v>2712</v>
      </c>
      <c r="K139" t="s">
        <v>732</v>
      </c>
      <c r="L139" t="s">
        <v>740</v>
      </c>
      <c r="O139">
        <v>258.43</v>
      </c>
      <c r="P139" t="s">
        <v>752</v>
      </c>
      <c r="R139" t="s">
        <v>3012</v>
      </c>
      <c r="T139" t="s">
        <v>3358</v>
      </c>
      <c r="U139">
        <v>0</v>
      </c>
      <c r="V139" t="s">
        <v>1102</v>
      </c>
      <c r="W139" t="s">
        <v>1115</v>
      </c>
      <c r="X139">
        <v>39</v>
      </c>
      <c r="Y139">
        <v>1</v>
      </c>
      <c r="Z139">
        <v>0</v>
      </c>
      <c r="AA139">
        <v>115.29</v>
      </c>
      <c r="AD139" t="s">
        <v>1122</v>
      </c>
      <c r="AE139">
        <v>14400</v>
      </c>
      <c r="AK139">
        <v>5</v>
      </c>
      <c r="AL139" t="s">
        <v>1176</v>
      </c>
      <c r="AM139" t="s">
        <v>1226</v>
      </c>
      <c r="AN139" t="s">
        <v>1233</v>
      </c>
      <c r="AO139" t="s">
        <v>1236</v>
      </c>
      <c r="AP139" t="s">
        <v>1242</v>
      </c>
      <c r="AR139" t="s">
        <v>683</v>
      </c>
      <c r="AT139" t="s">
        <v>3588</v>
      </c>
      <c r="AW139" t="s">
        <v>1282</v>
      </c>
    </row>
    <row r="140" spans="1:49">
      <c r="A140" s="1">
        <f>HYPERLINK("https://lsnyc.legalserver.org/matter/dynamic-profile/view/1899520","19-1899520")</f>
        <v>0</v>
      </c>
      <c r="B140" t="s">
        <v>1760</v>
      </c>
      <c r="C140" t="s">
        <v>263</v>
      </c>
      <c r="D140" t="s">
        <v>2095</v>
      </c>
      <c r="E140" t="s">
        <v>2356</v>
      </c>
      <c r="F140">
        <v>2</v>
      </c>
      <c r="G140" t="s">
        <v>677</v>
      </c>
      <c r="H140">
        <v>10473</v>
      </c>
      <c r="I140" t="s">
        <v>682</v>
      </c>
      <c r="J140" t="s">
        <v>2713</v>
      </c>
      <c r="K140" t="s">
        <v>732</v>
      </c>
      <c r="L140" t="s">
        <v>740</v>
      </c>
      <c r="O140">
        <v>2239</v>
      </c>
      <c r="P140" t="s">
        <v>753</v>
      </c>
      <c r="R140" t="s">
        <v>3013</v>
      </c>
      <c r="S140" t="s">
        <v>3202</v>
      </c>
      <c r="T140" t="s">
        <v>3359</v>
      </c>
      <c r="U140">
        <v>2</v>
      </c>
      <c r="V140" t="s">
        <v>1106</v>
      </c>
      <c r="W140" t="s">
        <v>1115</v>
      </c>
      <c r="X140">
        <v>7</v>
      </c>
      <c r="Y140">
        <v>2</v>
      </c>
      <c r="Z140">
        <v>2</v>
      </c>
      <c r="AA140">
        <v>50</v>
      </c>
      <c r="AD140" t="s">
        <v>1123</v>
      </c>
      <c r="AE140">
        <v>12875</v>
      </c>
      <c r="AF140" t="s">
        <v>3550</v>
      </c>
      <c r="AK140">
        <v>26.3</v>
      </c>
      <c r="AL140" t="s">
        <v>1211</v>
      </c>
      <c r="AM140" t="s">
        <v>1744</v>
      </c>
      <c r="AN140" t="s">
        <v>1234</v>
      </c>
      <c r="AO140" t="s">
        <v>1236</v>
      </c>
      <c r="AP140" t="s">
        <v>1745</v>
      </c>
      <c r="AR140" t="s">
        <v>683</v>
      </c>
      <c r="AT140" t="s">
        <v>3588</v>
      </c>
      <c r="AU140" t="s">
        <v>684</v>
      </c>
      <c r="AW140" t="s">
        <v>1282</v>
      </c>
    </row>
    <row r="141" spans="1:49">
      <c r="A141" s="1">
        <f>HYPERLINK("https://lsnyc.legalserver.org/matter/dynamic-profile/view/1904776","19-1904776")</f>
        <v>0</v>
      </c>
      <c r="B141" t="s">
        <v>58</v>
      </c>
      <c r="C141" t="s">
        <v>1871</v>
      </c>
      <c r="D141" t="s">
        <v>306</v>
      </c>
      <c r="E141" t="s">
        <v>2357</v>
      </c>
      <c r="F141" t="s">
        <v>639</v>
      </c>
      <c r="G141" t="s">
        <v>677</v>
      </c>
      <c r="H141">
        <v>10460</v>
      </c>
      <c r="I141" t="s">
        <v>682</v>
      </c>
      <c r="J141" t="s">
        <v>2714</v>
      </c>
      <c r="K141" t="s">
        <v>732</v>
      </c>
      <c r="L141" t="s">
        <v>740</v>
      </c>
      <c r="M141" t="s">
        <v>1562</v>
      </c>
      <c r="O141">
        <v>908</v>
      </c>
      <c r="P141" t="s">
        <v>752</v>
      </c>
      <c r="R141" t="s">
        <v>3014</v>
      </c>
      <c r="T141" t="s">
        <v>3360</v>
      </c>
      <c r="U141">
        <v>84</v>
      </c>
      <c r="V141" t="s">
        <v>1102</v>
      </c>
      <c r="W141" t="s">
        <v>1115</v>
      </c>
      <c r="X141">
        <v>5</v>
      </c>
      <c r="Y141">
        <v>1</v>
      </c>
      <c r="Z141">
        <v>0</v>
      </c>
      <c r="AA141">
        <v>186.1</v>
      </c>
      <c r="AD141" t="s">
        <v>1122</v>
      </c>
      <c r="AE141">
        <v>23244</v>
      </c>
      <c r="AK141">
        <v>9.15</v>
      </c>
      <c r="AL141" t="s">
        <v>1211</v>
      </c>
      <c r="AM141" t="s">
        <v>1215</v>
      </c>
      <c r="AN141" t="s">
        <v>1233</v>
      </c>
      <c r="AO141" t="s">
        <v>1236</v>
      </c>
      <c r="AP141" t="s">
        <v>1161</v>
      </c>
      <c r="AR141" t="s">
        <v>683</v>
      </c>
      <c r="AT141" t="s">
        <v>3588</v>
      </c>
      <c r="AU141" t="s">
        <v>684</v>
      </c>
      <c r="AW141" t="s">
        <v>1282</v>
      </c>
    </row>
    <row r="142" spans="1:49">
      <c r="A142" s="1">
        <f>HYPERLINK("https://lsnyc.legalserver.org/matter/dynamic-profile/view/1899075","19-1899075")</f>
        <v>0</v>
      </c>
      <c r="B142" t="s">
        <v>1756</v>
      </c>
      <c r="C142" t="s">
        <v>1872</v>
      </c>
      <c r="D142" t="s">
        <v>374</v>
      </c>
      <c r="E142" t="s">
        <v>2358</v>
      </c>
      <c r="F142" t="s">
        <v>601</v>
      </c>
      <c r="G142" t="s">
        <v>677</v>
      </c>
      <c r="H142">
        <v>10453</v>
      </c>
      <c r="I142" t="s">
        <v>682</v>
      </c>
      <c r="J142" t="s">
        <v>2715</v>
      </c>
      <c r="K142" t="s">
        <v>732</v>
      </c>
      <c r="L142" t="s">
        <v>740</v>
      </c>
      <c r="M142" t="s">
        <v>745</v>
      </c>
      <c r="O142">
        <v>1002</v>
      </c>
      <c r="P142" t="s">
        <v>752</v>
      </c>
      <c r="R142" t="s">
        <v>3015</v>
      </c>
      <c r="S142" t="s">
        <v>3203</v>
      </c>
      <c r="U142">
        <v>6</v>
      </c>
      <c r="V142" t="s">
        <v>1102</v>
      </c>
      <c r="W142" t="s">
        <v>1121</v>
      </c>
      <c r="X142">
        <v>3</v>
      </c>
      <c r="Y142">
        <v>1</v>
      </c>
      <c r="Z142">
        <v>2</v>
      </c>
      <c r="AA142">
        <v>50.78</v>
      </c>
      <c r="AD142" t="s">
        <v>1123</v>
      </c>
      <c r="AE142">
        <v>10832</v>
      </c>
      <c r="AF142" t="s">
        <v>3551</v>
      </c>
      <c r="AK142">
        <v>8</v>
      </c>
      <c r="AL142" t="s">
        <v>1163</v>
      </c>
      <c r="AM142" t="s">
        <v>1226</v>
      </c>
      <c r="AN142" t="s">
        <v>1234</v>
      </c>
      <c r="AO142" t="s">
        <v>1236</v>
      </c>
      <c r="AP142" t="s">
        <v>1247</v>
      </c>
      <c r="AR142" t="s">
        <v>683</v>
      </c>
      <c r="AT142" t="s">
        <v>3588</v>
      </c>
      <c r="AW142" t="s">
        <v>1282</v>
      </c>
    </row>
    <row r="143" spans="1:49">
      <c r="A143" s="1">
        <f>HYPERLINK("https://lsnyc.legalserver.org/matter/dynamic-profile/view/1899543","19-1899543")</f>
        <v>0</v>
      </c>
      <c r="B143" t="s">
        <v>1755</v>
      </c>
      <c r="C143" t="s">
        <v>190</v>
      </c>
      <c r="D143" t="s">
        <v>2096</v>
      </c>
      <c r="E143" t="s">
        <v>2359</v>
      </c>
      <c r="F143" t="s">
        <v>1518</v>
      </c>
      <c r="G143" t="s">
        <v>677</v>
      </c>
      <c r="H143">
        <v>10456</v>
      </c>
      <c r="I143" t="s">
        <v>682</v>
      </c>
      <c r="J143" t="s">
        <v>2716</v>
      </c>
      <c r="K143" t="s">
        <v>732</v>
      </c>
      <c r="L143" t="s">
        <v>740</v>
      </c>
      <c r="M143" t="s">
        <v>744</v>
      </c>
      <c r="O143">
        <v>875</v>
      </c>
      <c r="P143" t="s">
        <v>753</v>
      </c>
      <c r="R143" t="s">
        <v>3016</v>
      </c>
      <c r="U143">
        <v>60</v>
      </c>
      <c r="V143" t="s">
        <v>1105</v>
      </c>
      <c r="W143" t="s">
        <v>1116</v>
      </c>
      <c r="X143">
        <v>25</v>
      </c>
      <c r="Y143">
        <v>2</v>
      </c>
      <c r="Z143">
        <v>2</v>
      </c>
      <c r="AA143">
        <v>136.7</v>
      </c>
      <c r="AD143" t="s">
        <v>1122</v>
      </c>
      <c r="AE143">
        <v>35200</v>
      </c>
      <c r="AK143">
        <v>0.7</v>
      </c>
      <c r="AL143" t="s">
        <v>1199</v>
      </c>
      <c r="AM143" t="s">
        <v>1231</v>
      </c>
      <c r="AO143" t="s">
        <v>1236</v>
      </c>
      <c r="AP143" t="s">
        <v>1203</v>
      </c>
      <c r="AR143" t="s">
        <v>683</v>
      </c>
      <c r="AT143" t="s">
        <v>3588</v>
      </c>
      <c r="AU143" t="s">
        <v>684</v>
      </c>
      <c r="AW143" t="s">
        <v>1282</v>
      </c>
    </row>
    <row r="144" spans="1:49">
      <c r="A144" s="1">
        <f>HYPERLINK("https://lsnyc.legalserver.org/matter/dynamic-profile/view/1905391","19-1905391")</f>
        <v>0</v>
      </c>
      <c r="B144" t="s">
        <v>58</v>
      </c>
      <c r="C144" t="s">
        <v>1801</v>
      </c>
      <c r="D144" t="s">
        <v>2097</v>
      </c>
      <c r="E144" t="s">
        <v>2360</v>
      </c>
      <c r="F144" t="s">
        <v>599</v>
      </c>
      <c r="G144" t="s">
        <v>677</v>
      </c>
      <c r="H144">
        <v>10467</v>
      </c>
      <c r="I144" t="s">
        <v>682</v>
      </c>
      <c r="L144" t="s">
        <v>740</v>
      </c>
      <c r="O144">
        <v>1625</v>
      </c>
      <c r="P144" t="s">
        <v>748</v>
      </c>
      <c r="R144" t="s">
        <v>3017</v>
      </c>
      <c r="T144" t="s">
        <v>3361</v>
      </c>
      <c r="U144">
        <v>60</v>
      </c>
      <c r="V144" t="s">
        <v>1105</v>
      </c>
      <c r="W144" t="s">
        <v>1116</v>
      </c>
      <c r="X144">
        <v>1</v>
      </c>
      <c r="Y144">
        <v>1</v>
      </c>
      <c r="Z144">
        <v>2</v>
      </c>
      <c r="AA144">
        <v>60.95</v>
      </c>
      <c r="AD144" t="s">
        <v>1122</v>
      </c>
      <c r="AE144">
        <v>13000</v>
      </c>
      <c r="AK144">
        <v>0.5</v>
      </c>
      <c r="AL144" t="s">
        <v>1169</v>
      </c>
      <c r="AM144" t="s">
        <v>1230</v>
      </c>
      <c r="AN144" t="s">
        <v>1233</v>
      </c>
      <c r="AO144" t="s">
        <v>1236</v>
      </c>
      <c r="AP144" t="s">
        <v>1169</v>
      </c>
      <c r="AR144" t="s">
        <v>683</v>
      </c>
      <c r="AT144" t="s">
        <v>3588</v>
      </c>
      <c r="AU144" t="s">
        <v>684</v>
      </c>
      <c r="AW144" t="s">
        <v>1282</v>
      </c>
    </row>
    <row r="145" spans="1:49">
      <c r="A145" s="1">
        <f>HYPERLINK("https://lsnyc.legalserver.org/matter/dynamic-profile/view/1903727","19-1903727")</f>
        <v>0</v>
      </c>
      <c r="B145" t="s">
        <v>96</v>
      </c>
      <c r="C145" t="s">
        <v>1873</v>
      </c>
      <c r="D145" t="s">
        <v>1371</v>
      </c>
      <c r="E145" t="s">
        <v>2361</v>
      </c>
      <c r="F145" t="s">
        <v>653</v>
      </c>
      <c r="G145" t="s">
        <v>677</v>
      </c>
      <c r="H145">
        <v>10453</v>
      </c>
      <c r="I145" t="s">
        <v>683</v>
      </c>
      <c r="L145" t="s">
        <v>740</v>
      </c>
      <c r="O145">
        <v>0</v>
      </c>
      <c r="R145" t="s">
        <v>3018</v>
      </c>
      <c r="T145" t="s">
        <v>3362</v>
      </c>
      <c r="U145">
        <v>0</v>
      </c>
      <c r="X145">
        <v>0</v>
      </c>
      <c r="Y145">
        <v>2</v>
      </c>
      <c r="Z145">
        <v>0</v>
      </c>
      <c r="AA145">
        <v>137.03</v>
      </c>
      <c r="AD145" t="s">
        <v>1122</v>
      </c>
      <c r="AE145">
        <v>23172</v>
      </c>
      <c r="AK145">
        <v>9.800000000000001</v>
      </c>
      <c r="AL145" t="s">
        <v>1160</v>
      </c>
      <c r="AM145" t="s">
        <v>61</v>
      </c>
      <c r="AO145" t="s">
        <v>1236</v>
      </c>
      <c r="AP145" t="s">
        <v>1163</v>
      </c>
      <c r="AR145" t="s">
        <v>683</v>
      </c>
      <c r="AT145" t="s">
        <v>3588</v>
      </c>
      <c r="AW145" t="s">
        <v>1282</v>
      </c>
    </row>
    <row r="146" spans="1:49">
      <c r="A146" s="1">
        <f>HYPERLINK("https://lsnyc.legalserver.org/matter/dynamic-profile/view/1901592","19-1901592")</f>
        <v>0</v>
      </c>
      <c r="B146" t="s">
        <v>96</v>
      </c>
      <c r="C146" t="s">
        <v>1874</v>
      </c>
      <c r="D146" t="s">
        <v>2098</v>
      </c>
      <c r="E146" t="s">
        <v>2362</v>
      </c>
      <c r="F146" t="s">
        <v>2553</v>
      </c>
      <c r="G146" t="s">
        <v>677</v>
      </c>
      <c r="H146">
        <v>10451</v>
      </c>
      <c r="I146" t="s">
        <v>684</v>
      </c>
      <c r="L146" t="s">
        <v>740</v>
      </c>
      <c r="O146">
        <v>0</v>
      </c>
      <c r="R146" t="s">
        <v>3019</v>
      </c>
      <c r="T146" t="s">
        <v>3363</v>
      </c>
      <c r="U146">
        <v>0</v>
      </c>
      <c r="X146">
        <v>0</v>
      </c>
      <c r="Y146">
        <v>2</v>
      </c>
      <c r="Z146">
        <v>1</v>
      </c>
      <c r="AA146">
        <v>0</v>
      </c>
      <c r="AD146" t="s">
        <v>1123</v>
      </c>
      <c r="AE146">
        <v>0</v>
      </c>
      <c r="AF146" t="s">
        <v>3552</v>
      </c>
      <c r="AK146">
        <v>31.2</v>
      </c>
      <c r="AL146" t="s">
        <v>1170</v>
      </c>
      <c r="AM146" t="s">
        <v>61</v>
      </c>
      <c r="AN146" t="s">
        <v>1116</v>
      </c>
      <c r="AO146" t="s">
        <v>1236</v>
      </c>
      <c r="AP146" t="s">
        <v>1209</v>
      </c>
      <c r="AR146" t="s">
        <v>683</v>
      </c>
      <c r="AT146" t="s">
        <v>3588</v>
      </c>
      <c r="AW146" t="s">
        <v>1282</v>
      </c>
    </row>
    <row r="147" spans="1:49">
      <c r="A147" s="1">
        <f>HYPERLINK("https://lsnyc.legalserver.org/matter/dynamic-profile/view/1895913","19-1895913")</f>
        <v>0</v>
      </c>
      <c r="B147" t="s">
        <v>93</v>
      </c>
      <c r="C147" t="s">
        <v>1875</v>
      </c>
      <c r="D147" t="s">
        <v>2048</v>
      </c>
      <c r="E147" t="s">
        <v>2363</v>
      </c>
      <c r="F147" t="s">
        <v>2554</v>
      </c>
      <c r="G147" t="s">
        <v>677</v>
      </c>
      <c r="H147">
        <v>10451</v>
      </c>
      <c r="I147" t="s">
        <v>682</v>
      </c>
      <c r="L147" t="s">
        <v>740</v>
      </c>
      <c r="O147">
        <v>0</v>
      </c>
      <c r="R147" t="s">
        <v>3020</v>
      </c>
      <c r="T147" t="s">
        <v>3364</v>
      </c>
      <c r="U147">
        <v>0</v>
      </c>
      <c r="V147" t="s">
        <v>1112</v>
      </c>
      <c r="X147">
        <v>0</v>
      </c>
      <c r="Y147">
        <v>1</v>
      </c>
      <c r="Z147">
        <v>3</v>
      </c>
      <c r="AA147">
        <v>125.83</v>
      </c>
      <c r="AE147">
        <v>32400</v>
      </c>
      <c r="AK147">
        <v>3</v>
      </c>
      <c r="AL147" t="s">
        <v>1745</v>
      </c>
      <c r="AM147" t="s">
        <v>1226</v>
      </c>
      <c r="AN147" t="s">
        <v>1233</v>
      </c>
      <c r="AO147" t="s">
        <v>1236</v>
      </c>
      <c r="AP147" t="s">
        <v>1244</v>
      </c>
      <c r="AR147" t="s">
        <v>683</v>
      </c>
      <c r="AT147" t="s">
        <v>3588</v>
      </c>
      <c r="AW147" t="s">
        <v>1278</v>
      </c>
    </row>
    <row r="148" spans="1:49">
      <c r="A148" s="1">
        <f>HYPERLINK("https://lsnyc.legalserver.org/matter/dynamic-profile/view/1902873","19-1902873")</f>
        <v>0</v>
      </c>
      <c r="B148" t="s">
        <v>1756</v>
      </c>
      <c r="C148" t="s">
        <v>1876</v>
      </c>
      <c r="D148" t="s">
        <v>2099</v>
      </c>
      <c r="E148" t="s">
        <v>2364</v>
      </c>
      <c r="F148" t="s">
        <v>641</v>
      </c>
      <c r="G148" t="s">
        <v>677</v>
      </c>
      <c r="H148">
        <v>10474</v>
      </c>
      <c r="I148" t="s">
        <v>683</v>
      </c>
      <c r="L148" t="s">
        <v>740</v>
      </c>
      <c r="O148">
        <v>785</v>
      </c>
      <c r="P148" t="s">
        <v>752</v>
      </c>
      <c r="R148" t="s">
        <v>3021</v>
      </c>
      <c r="T148" t="s">
        <v>3365</v>
      </c>
      <c r="U148">
        <v>0</v>
      </c>
      <c r="V148" t="s">
        <v>1102</v>
      </c>
      <c r="X148">
        <v>4</v>
      </c>
      <c r="Y148">
        <v>1</v>
      </c>
      <c r="Z148">
        <v>0</v>
      </c>
      <c r="AA148">
        <v>17.58</v>
      </c>
      <c r="AD148" t="s">
        <v>1122</v>
      </c>
      <c r="AE148">
        <v>2196</v>
      </c>
      <c r="AK148">
        <v>0</v>
      </c>
      <c r="AM148" t="s">
        <v>1226</v>
      </c>
      <c r="AO148" t="s">
        <v>1236</v>
      </c>
      <c r="AP148" t="s">
        <v>1178</v>
      </c>
      <c r="AR148" t="s">
        <v>683</v>
      </c>
      <c r="AT148" t="s">
        <v>3588</v>
      </c>
      <c r="AW148" t="s">
        <v>1282</v>
      </c>
    </row>
    <row r="149" spans="1:49">
      <c r="A149" s="1">
        <f>HYPERLINK("https://lsnyc.legalserver.org/matter/dynamic-profile/view/1906190","19-1906190")</f>
        <v>0</v>
      </c>
      <c r="B149" t="s">
        <v>69</v>
      </c>
      <c r="C149" t="s">
        <v>1320</v>
      </c>
      <c r="D149" t="s">
        <v>2100</v>
      </c>
      <c r="E149" t="s">
        <v>421</v>
      </c>
      <c r="F149" t="s">
        <v>2555</v>
      </c>
      <c r="G149" t="s">
        <v>677</v>
      </c>
      <c r="H149">
        <v>10460</v>
      </c>
      <c r="I149" t="s">
        <v>682</v>
      </c>
      <c r="J149" t="s">
        <v>2717</v>
      </c>
      <c r="K149" t="s">
        <v>730</v>
      </c>
      <c r="O149">
        <v>239</v>
      </c>
      <c r="P149" t="s">
        <v>749</v>
      </c>
      <c r="R149" t="s">
        <v>3022</v>
      </c>
      <c r="T149" t="s">
        <v>3366</v>
      </c>
      <c r="U149">
        <v>0</v>
      </c>
      <c r="V149" t="s">
        <v>1107</v>
      </c>
      <c r="W149" t="s">
        <v>1115</v>
      </c>
      <c r="X149">
        <v>45</v>
      </c>
      <c r="Y149">
        <v>1</v>
      </c>
      <c r="Z149">
        <v>0</v>
      </c>
      <c r="AA149">
        <v>79.73999999999999</v>
      </c>
      <c r="AE149">
        <v>9960</v>
      </c>
      <c r="AK149">
        <v>0</v>
      </c>
      <c r="AM149" t="s">
        <v>1231</v>
      </c>
      <c r="AO149" t="s">
        <v>1236</v>
      </c>
      <c r="AP149" t="s">
        <v>1160</v>
      </c>
      <c r="AR149" t="s">
        <v>683</v>
      </c>
      <c r="AT149" t="s">
        <v>3588</v>
      </c>
      <c r="AU149" t="s">
        <v>684</v>
      </c>
      <c r="AW149" t="s">
        <v>1282</v>
      </c>
    </row>
    <row r="150" spans="1:49">
      <c r="A150" s="1">
        <f>HYPERLINK("https://lsnyc.legalserver.org/matter/dynamic-profile/view/1906298","19-1906298")</f>
        <v>0</v>
      </c>
      <c r="B150" t="s">
        <v>90</v>
      </c>
      <c r="C150" t="s">
        <v>1877</v>
      </c>
      <c r="D150" t="s">
        <v>2101</v>
      </c>
      <c r="E150" t="s">
        <v>2365</v>
      </c>
      <c r="F150">
        <v>2</v>
      </c>
      <c r="G150" t="s">
        <v>677</v>
      </c>
      <c r="H150">
        <v>10463</v>
      </c>
      <c r="I150" t="s">
        <v>682</v>
      </c>
      <c r="J150" t="s">
        <v>2718</v>
      </c>
      <c r="K150" t="s">
        <v>730</v>
      </c>
      <c r="O150">
        <v>1783</v>
      </c>
      <c r="R150" t="s">
        <v>3023</v>
      </c>
      <c r="T150" t="s">
        <v>3367</v>
      </c>
      <c r="U150">
        <v>0</v>
      </c>
      <c r="W150" t="s">
        <v>1115</v>
      </c>
      <c r="X150">
        <v>7</v>
      </c>
      <c r="Y150">
        <v>5</v>
      </c>
      <c r="Z150">
        <v>0</v>
      </c>
      <c r="AA150">
        <v>68.84</v>
      </c>
      <c r="AD150" t="s">
        <v>1122</v>
      </c>
      <c r="AE150">
        <v>20768.36</v>
      </c>
      <c r="AK150">
        <v>0</v>
      </c>
      <c r="AM150" t="s">
        <v>77</v>
      </c>
      <c r="AN150" t="s">
        <v>1233</v>
      </c>
      <c r="AO150" t="s">
        <v>1236</v>
      </c>
      <c r="AP150" t="s">
        <v>1170</v>
      </c>
      <c r="AR150" t="s">
        <v>683</v>
      </c>
      <c r="AT150" t="s">
        <v>3588</v>
      </c>
      <c r="AU150" t="s">
        <v>684</v>
      </c>
      <c r="AW150" t="s">
        <v>1282</v>
      </c>
    </row>
    <row r="151" spans="1:49">
      <c r="A151" s="1">
        <f>HYPERLINK("https://lsnyc.legalserver.org/matter/dynamic-profile/view/1906013","19-1906013")</f>
        <v>0</v>
      </c>
      <c r="B151" t="s">
        <v>89</v>
      </c>
      <c r="C151" t="s">
        <v>1764</v>
      </c>
      <c r="D151" t="s">
        <v>2102</v>
      </c>
      <c r="E151" t="s">
        <v>2366</v>
      </c>
      <c r="F151" t="s">
        <v>617</v>
      </c>
      <c r="G151" t="s">
        <v>677</v>
      </c>
      <c r="H151">
        <v>10470</v>
      </c>
      <c r="I151" t="s">
        <v>682</v>
      </c>
      <c r="J151" t="s">
        <v>2719</v>
      </c>
      <c r="K151" t="s">
        <v>730</v>
      </c>
      <c r="O151">
        <v>1350</v>
      </c>
      <c r="R151" t="s">
        <v>3024</v>
      </c>
      <c r="T151" t="s">
        <v>3368</v>
      </c>
      <c r="U151">
        <v>3</v>
      </c>
      <c r="X151">
        <v>3</v>
      </c>
      <c r="Y151">
        <v>1</v>
      </c>
      <c r="Z151">
        <v>0</v>
      </c>
      <c r="AA151">
        <v>39.55</v>
      </c>
      <c r="AD151" t="s">
        <v>1122</v>
      </c>
      <c r="AE151">
        <v>4940</v>
      </c>
      <c r="AK151">
        <v>0.3</v>
      </c>
      <c r="AL151" t="s">
        <v>1212</v>
      </c>
      <c r="AM151" t="s">
        <v>77</v>
      </c>
      <c r="AN151" t="s">
        <v>1233</v>
      </c>
      <c r="AO151" t="s">
        <v>1236</v>
      </c>
      <c r="AP151" t="s">
        <v>1211</v>
      </c>
      <c r="AR151" t="s">
        <v>683</v>
      </c>
      <c r="AT151" t="s">
        <v>3588</v>
      </c>
      <c r="AU151" t="s">
        <v>684</v>
      </c>
      <c r="AW151" t="s">
        <v>1282</v>
      </c>
    </row>
    <row r="152" spans="1:49">
      <c r="A152" s="1">
        <f>HYPERLINK("https://lsnyc.legalserver.org/matter/dynamic-profile/view/1897674","19-1897674")</f>
        <v>0</v>
      </c>
      <c r="B152" t="s">
        <v>1760</v>
      </c>
      <c r="C152" t="s">
        <v>1878</v>
      </c>
      <c r="D152" t="s">
        <v>2103</v>
      </c>
      <c r="E152" t="s">
        <v>2367</v>
      </c>
      <c r="F152">
        <v>2</v>
      </c>
      <c r="G152" t="s">
        <v>677</v>
      </c>
      <c r="H152">
        <v>10472</v>
      </c>
      <c r="I152" t="s">
        <v>682</v>
      </c>
      <c r="J152" t="s">
        <v>2720</v>
      </c>
      <c r="K152" t="s">
        <v>730</v>
      </c>
      <c r="O152">
        <v>0</v>
      </c>
      <c r="P152" t="s">
        <v>753</v>
      </c>
      <c r="R152" t="s">
        <v>3025</v>
      </c>
      <c r="T152" t="s">
        <v>3369</v>
      </c>
      <c r="U152">
        <v>2</v>
      </c>
      <c r="V152" t="s">
        <v>1105</v>
      </c>
      <c r="W152" t="s">
        <v>1121</v>
      </c>
      <c r="X152">
        <v>2</v>
      </c>
      <c r="Y152">
        <v>2</v>
      </c>
      <c r="Z152">
        <v>2</v>
      </c>
      <c r="AA152">
        <v>77.67</v>
      </c>
      <c r="AD152" t="s">
        <v>1122</v>
      </c>
      <c r="AE152">
        <v>20000</v>
      </c>
      <c r="AK152">
        <v>0</v>
      </c>
      <c r="AM152" t="s">
        <v>1744</v>
      </c>
      <c r="AO152" t="s">
        <v>1236</v>
      </c>
      <c r="AP152" t="s">
        <v>3585</v>
      </c>
      <c r="AR152" t="s">
        <v>682</v>
      </c>
      <c r="AT152" t="s">
        <v>3588</v>
      </c>
      <c r="AU152" t="s">
        <v>684</v>
      </c>
      <c r="AW152" t="s">
        <v>1282</v>
      </c>
    </row>
    <row r="153" spans="1:49">
      <c r="A153" s="1">
        <f>HYPERLINK("https://lsnyc.legalserver.org/matter/dynamic-profile/view/1903894","19-1903894")</f>
        <v>0</v>
      </c>
      <c r="B153" t="s">
        <v>93</v>
      </c>
      <c r="C153" t="s">
        <v>244</v>
      </c>
      <c r="D153" t="s">
        <v>2104</v>
      </c>
      <c r="E153" t="s">
        <v>488</v>
      </c>
      <c r="F153" t="s">
        <v>2556</v>
      </c>
      <c r="G153" t="s">
        <v>677</v>
      </c>
      <c r="H153">
        <v>10451</v>
      </c>
      <c r="I153" t="s">
        <v>684</v>
      </c>
      <c r="J153" t="s">
        <v>2721</v>
      </c>
      <c r="K153" t="s">
        <v>730</v>
      </c>
      <c r="O153">
        <v>0</v>
      </c>
      <c r="R153" t="s">
        <v>3026</v>
      </c>
      <c r="U153">
        <v>0</v>
      </c>
      <c r="X153">
        <v>22</v>
      </c>
      <c r="Y153">
        <v>1</v>
      </c>
      <c r="Z153">
        <v>0</v>
      </c>
      <c r="AA153">
        <v>72.92</v>
      </c>
      <c r="AD153" t="s">
        <v>1122</v>
      </c>
      <c r="AE153">
        <v>9108</v>
      </c>
      <c r="AK153">
        <v>3.7</v>
      </c>
      <c r="AL153" t="s">
        <v>1169</v>
      </c>
      <c r="AM153" t="s">
        <v>77</v>
      </c>
      <c r="AN153" t="s">
        <v>1116</v>
      </c>
      <c r="AO153" t="s">
        <v>1236</v>
      </c>
      <c r="AP153" t="s">
        <v>1172</v>
      </c>
      <c r="AR153" t="s">
        <v>683</v>
      </c>
      <c r="AT153" t="s">
        <v>3588</v>
      </c>
      <c r="AU153" t="s">
        <v>684</v>
      </c>
      <c r="AW153" t="s">
        <v>1282</v>
      </c>
    </row>
    <row r="154" spans="1:49">
      <c r="A154" s="1">
        <f>HYPERLINK("https://lsnyc.legalserver.org/matter/dynamic-profile/view/1899535","19-1899535")</f>
        <v>0</v>
      </c>
      <c r="B154" t="s">
        <v>83</v>
      </c>
      <c r="C154" t="s">
        <v>1822</v>
      </c>
      <c r="D154" t="s">
        <v>306</v>
      </c>
      <c r="E154" t="s">
        <v>2368</v>
      </c>
      <c r="F154" t="s">
        <v>2557</v>
      </c>
      <c r="G154" t="s">
        <v>677</v>
      </c>
      <c r="H154">
        <v>10453</v>
      </c>
      <c r="I154" t="s">
        <v>682</v>
      </c>
      <c r="J154" t="s">
        <v>2722</v>
      </c>
      <c r="K154" t="s">
        <v>732</v>
      </c>
      <c r="O154">
        <v>1078</v>
      </c>
      <c r="R154" t="s">
        <v>3027</v>
      </c>
      <c r="T154" t="s">
        <v>3370</v>
      </c>
      <c r="U154">
        <v>0</v>
      </c>
      <c r="W154" t="s">
        <v>1115</v>
      </c>
      <c r="X154">
        <v>22</v>
      </c>
      <c r="Y154">
        <v>1</v>
      </c>
      <c r="Z154">
        <v>1</v>
      </c>
      <c r="AA154">
        <v>78.06</v>
      </c>
      <c r="AD154" t="s">
        <v>1122</v>
      </c>
      <c r="AE154">
        <v>13200</v>
      </c>
      <c r="AK154">
        <v>1.7</v>
      </c>
      <c r="AL154" t="s">
        <v>1185</v>
      </c>
      <c r="AM154" t="s">
        <v>77</v>
      </c>
      <c r="AN154" t="s">
        <v>1233</v>
      </c>
      <c r="AO154" t="s">
        <v>1236</v>
      </c>
      <c r="AP154" t="s">
        <v>1252</v>
      </c>
      <c r="AR154" t="s">
        <v>683</v>
      </c>
      <c r="AT154" t="s">
        <v>3588</v>
      </c>
      <c r="AU154" t="s">
        <v>684</v>
      </c>
      <c r="AW154" t="s">
        <v>1282</v>
      </c>
    </row>
    <row r="155" spans="1:49">
      <c r="A155" s="1">
        <f>HYPERLINK("https://lsnyc.legalserver.org/matter/dynamic-profile/view/1898627","19-1898627")</f>
        <v>0</v>
      </c>
      <c r="B155" t="s">
        <v>71</v>
      </c>
      <c r="C155" t="s">
        <v>1879</v>
      </c>
      <c r="D155" t="s">
        <v>2105</v>
      </c>
      <c r="E155" t="s">
        <v>2369</v>
      </c>
      <c r="F155" t="s">
        <v>2558</v>
      </c>
      <c r="G155" t="s">
        <v>677</v>
      </c>
      <c r="H155">
        <v>10461</v>
      </c>
      <c r="I155" t="s">
        <v>682</v>
      </c>
      <c r="J155" t="s">
        <v>2723</v>
      </c>
      <c r="K155" t="s">
        <v>732</v>
      </c>
      <c r="O155">
        <v>0</v>
      </c>
      <c r="P155" t="s">
        <v>753</v>
      </c>
      <c r="R155" t="s">
        <v>3028</v>
      </c>
      <c r="S155" t="s">
        <v>3204</v>
      </c>
      <c r="T155" t="s">
        <v>3371</v>
      </c>
      <c r="U155">
        <v>6</v>
      </c>
      <c r="V155" t="s">
        <v>1112</v>
      </c>
      <c r="W155" t="s">
        <v>1115</v>
      </c>
      <c r="X155">
        <v>0</v>
      </c>
      <c r="Y155">
        <v>1</v>
      </c>
      <c r="Z155">
        <v>0</v>
      </c>
      <c r="AA155">
        <v>55.44</v>
      </c>
      <c r="AD155" t="s">
        <v>1122</v>
      </c>
      <c r="AE155">
        <v>6924</v>
      </c>
      <c r="AF155" t="s">
        <v>3553</v>
      </c>
      <c r="AK155">
        <v>1.25</v>
      </c>
      <c r="AL155" t="s">
        <v>1247</v>
      </c>
      <c r="AM155" t="s">
        <v>1215</v>
      </c>
      <c r="AN155" t="s">
        <v>1234</v>
      </c>
      <c r="AO155" t="s">
        <v>1236</v>
      </c>
      <c r="AP155" t="s">
        <v>1192</v>
      </c>
      <c r="AR155" t="s">
        <v>682</v>
      </c>
      <c r="AT155" t="s">
        <v>3588</v>
      </c>
      <c r="AU155" t="s">
        <v>684</v>
      </c>
      <c r="AW155" t="s">
        <v>1282</v>
      </c>
    </row>
    <row r="156" spans="1:49">
      <c r="A156" s="1">
        <f>HYPERLINK("https://lsnyc.legalserver.org/matter/dynamic-profile/view/1904797","19-1904797")</f>
        <v>0</v>
      </c>
      <c r="B156" t="s">
        <v>94</v>
      </c>
      <c r="C156" t="s">
        <v>158</v>
      </c>
      <c r="D156" t="s">
        <v>2106</v>
      </c>
      <c r="E156" t="s">
        <v>2370</v>
      </c>
      <c r="F156">
        <v>55</v>
      </c>
      <c r="G156" t="s">
        <v>677</v>
      </c>
      <c r="H156">
        <v>10457</v>
      </c>
      <c r="I156" t="s">
        <v>682</v>
      </c>
      <c r="J156" t="s">
        <v>2724</v>
      </c>
      <c r="K156" t="s">
        <v>732</v>
      </c>
      <c r="O156">
        <v>1300.5</v>
      </c>
      <c r="P156" t="s">
        <v>748</v>
      </c>
      <c r="R156" t="s">
        <v>3029</v>
      </c>
      <c r="T156" t="s">
        <v>3372</v>
      </c>
      <c r="U156">
        <v>27</v>
      </c>
      <c r="V156" t="s">
        <v>1102</v>
      </c>
      <c r="W156" t="s">
        <v>1120</v>
      </c>
      <c r="X156">
        <v>3</v>
      </c>
      <c r="Y156">
        <v>1</v>
      </c>
      <c r="Z156">
        <v>3</v>
      </c>
      <c r="AA156">
        <v>206.07</v>
      </c>
      <c r="AD156" t="s">
        <v>1122</v>
      </c>
      <c r="AE156">
        <v>53064</v>
      </c>
      <c r="AK156">
        <v>0</v>
      </c>
      <c r="AM156" t="s">
        <v>1230</v>
      </c>
      <c r="AN156" t="s">
        <v>1233</v>
      </c>
      <c r="AO156" t="s">
        <v>1236</v>
      </c>
      <c r="AP156" t="s">
        <v>1161</v>
      </c>
      <c r="AR156" t="s">
        <v>683</v>
      </c>
      <c r="AT156" t="s">
        <v>3588</v>
      </c>
      <c r="AU156" t="s">
        <v>684</v>
      </c>
      <c r="AW156" t="s">
        <v>1282</v>
      </c>
    </row>
    <row r="157" spans="1:49">
      <c r="A157" s="1">
        <f>HYPERLINK("https://lsnyc.legalserver.org/matter/dynamic-profile/view/1906345","19-1906345")</f>
        <v>0</v>
      </c>
      <c r="B157" t="s">
        <v>90</v>
      </c>
      <c r="C157" t="s">
        <v>1880</v>
      </c>
      <c r="D157" t="s">
        <v>2107</v>
      </c>
      <c r="E157" t="s">
        <v>2371</v>
      </c>
      <c r="F157">
        <v>2</v>
      </c>
      <c r="G157" t="s">
        <v>677</v>
      </c>
      <c r="H157">
        <v>10469</v>
      </c>
      <c r="I157" t="s">
        <v>682</v>
      </c>
      <c r="J157" t="s">
        <v>2725</v>
      </c>
      <c r="K157" t="s">
        <v>732</v>
      </c>
      <c r="O157">
        <v>2250</v>
      </c>
      <c r="R157" t="s">
        <v>3030</v>
      </c>
      <c r="S157" t="s">
        <v>3205</v>
      </c>
      <c r="T157" t="s">
        <v>3373</v>
      </c>
      <c r="U157">
        <v>0</v>
      </c>
      <c r="W157" t="s">
        <v>1119</v>
      </c>
      <c r="X157">
        <v>1</v>
      </c>
      <c r="Y157">
        <v>2</v>
      </c>
      <c r="Z157">
        <v>2</v>
      </c>
      <c r="AA157">
        <v>161.94</v>
      </c>
      <c r="AD157" t="s">
        <v>1122</v>
      </c>
      <c r="AE157">
        <v>41700</v>
      </c>
      <c r="AK157">
        <v>0</v>
      </c>
      <c r="AM157" t="s">
        <v>77</v>
      </c>
      <c r="AN157" t="s">
        <v>1233</v>
      </c>
      <c r="AO157" t="s">
        <v>1236</v>
      </c>
      <c r="AP157" t="s">
        <v>1170</v>
      </c>
      <c r="AR157" t="s">
        <v>683</v>
      </c>
      <c r="AT157" t="s">
        <v>3588</v>
      </c>
      <c r="AU157" t="s">
        <v>684</v>
      </c>
      <c r="AW157" t="s">
        <v>1282</v>
      </c>
    </row>
    <row r="158" spans="1:49">
      <c r="A158" s="1">
        <f>HYPERLINK("https://lsnyc.legalserver.org/matter/dynamic-profile/view/1898041","19-1898041")</f>
        <v>0</v>
      </c>
      <c r="B158" t="s">
        <v>79</v>
      </c>
      <c r="C158" t="s">
        <v>1881</v>
      </c>
      <c r="D158" t="s">
        <v>2004</v>
      </c>
      <c r="E158" t="s">
        <v>534</v>
      </c>
      <c r="F158">
        <v>524</v>
      </c>
      <c r="G158" t="s">
        <v>677</v>
      </c>
      <c r="H158">
        <v>10453</v>
      </c>
      <c r="I158" t="s">
        <v>682</v>
      </c>
      <c r="J158" t="s">
        <v>2726</v>
      </c>
      <c r="K158" t="s">
        <v>732</v>
      </c>
      <c r="O158">
        <v>1196.5</v>
      </c>
      <c r="P158" t="s">
        <v>757</v>
      </c>
      <c r="R158" t="s">
        <v>3031</v>
      </c>
      <c r="S158" t="s">
        <v>3206</v>
      </c>
      <c r="T158" t="s">
        <v>3374</v>
      </c>
      <c r="U158">
        <v>146</v>
      </c>
      <c r="V158" t="s">
        <v>1102</v>
      </c>
      <c r="W158" t="s">
        <v>1116</v>
      </c>
      <c r="X158">
        <v>33</v>
      </c>
      <c r="Y158">
        <v>1</v>
      </c>
      <c r="Z158">
        <v>0</v>
      </c>
      <c r="AA158">
        <v>82.72</v>
      </c>
      <c r="AD158" t="s">
        <v>1122</v>
      </c>
      <c r="AE158">
        <v>10332</v>
      </c>
      <c r="AK158">
        <v>20.5</v>
      </c>
      <c r="AL158" t="s">
        <v>1173</v>
      </c>
      <c r="AM158" t="s">
        <v>1229</v>
      </c>
      <c r="AN158" t="s">
        <v>1234</v>
      </c>
      <c r="AO158" t="s">
        <v>1236</v>
      </c>
      <c r="AP158" t="s">
        <v>3579</v>
      </c>
      <c r="AR158" t="s">
        <v>682</v>
      </c>
      <c r="AT158" t="s">
        <v>3588</v>
      </c>
      <c r="AU158" t="s">
        <v>684</v>
      </c>
      <c r="AW158" t="s">
        <v>1282</v>
      </c>
    </row>
    <row r="159" spans="1:49">
      <c r="A159" s="1">
        <f>HYPERLINK("https://lsnyc.legalserver.org/matter/dynamic-profile/view/1903722","19-1903722")</f>
        <v>0</v>
      </c>
      <c r="B159" t="s">
        <v>1755</v>
      </c>
      <c r="C159" t="s">
        <v>1882</v>
      </c>
      <c r="D159" t="s">
        <v>2108</v>
      </c>
      <c r="E159" t="s">
        <v>2372</v>
      </c>
      <c r="F159" t="s">
        <v>621</v>
      </c>
      <c r="G159" t="s">
        <v>677</v>
      </c>
      <c r="H159">
        <v>10463</v>
      </c>
      <c r="I159" t="s">
        <v>682</v>
      </c>
      <c r="J159" t="s">
        <v>2727</v>
      </c>
      <c r="K159" t="s">
        <v>732</v>
      </c>
      <c r="O159">
        <v>1685.42</v>
      </c>
      <c r="R159" t="s">
        <v>3032</v>
      </c>
      <c r="T159" t="s">
        <v>3375</v>
      </c>
      <c r="U159">
        <v>0</v>
      </c>
      <c r="V159" t="s">
        <v>1105</v>
      </c>
      <c r="W159" t="s">
        <v>1116</v>
      </c>
      <c r="X159">
        <v>25</v>
      </c>
      <c r="Y159">
        <v>3</v>
      </c>
      <c r="Z159">
        <v>0</v>
      </c>
      <c r="AA159">
        <v>121.89</v>
      </c>
      <c r="AD159" t="s">
        <v>1123</v>
      </c>
      <c r="AE159">
        <v>26000</v>
      </c>
      <c r="AK159">
        <v>6.7</v>
      </c>
      <c r="AL159" t="s">
        <v>1168</v>
      </c>
      <c r="AM159" t="s">
        <v>1231</v>
      </c>
      <c r="AO159" t="s">
        <v>1236</v>
      </c>
      <c r="AP159" t="s">
        <v>1163</v>
      </c>
      <c r="AR159" t="s">
        <v>683</v>
      </c>
      <c r="AT159" t="s">
        <v>3588</v>
      </c>
      <c r="AU159" t="s">
        <v>684</v>
      </c>
      <c r="AW159" t="s">
        <v>1282</v>
      </c>
    </row>
    <row r="160" spans="1:49">
      <c r="A160" s="1">
        <f>HYPERLINK("https://lsnyc.legalserver.org/matter/dynamic-profile/view/1906284","19-1906284")</f>
        <v>0</v>
      </c>
      <c r="B160" t="s">
        <v>99</v>
      </c>
      <c r="C160" t="s">
        <v>1883</v>
      </c>
      <c r="D160" t="s">
        <v>2109</v>
      </c>
      <c r="E160" t="s">
        <v>2373</v>
      </c>
      <c r="F160" t="s">
        <v>2559</v>
      </c>
      <c r="G160" t="s">
        <v>677</v>
      </c>
      <c r="H160">
        <v>10453</v>
      </c>
      <c r="I160" t="s">
        <v>682</v>
      </c>
      <c r="J160" t="s">
        <v>2728</v>
      </c>
      <c r="K160" t="s">
        <v>732</v>
      </c>
      <c r="O160">
        <v>570</v>
      </c>
      <c r="R160" t="s">
        <v>3033</v>
      </c>
      <c r="T160" t="s">
        <v>3376</v>
      </c>
      <c r="U160">
        <v>0</v>
      </c>
      <c r="X160">
        <v>31</v>
      </c>
      <c r="Y160">
        <v>1</v>
      </c>
      <c r="Z160">
        <v>0</v>
      </c>
      <c r="AA160">
        <v>69.56</v>
      </c>
      <c r="AD160" t="s">
        <v>1122</v>
      </c>
      <c r="AE160">
        <v>8688</v>
      </c>
      <c r="AK160">
        <v>0</v>
      </c>
      <c r="AM160" t="s">
        <v>77</v>
      </c>
      <c r="AN160" t="s">
        <v>1233</v>
      </c>
      <c r="AO160" t="s">
        <v>1236</v>
      </c>
      <c r="AP160" t="s">
        <v>1170</v>
      </c>
      <c r="AR160" t="s">
        <v>683</v>
      </c>
      <c r="AT160" t="s">
        <v>3588</v>
      </c>
      <c r="AU160" t="s">
        <v>684</v>
      </c>
      <c r="AW160" t="s">
        <v>1282</v>
      </c>
    </row>
    <row r="161" spans="1:49">
      <c r="A161" s="1">
        <f>HYPERLINK("https://lsnyc.legalserver.org/matter/dynamic-profile/view/1905805","19-1905805")</f>
        <v>0</v>
      </c>
      <c r="B161" t="s">
        <v>1751</v>
      </c>
      <c r="C161" t="s">
        <v>1814</v>
      </c>
      <c r="D161" t="s">
        <v>2052</v>
      </c>
      <c r="E161" t="s">
        <v>2294</v>
      </c>
      <c r="F161">
        <v>8</v>
      </c>
      <c r="G161" t="s">
        <v>677</v>
      </c>
      <c r="H161">
        <v>10458</v>
      </c>
      <c r="I161" t="s">
        <v>682</v>
      </c>
      <c r="J161" t="s">
        <v>2658</v>
      </c>
      <c r="K161" t="s">
        <v>732</v>
      </c>
      <c r="O161">
        <v>1890</v>
      </c>
      <c r="R161" t="s">
        <v>2949</v>
      </c>
      <c r="S161" t="s">
        <v>3207</v>
      </c>
      <c r="T161" t="s">
        <v>3377</v>
      </c>
      <c r="U161">
        <v>9</v>
      </c>
      <c r="V161" t="s">
        <v>1102</v>
      </c>
      <c r="X161">
        <v>33</v>
      </c>
      <c r="Y161">
        <v>3</v>
      </c>
      <c r="Z161">
        <v>1</v>
      </c>
      <c r="AA161">
        <v>17.57</v>
      </c>
      <c r="AE161">
        <v>4524</v>
      </c>
      <c r="AK161">
        <v>0</v>
      </c>
      <c r="AM161" t="s">
        <v>77</v>
      </c>
      <c r="AN161" t="s">
        <v>1233</v>
      </c>
      <c r="AO161" t="s">
        <v>1236</v>
      </c>
      <c r="AP161" t="s">
        <v>1179</v>
      </c>
      <c r="AR161" t="s">
        <v>683</v>
      </c>
      <c r="AT161" t="s">
        <v>3588</v>
      </c>
      <c r="AW161" t="s">
        <v>1282</v>
      </c>
    </row>
    <row r="162" spans="1:49">
      <c r="A162" s="1">
        <f>HYPERLINK("https://lsnyc.legalserver.org/matter/dynamic-profile/view/1905796","19-1905796")</f>
        <v>0</v>
      </c>
      <c r="B162" t="s">
        <v>104</v>
      </c>
      <c r="C162" t="s">
        <v>1884</v>
      </c>
      <c r="D162" t="s">
        <v>2110</v>
      </c>
      <c r="E162" t="s">
        <v>2374</v>
      </c>
      <c r="F162">
        <v>6</v>
      </c>
      <c r="G162" t="s">
        <v>677</v>
      </c>
      <c r="H162">
        <v>10463</v>
      </c>
      <c r="I162" t="s">
        <v>682</v>
      </c>
      <c r="J162" t="s">
        <v>2729</v>
      </c>
      <c r="K162" t="s">
        <v>732</v>
      </c>
      <c r="O162">
        <v>1581</v>
      </c>
      <c r="R162" t="s">
        <v>3034</v>
      </c>
      <c r="S162" t="s">
        <v>3208</v>
      </c>
      <c r="T162" t="s">
        <v>3378</v>
      </c>
      <c r="U162">
        <v>31</v>
      </c>
      <c r="V162" t="s">
        <v>1102</v>
      </c>
      <c r="X162">
        <v>4</v>
      </c>
      <c r="Y162">
        <v>1</v>
      </c>
      <c r="Z162">
        <v>0</v>
      </c>
      <c r="AA162">
        <v>166.53</v>
      </c>
      <c r="AE162">
        <v>20800</v>
      </c>
      <c r="AK162">
        <v>0</v>
      </c>
      <c r="AM162" t="s">
        <v>77</v>
      </c>
      <c r="AN162" t="s">
        <v>1233</v>
      </c>
      <c r="AO162" t="s">
        <v>1236</v>
      </c>
      <c r="AP162" t="s">
        <v>1179</v>
      </c>
      <c r="AR162" t="s">
        <v>683</v>
      </c>
      <c r="AT162" t="s">
        <v>3588</v>
      </c>
      <c r="AW162" t="s">
        <v>1282</v>
      </c>
    </row>
    <row r="163" spans="1:49">
      <c r="A163" s="1">
        <f>HYPERLINK("https://lsnyc.legalserver.org/matter/dynamic-profile/view/1900571","19-1900571")</f>
        <v>0</v>
      </c>
      <c r="B163" t="s">
        <v>1753</v>
      </c>
      <c r="C163" t="s">
        <v>1885</v>
      </c>
      <c r="D163" t="s">
        <v>2111</v>
      </c>
      <c r="E163" t="s">
        <v>2375</v>
      </c>
      <c r="F163" t="s">
        <v>659</v>
      </c>
      <c r="G163" t="s">
        <v>677</v>
      </c>
      <c r="H163">
        <v>10460</v>
      </c>
      <c r="I163" t="s">
        <v>682</v>
      </c>
      <c r="J163" t="s">
        <v>2730</v>
      </c>
      <c r="K163" t="s">
        <v>732</v>
      </c>
      <c r="O163">
        <v>530</v>
      </c>
      <c r="P163" t="s">
        <v>753</v>
      </c>
      <c r="R163" t="s">
        <v>3035</v>
      </c>
      <c r="T163" t="s">
        <v>3379</v>
      </c>
      <c r="U163">
        <v>19</v>
      </c>
      <c r="W163" t="s">
        <v>1116</v>
      </c>
      <c r="X163">
        <v>25</v>
      </c>
      <c r="Y163">
        <v>1</v>
      </c>
      <c r="Z163">
        <v>0</v>
      </c>
      <c r="AA163">
        <v>104.15</v>
      </c>
      <c r="AD163" t="s">
        <v>1122</v>
      </c>
      <c r="AE163">
        <v>13008</v>
      </c>
      <c r="AK163">
        <v>10.7</v>
      </c>
      <c r="AL163" t="s">
        <v>1211</v>
      </c>
      <c r="AM163" t="s">
        <v>1229</v>
      </c>
      <c r="AN163" t="s">
        <v>1233</v>
      </c>
      <c r="AO163" t="s">
        <v>1236</v>
      </c>
      <c r="AP163" t="s">
        <v>1210</v>
      </c>
      <c r="AR163" t="s">
        <v>683</v>
      </c>
      <c r="AT163" t="s">
        <v>3588</v>
      </c>
      <c r="AU163" t="s">
        <v>684</v>
      </c>
      <c r="AW163" t="s">
        <v>1282</v>
      </c>
    </row>
    <row r="164" spans="1:49">
      <c r="A164" s="1">
        <f>HYPERLINK("https://lsnyc.legalserver.org/matter/dynamic-profile/view/1905608","19-1905608")</f>
        <v>0</v>
      </c>
      <c r="B164" t="s">
        <v>1761</v>
      </c>
      <c r="C164" t="s">
        <v>1886</v>
      </c>
      <c r="D164" t="s">
        <v>2112</v>
      </c>
      <c r="E164" t="s">
        <v>2376</v>
      </c>
      <c r="F164" t="s">
        <v>605</v>
      </c>
      <c r="G164" t="s">
        <v>677</v>
      </c>
      <c r="H164">
        <v>10460</v>
      </c>
      <c r="I164" t="s">
        <v>682</v>
      </c>
      <c r="J164" t="s">
        <v>2731</v>
      </c>
      <c r="K164" t="s">
        <v>732</v>
      </c>
      <c r="O164">
        <v>1534</v>
      </c>
      <c r="P164" t="s">
        <v>755</v>
      </c>
      <c r="R164" t="s">
        <v>3036</v>
      </c>
      <c r="T164" t="s">
        <v>3380</v>
      </c>
      <c r="U164">
        <v>0</v>
      </c>
      <c r="V164" t="s">
        <v>1102</v>
      </c>
      <c r="W164" t="s">
        <v>1120</v>
      </c>
      <c r="X164">
        <v>0</v>
      </c>
      <c r="Y164">
        <v>4</v>
      </c>
      <c r="Z164">
        <v>0</v>
      </c>
      <c r="AA164">
        <v>87.3</v>
      </c>
      <c r="AD164" t="s">
        <v>1122</v>
      </c>
      <c r="AE164">
        <v>22480</v>
      </c>
      <c r="AK164">
        <v>0</v>
      </c>
      <c r="AM164" t="s">
        <v>3583</v>
      </c>
      <c r="AO164" t="s">
        <v>1236</v>
      </c>
      <c r="AP164" t="s">
        <v>1175</v>
      </c>
      <c r="AR164" t="s">
        <v>683</v>
      </c>
      <c r="AT164" t="s">
        <v>3588</v>
      </c>
      <c r="AW164" t="s">
        <v>1282</v>
      </c>
    </row>
    <row r="165" spans="1:49">
      <c r="A165" s="1">
        <f>HYPERLINK("https://lsnyc.legalserver.org/matter/dynamic-profile/view/1905169","19-1905169")</f>
        <v>0</v>
      </c>
      <c r="B165" t="s">
        <v>1756</v>
      </c>
      <c r="C165" t="s">
        <v>1887</v>
      </c>
      <c r="D165" t="s">
        <v>2113</v>
      </c>
      <c r="E165" t="s">
        <v>2377</v>
      </c>
      <c r="F165">
        <v>529</v>
      </c>
      <c r="G165" t="s">
        <v>677</v>
      </c>
      <c r="H165">
        <v>10458</v>
      </c>
      <c r="I165" t="s">
        <v>682</v>
      </c>
      <c r="J165" t="s">
        <v>2732</v>
      </c>
      <c r="K165" t="s">
        <v>732</v>
      </c>
      <c r="O165">
        <v>2057</v>
      </c>
      <c r="R165" t="s">
        <v>3037</v>
      </c>
      <c r="T165" t="s">
        <v>3381</v>
      </c>
      <c r="U165">
        <v>214</v>
      </c>
      <c r="V165" t="s">
        <v>1107</v>
      </c>
      <c r="W165" t="s">
        <v>748</v>
      </c>
      <c r="X165">
        <v>22</v>
      </c>
      <c r="Y165">
        <v>2</v>
      </c>
      <c r="Z165">
        <v>6</v>
      </c>
      <c r="AA165">
        <v>35.92</v>
      </c>
      <c r="AD165" t="s">
        <v>1122</v>
      </c>
      <c r="AE165">
        <v>15600</v>
      </c>
      <c r="AK165">
        <v>5</v>
      </c>
      <c r="AL165" t="s">
        <v>1168</v>
      </c>
      <c r="AM165" t="s">
        <v>77</v>
      </c>
      <c r="AN165" t="s">
        <v>1233</v>
      </c>
      <c r="AO165" t="s">
        <v>1236</v>
      </c>
      <c r="AP165" t="s">
        <v>1166</v>
      </c>
      <c r="AR165" t="s">
        <v>683</v>
      </c>
      <c r="AT165" t="s">
        <v>3588</v>
      </c>
      <c r="AU165" t="s">
        <v>684</v>
      </c>
      <c r="AW165" t="s">
        <v>1282</v>
      </c>
    </row>
    <row r="166" spans="1:49">
      <c r="A166" s="1">
        <f>HYPERLINK("https://lsnyc.legalserver.org/matter/dynamic-profile/view/1902297","19-1902297")</f>
        <v>0</v>
      </c>
      <c r="B166" t="s">
        <v>1285</v>
      </c>
      <c r="C166" t="s">
        <v>1888</v>
      </c>
      <c r="D166" t="s">
        <v>2114</v>
      </c>
      <c r="E166" t="s">
        <v>2378</v>
      </c>
      <c r="F166" t="s">
        <v>2521</v>
      </c>
      <c r="G166" t="s">
        <v>677</v>
      </c>
      <c r="H166">
        <v>10461</v>
      </c>
      <c r="I166" t="s">
        <v>682</v>
      </c>
      <c r="O166">
        <v>1500</v>
      </c>
      <c r="P166" t="s">
        <v>747</v>
      </c>
      <c r="R166" t="s">
        <v>3038</v>
      </c>
      <c r="S166" t="s">
        <v>3209</v>
      </c>
      <c r="T166" t="s">
        <v>3382</v>
      </c>
      <c r="U166">
        <v>0</v>
      </c>
      <c r="V166" t="s">
        <v>1102</v>
      </c>
      <c r="W166" t="s">
        <v>1116</v>
      </c>
      <c r="X166">
        <v>10</v>
      </c>
      <c r="Y166">
        <v>2</v>
      </c>
      <c r="Z166">
        <v>1</v>
      </c>
      <c r="AA166">
        <v>210.97</v>
      </c>
      <c r="AD166" t="s">
        <v>1122</v>
      </c>
      <c r="AE166">
        <v>45000</v>
      </c>
      <c r="AK166">
        <v>0</v>
      </c>
      <c r="AM166" t="s">
        <v>1744</v>
      </c>
      <c r="AN166" t="s">
        <v>1234</v>
      </c>
      <c r="AO166" t="s">
        <v>1236</v>
      </c>
      <c r="AP166" t="s">
        <v>1194</v>
      </c>
      <c r="AR166" t="s">
        <v>683</v>
      </c>
      <c r="AT166" t="s">
        <v>3588</v>
      </c>
      <c r="AU166" t="s">
        <v>684</v>
      </c>
      <c r="AW166" t="s">
        <v>1282</v>
      </c>
    </row>
    <row r="167" spans="1:49">
      <c r="A167" s="1">
        <f>HYPERLINK("https://lsnyc.legalserver.org/matter/dynamic-profile/view/1900781","19-1900781")</f>
        <v>0</v>
      </c>
      <c r="B167" t="s">
        <v>1759</v>
      </c>
      <c r="C167" t="s">
        <v>1889</v>
      </c>
      <c r="D167" t="s">
        <v>2115</v>
      </c>
      <c r="E167" t="s">
        <v>2379</v>
      </c>
      <c r="F167" t="s">
        <v>604</v>
      </c>
      <c r="G167" t="s">
        <v>677</v>
      </c>
      <c r="H167">
        <v>10453</v>
      </c>
      <c r="I167" t="s">
        <v>683</v>
      </c>
      <c r="O167">
        <v>0</v>
      </c>
      <c r="R167" t="s">
        <v>3039</v>
      </c>
      <c r="T167" t="s">
        <v>3383</v>
      </c>
      <c r="U167">
        <v>0</v>
      </c>
      <c r="X167">
        <v>0</v>
      </c>
      <c r="Y167">
        <v>1</v>
      </c>
      <c r="Z167">
        <v>2</v>
      </c>
      <c r="AA167">
        <v>0</v>
      </c>
      <c r="AD167" t="s">
        <v>1122</v>
      </c>
      <c r="AE167">
        <v>0</v>
      </c>
      <c r="AK167">
        <v>9.800000000000001</v>
      </c>
      <c r="AL167" t="s">
        <v>1208</v>
      </c>
      <c r="AM167" t="s">
        <v>77</v>
      </c>
      <c r="AO167" t="s">
        <v>1236</v>
      </c>
      <c r="AP167" t="s">
        <v>1195</v>
      </c>
      <c r="AR167" t="s">
        <v>683</v>
      </c>
      <c r="AT167" t="s">
        <v>3588</v>
      </c>
      <c r="AW167" t="s">
        <v>1282</v>
      </c>
    </row>
    <row r="168" spans="1:49">
      <c r="A168" s="1">
        <f>HYPERLINK("https://lsnyc.legalserver.org/matter/dynamic-profile/view/1905569","19-1905569")</f>
        <v>0</v>
      </c>
      <c r="B168" t="s">
        <v>1755</v>
      </c>
      <c r="C168" t="s">
        <v>1890</v>
      </c>
      <c r="D168" t="s">
        <v>2116</v>
      </c>
      <c r="E168" t="s">
        <v>2380</v>
      </c>
      <c r="F168" t="s">
        <v>2560</v>
      </c>
      <c r="G168" t="s">
        <v>677</v>
      </c>
      <c r="H168">
        <v>10453</v>
      </c>
      <c r="I168" t="s">
        <v>682</v>
      </c>
      <c r="J168" t="s">
        <v>2733</v>
      </c>
      <c r="O168">
        <v>1066</v>
      </c>
      <c r="P168" t="s">
        <v>753</v>
      </c>
      <c r="R168" t="s">
        <v>1634</v>
      </c>
      <c r="T168" t="s">
        <v>3384</v>
      </c>
      <c r="U168">
        <v>0</v>
      </c>
      <c r="V168" t="s">
        <v>1107</v>
      </c>
      <c r="W168" t="s">
        <v>1116</v>
      </c>
      <c r="X168">
        <v>35</v>
      </c>
      <c r="Y168">
        <v>3</v>
      </c>
      <c r="Z168">
        <v>3</v>
      </c>
      <c r="AA168">
        <v>80.17</v>
      </c>
      <c r="AD168" t="s">
        <v>1122</v>
      </c>
      <c r="AE168">
        <v>27732</v>
      </c>
      <c r="AK168">
        <v>0</v>
      </c>
      <c r="AM168" t="s">
        <v>1231</v>
      </c>
      <c r="AO168" t="s">
        <v>1236</v>
      </c>
      <c r="AP168" t="s">
        <v>1175</v>
      </c>
      <c r="AR168" t="s">
        <v>683</v>
      </c>
      <c r="AT168" t="s">
        <v>3588</v>
      </c>
      <c r="AU168" t="s">
        <v>684</v>
      </c>
      <c r="AW168" t="s">
        <v>1282</v>
      </c>
    </row>
    <row r="169" spans="1:49">
      <c r="A169" s="1">
        <f>HYPERLINK("https://lsnyc.legalserver.org/matter/dynamic-profile/view/1896705","19-1896705")</f>
        <v>0</v>
      </c>
      <c r="B169" t="s">
        <v>58</v>
      </c>
      <c r="C169" t="s">
        <v>252</v>
      </c>
      <c r="D169" t="s">
        <v>1372</v>
      </c>
      <c r="E169" t="s">
        <v>2381</v>
      </c>
      <c r="F169" t="s">
        <v>613</v>
      </c>
      <c r="G169" t="s">
        <v>677</v>
      </c>
      <c r="H169">
        <v>10462</v>
      </c>
      <c r="I169" t="s">
        <v>682</v>
      </c>
      <c r="J169" t="s">
        <v>2734</v>
      </c>
      <c r="K169" t="s">
        <v>732</v>
      </c>
      <c r="L169" t="s">
        <v>738</v>
      </c>
      <c r="M169" t="s">
        <v>744</v>
      </c>
      <c r="O169">
        <v>1525.4</v>
      </c>
      <c r="P169" t="s">
        <v>753</v>
      </c>
      <c r="Q169" t="s">
        <v>758</v>
      </c>
      <c r="R169" t="s">
        <v>3040</v>
      </c>
      <c r="T169" t="s">
        <v>3385</v>
      </c>
      <c r="U169">
        <v>71</v>
      </c>
      <c r="V169" t="s">
        <v>1102</v>
      </c>
      <c r="W169" t="s">
        <v>1116</v>
      </c>
      <c r="X169">
        <v>12</v>
      </c>
      <c r="Y169">
        <v>2</v>
      </c>
      <c r="Z169">
        <v>0</v>
      </c>
      <c r="AA169">
        <v>231.98</v>
      </c>
      <c r="AD169" t="s">
        <v>1123</v>
      </c>
      <c r="AE169">
        <v>39228</v>
      </c>
      <c r="AF169" t="s">
        <v>3554</v>
      </c>
      <c r="AK169">
        <v>4.1</v>
      </c>
      <c r="AL169" t="s">
        <v>1194</v>
      </c>
      <c r="AM169" t="s">
        <v>1215</v>
      </c>
      <c r="AO169" t="s">
        <v>1235</v>
      </c>
      <c r="AP169" t="s">
        <v>1251</v>
      </c>
      <c r="AQ169" t="s">
        <v>3581</v>
      </c>
      <c r="AR169" t="s">
        <v>682</v>
      </c>
      <c r="AS169" t="s">
        <v>1257</v>
      </c>
      <c r="AT169" t="s">
        <v>3589</v>
      </c>
      <c r="AU169" t="s">
        <v>684</v>
      </c>
      <c r="AW169" t="s">
        <v>1282</v>
      </c>
    </row>
    <row r="170" spans="1:49">
      <c r="A170" s="1">
        <f>HYPERLINK("https://lsnyc.legalserver.org/matter/dynamic-profile/view/1899248","19-1899248")</f>
        <v>0</v>
      </c>
      <c r="B170" t="s">
        <v>49</v>
      </c>
      <c r="C170" t="s">
        <v>1891</v>
      </c>
      <c r="D170" t="s">
        <v>2117</v>
      </c>
      <c r="E170" t="s">
        <v>2382</v>
      </c>
      <c r="F170" t="s">
        <v>655</v>
      </c>
      <c r="G170" t="s">
        <v>677</v>
      </c>
      <c r="H170">
        <v>10467</v>
      </c>
      <c r="I170" t="s">
        <v>682</v>
      </c>
      <c r="K170" t="s">
        <v>732</v>
      </c>
      <c r="L170" t="s">
        <v>738</v>
      </c>
      <c r="M170" t="s">
        <v>1562</v>
      </c>
      <c r="O170">
        <v>952</v>
      </c>
      <c r="P170" t="s">
        <v>757</v>
      </c>
      <c r="Q170" t="s">
        <v>758</v>
      </c>
      <c r="R170" t="s">
        <v>3041</v>
      </c>
      <c r="U170">
        <v>0</v>
      </c>
      <c r="V170" t="s">
        <v>1102</v>
      </c>
      <c r="X170">
        <v>5</v>
      </c>
      <c r="Y170">
        <v>2</v>
      </c>
      <c r="Z170">
        <v>1</v>
      </c>
      <c r="AA170">
        <v>210.97</v>
      </c>
      <c r="AD170" t="s">
        <v>1123</v>
      </c>
      <c r="AE170">
        <v>45000</v>
      </c>
      <c r="AF170" t="s">
        <v>3555</v>
      </c>
      <c r="AK170">
        <v>1.2</v>
      </c>
      <c r="AL170" t="s">
        <v>1191</v>
      </c>
      <c r="AM170" t="s">
        <v>1215</v>
      </c>
      <c r="AN170" t="s">
        <v>1233</v>
      </c>
      <c r="AO170" t="s">
        <v>1235</v>
      </c>
      <c r="AP170" t="s">
        <v>1745</v>
      </c>
      <c r="AQ170" t="s">
        <v>1210</v>
      </c>
      <c r="AR170" t="s">
        <v>683</v>
      </c>
      <c r="AS170" t="s">
        <v>1257</v>
      </c>
      <c r="AT170" t="s">
        <v>3589</v>
      </c>
      <c r="AU170" t="s">
        <v>684</v>
      </c>
      <c r="AW170" t="s">
        <v>1282</v>
      </c>
    </row>
    <row r="171" spans="1:49">
      <c r="A171" s="1">
        <f>HYPERLINK("https://lsnyc.legalserver.org/matter/dynamic-profile/view/1896208","19-1896208")</f>
        <v>0</v>
      </c>
      <c r="B171" t="s">
        <v>1285</v>
      </c>
      <c r="C171" t="s">
        <v>1892</v>
      </c>
      <c r="D171" t="s">
        <v>2032</v>
      </c>
      <c r="E171" t="s">
        <v>2383</v>
      </c>
      <c r="F171" t="s">
        <v>2561</v>
      </c>
      <c r="G171" t="s">
        <v>677</v>
      </c>
      <c r="H171">
        <v>10467</v>
      </c>
      <c r="I171" t="s">
        <v>683</v>
      </c>
      <c r="L171" t="s">
        <v>738</v>
      </c>
      <c r="O171">
        <v>230</v>
      </c>
      <c r="P171" t="s">
        <v>748</v>
      </c>
      <c r="Q171" t="s">
        <v>758</v>
      </c>
      <c r="R171" t="s">
        <v>3042</v>
      </c>
      <c r="T171" t="s">
        <v>3386</v>
      </c>
      <c r="U171">
        <v>0</v>
      </c>
      <c r="V171" t="s">
        <v>1112</v>
      </c>
      <c r="W171" t="s">
        <v>1116</v>
      </c>
      <c r="X171">
        <v>10</v>
      </c>
      <c r="Y171">
        <v>1</v>
      </c>
      <c r="Z171">
        <v>2</v>
      </c>
      <c r="AA171">
        <v>97.52</v>
      </c>
      <c r="AD171" t="s">
        <v>1122</v>
      </c>
      <c r="AE171">
        <v>20800</v>
      </c>
      <c r="AJ171" t="s">
        <v>3577</v>
      </c>
      <c r="AK171">
        <v>1.2</v>
      </c>
      <c r="AL171" t="s">
        <v>1254</v>
      </c>
      <c r="AM171" t="s">
        <v>1218</v>
      </c>
      <c r="AO171" t="s">
        <v>1235</v>
      </c>
      <c r="AP171" t="s">
        <v>1250</v>
      </c>
      <c r="AQ171" t="s">
        <v>1238</v>
      </c>
      <c r="AR171" t="s">
        <v>683</v>
      </c>
      <c r="AS171" t="s">
        <v>1257</v>
      </c>
      <c r="AT171" t="s">
        <v>3589</v>
      </c>
      <c r="AU171" t="s">
        <v>684</v>
      </c>
      <c r="AW171" t="s">
        <v>1283</v>
      </c>
    </row>
    <row r="172" spans="1:49">
      <c r="A172" s="1">
        <f>HYPERLINK("https://lsnyc.legalserver.org/matter/dynamic-profile/view/1905513","19-1905513")</f>
        <v>0</v>
      </c>
      <c r="B172" t="s">
        <v>90</v>
      </c>
      <c r="C172" t="s">
        <v>1893</v>
      </c>
      <c r="D172" t="s">
        <v>2118</v>
      </c>
      <c r="E172" t="s">
        <v>2384</v>
      </c>
      <c r="F172" t="s">
        <v>2562</v>
      </c>
      <c r="G172" t="s">
        <v>677</v>
      </c>
      <c r="H172">
        <v>10457</v>
      </c>
      <c r="I172" t="s">
        <v>682</v>
      </c>
      <c r="L172" t="s">
        <v>738</v>
      </c>
      <c r="O172">
        <v>712.42</v>
      </c>
      <c r="P172" t="s">
        <v>753</v>
      </c>
      <c r="Q172" t="s">
        <v>758</v>
      </c>
      <c r="R172" t="s">
        <v>3043</v>
      </c>
      <c r="T172" t="s">
        <v>3387</v>
      </c>
      <c r="U172">
        <v>40</v>
      </c>
      <c r="X172">
        <v>10</v>
      </c>
      <c r="Y172">
        <v>1</v>
      </c>
      <c r="Z172">
        <v>0</v>
      </c>
      <c r="AA172">
        <v>304.24</v>
      </c>
      <c r="AE172">
        <v>38000</v>
      </c>
      <c r="AK172">
        <v>0.3</v>
      </c>
      <c r="AL172" t="s">
        <v>1206</v>
      </c>
      <c r="AM172" t="s">
        <v>77</v>
      </c>
      <c r="AN172" t="s">
        <v>1233</v>
      </c>
      <c r="AO172" t="s">
        <v>1235</v>
      </c>
      <c r="AP172" t="s">
        <v>1169</v>
      </c>
      <c r="AQ172" t="s">
        <v>1206</v>
      </c>
      <c r="AR172" t="s">
        <v>683</v>
      </c>
      <c r="AS172" t="s">
        <v>1257</v>
      </c>
      <c r="AT172" t="s">
        <v>3589</v>
      </c>
      <c r="AW172" t="s">
        <v>1282</v>
      </c>
    </row>
    <row r="173" spans="1:49">
      <c r="A173" s="1">
        <f>HYPERLINK("https://lsnyc.legalserver.org/matter/dynamic-profile/view/1905491","19-1905491")</f>
        <v>0</v>
      </c>
      <c r="B173" t="s">
        <v>90</v>
      </c>
      <c r="C173" t="s">
        <v>205</v>
      </c>
      <c r="D173" t="s">
        <v>2119</v>
      </c>
      <c r="E173" t="s">
        <v>2385</v>
      </c>
      <c r="F173" t="s">
        <v>1530</v>
      </c>
      <c r="G173" t="s">
        <v>677</v>
      </c>
      <c r="H173">
        <v>10468</v>
      </c>
      <c r="I173" t="s">
        <v>682</v>
      </c>
      <c r="L173" t="s">
        <v>738</v>
      </c>
      <c r="O173">
        <v>1160</v>
      </c>
      <c r="Q173" t="s">
        <v>758</v>
      </c>
      <c r="R173" t="s">
        <v>3044</v>
      </c>
      <c r="U173">
        <v>0</v>
      </c>
      <c r="X173">
        <v>9</v>
      </c>
      <c r="Y173">
        <v>2</v>
      </c>
      <c r="Z173">
        <v>1</v>
      </c>
      <c r="AA173">
        <v>248.48</v>
      </c>
      <c r="AD173" t="s">
        <v>1123</v>
      </c>
      <c r="AE173">
        <v>53000</v>
      </c>
      <c r="AK173">
        <v>0.2</v>
      </c>
      <c r="AL173" t="s">
        <v>1206</v>
      </c>
      <c r="AM173" t="s">
        <v>61</v>
      </c>
      <c r="AO173" t="s">
        <v>1235</v>
      </c>
      <c r="AP173" t="s">
        <v>1169</v>
      </c>
      <c r="AQ173" t="s">
        <v>1206</v>
      </c>
      <c r="AR173" t="s">
        <v>683</v>
      </c>
      <c r="AS173" t="s">
        <v>1257</v>
      </c>
      <c r="AT173" t="s">
        <v>3589</v>
      </c>
      <c r="AW173" t="s">
        <v>1282</v>
      </c>
    </row>
    <row r="174" spans="1:49">
      <c r="A174" s="1">
        <f>HYPERLINK("https://lsnyc.legalserver.org/matter/dynamic-profile/view/1901962","19-1901962")</f>
        <v>0</v>
      </c>
      <c r="B174" t="s">
        <v>49</v>
      </c>
      <c r="C174" t="s">
        <v>1894</v>
      </c>
      <c r="D174" t="s">
        <v>2120</v>
      </c>
      <c r="E174" t="s">
        <v>2386</v>
      </c>
      <c r="G174" t="s">
        <v>677</v>
      </c>
      <c r="H174">
        <v>10462</v>
      </c>
      <c r="I174" t="s">
        <v>682</v>
      </c>
      <c r="J174" t="s">
        <v>2735</v>
      </c>
      <c r="K174" t="s">
        <v>1558</v>
      </c>
      <c r="L174" t="s">
        <v>738</v>
      </c>
      <c r="M174" t="s">
        <v>744</v>
      </c>
      <c r="O174">
        <v>1467</v>
      </c>
      <c r="P174" t="s">
        <v>755</v>
      </c>
      <c r="R174" t="s">
        <v>3045</v>
      </c>
      <c r="T174" t="s">
        <v>3388</v>
      </c>
      <c r="U174">
        <v>2659</v>
      </c>
      <c r="V174" t="s">
        <v>1103</v>
      </c>
      <c r="X174">
        <v>54</v>
      </c>
      <c r="Y174">
        <v>1</v>
      </c>
      <c r="Z174">
        <v>0</v>
      </c>
      <c r="AA174">
        <v>136.43</v>
      </c>
      <c r="AD174" t="s">
        <v>1122</v>
      </c>
      <c r="AE174">
        <v>17040</v>
      </c>
      <c r="AK174">
        <v>1.9</v>
      </c>
      <c r="AL174" t="s">
        <v>1199</v>
      </c>
      <c r="AM174" t="s">
        <v>49</v>
      </c>
      <c r="AN174" t="s">
        <v>1233</v>
      </c>
      <c r="AO174" t="s">
        <v>1236</v>
      </c>
      <c r="AP174" t="s">
        <v>3586</v>
      </c>
      <c r="AR174" t="s">
        <v>683</v>
      </c>
      <c r="AT174" t="s">
        <v>3589</v>
      </c>
      <c r="AU174" t="s">
        <v>684</v>
      </c>
      <c r="AW174" t="s">
        <v>1281</v>
      </c>
    </row>
    <row r="175" spans="1:49">
      <c r="A175" s="1">
        <f>HYPERLINK("https://lsnyc.legalserver.org/matter/dynamic-profile/view/1894927","19-1894927")</f>
        <v>0</v>
      </c>
      <c r="B175" t="s">
        <v>1758</v>
      </c>
      <c r="C175" t="s">
        <v>236</v>
      </c>
      <c r="D175" t="s">
        <v>2121</v>
      </c>
      <c r="E175" t="s">
        <v>2387</v>
      </c>
      <c r="F175" t="s">
        <v>2563</v>
      </c>
      <c r="G175" t="s">
        <v>677</v>
      </c>
      <c r="H175">
        <v>10457</v>
      </c>
      <c r="I175" t="s">
        <v>682</v>
      </c>
      <c r="J175" t="s">
        <v>2736</v>
      </c>
      <c r="K175" t="s">
        <v>730</v>
      </c>
      <c r="L175" t="s">
        <v>738</v>
      </c>
      <c r="M175" t="s">
        <v>744</v>
      </c>
      <c r="O175">
        <v>198</v>
      </c>
      <c r="P175" t="s">
        <v>753</v>
      </c>
      <c r="R175" t="s">
        <v>3046</v>
      </c>
      <c r="T175" t="s">
        <v>3389</v>
      </c>
      <c r="U175">
        <v>0</v>
      </c>
      <c r="V175" t="s">
        <v>1102</v>
      </c>
      <c r="X175">
        <v>1</v>
      </c>
      <c r="Y175">
        <v>1</v>
      </c>
      <c r="Z175">
        <v>0</v>
      </c>
      <c r="AA175">
        <v>82.43000000000001</v>
      </c>
      <c r="AD175" t="s">
        <v>1123</v>
      </c>
      <c r="AE175">
        <v>10296</v>
      </c>
      <c r="AK175">
        <v>3.25</v>
      </c>
      <c r="AL175" t="s">
        <v>3580</v>
      </c>
      <c r="AM175" t="s">
        <v>1231</v>
      </c>
      <c r="AO175" t="s">
        <v>1236</v>
      </c>
      <c r="AP175" t="s">
        <v>1186</v>
      </c>
      <c r="AR175" t="s">
        <v>682</v>
      </c>
      <c r="AT175" t="s">
        <v>3589</v>
      </c>
      <c r="AU175" t="s">
        <v>684</v>
      </c>
      <c r="AW175" t="s">
        <v>1282</v>
      </c>
    </row>
    <row r="176" spans="1:49">
      <c r="A176" s="1">
        <f>HYPERLINK("https://lsnyc.legalserver.org/matter/dynamic-profile/view/1896888","19-1896888")</f>
        <v>0</v>
      </c>
      <c r="B176" t="s">
        <v>79</v>
      </c>
      <c r="C176" t="s">
        <v>1895</v>
      </c>
      <c r="D176" t="s">
        <v>2117</v>
      </c>
      <c r="E176" t="s">
        <v>2388</v>
      </c>
      <c r="F176" t="s">
        <v>1516</v>
      </c>
      <c r="G176" t="s">
        <v>677</v>
      </c>
      <c r="H176">
        <v>10457</v>
      </c>
      <c r="I176" t="s">
        <v>683</v>
      </c>
      <c r="J176" t="s">
        <v>2737</v>
      </c>
      <c r="K176" t="s">
        <v>732</v>
      </c>
      <c r="L176" t="s">
        <v>738</v>
      </c>
      <c r="O176">
        <v>1300</v>
      </c>
      <c r="P176" t="s">
        <v>750</v>
      </c>
      <c r="R176" t="s">
        <v>3047</v>
      </c>
      <c r="T176" t="s">
        <v>3390</v>
      </c>
      <c r="U176">
        <v>0</v>
      </c>
      <c r="V176" t="s">
        <v>1102</v>
      </c>
      <c r="W176" t="s">
        <v>1116</v>
      </c>
      <c r="X176">
        <v>6</v>
      </c>
      <c r="Y176">
        <v>2</v>
      </c>
      <c r="Z176">
        <v>0</v>
      </c>
      <c r="AA176">
        <v>92.25</v>
      </c>
      <c r="AD176" t="s">
        <v>1122</v>
      </c>
      <c r="AE176">
        <v>15600</v>
      </c>
      <c r="AF176" t="s">
        <v>3556</v>
      </c>
      <c r="AK176">
        <v>28.34</v>
      </c>
      <c r="AL176" t="s">
        <v>1167</v>
      </c>
      <c r="AM176" t="s">
        <v>1224</v>
      </c>
      <c r="AO176" t="s">
        <v>1236</v>
      </c>
      <c r="AP176" t="s">
        <v>1240</v>
      </c>
      <c r="AR176" t="s">
        <v>683</v>
      </c>
      <c r="AT176" t="s">
        <v>3589</v>
      </c>
      <c r="AU176" t="s">
        <v>684</v>
      </c>
      <c r="AW176" t="s">
        <v>1282</v>
      </c>
    </row>
    <row r="177" spans="1:49">
      <c r="A177" s="1">
        <f>HYPERLINK("https://lsnyc.legalserver.org/matter/dynamic-profile/view/1905872","19-1905872")</f>
        <v>0</v>
      </c>
      <c r="B177" t="s">
        <v>90</v>
      </c>
      <c r="C177" t="s">
        <v>1896</v>
      </c>
      <c r="D177" t="s">
        <v>2122</v>
      </c>
      <c r="E177" t="s">
        <v>2389</v>
      </c>
      <c r="F177">
        <v>2</v>
      </c>
      <c r="G177" t="s">
        <v>677</v>
      </c>
      <c r="H177">
        <v>10459</v>
      </c>
      <c r="I177" t="s">
        <v>682</v>
      </c>
      <c r="L177" t="s">
        <v>738</v>
      </c>
      <c r="O177">
        <v>1100</v>
      </c>
      <c r="P177" t="s">
        <v>753</v>
      </c>
      <c r="R177" t="s">
        <v>3048</v>
      </c>
      <c r="T177" t="s">
        <v>3391</v>
      </c>
      <c r="U177">
        <v>4</v>
      </c>
      <c r="V177" t="s">
        <v>1105</v>
      </c>
      <c r="W177" t="s">
        <v>1116</v>
      </c>
      <c r="X177">
        <v>14</v>
      </c>
      <c r="Y177">
        <v>1</v>
      </c>
      <c r="Z177">
        <v>1</v>
      </c>
      <c r="AA177">
        <v>0</v>
      </c>
      <c r="AD177" t="s">
        <v>1122</v>
      </c>
      <c r="AE177">
        <v>0</v>
      </c>
      <c r="AK177">
        <v>0</v>
      </c>
      <c r="AM177" t="s">
        <v>1229</v>
      </c>
      <c r="AO177" t="s">
        <v>1236</v>
      </c>
      <c r="AP177" t="s">
        <v>1165</v>
      </c>
      <c r="AR177" t="s">
        <v>683</v>
      </c>
      <c r="AT177" t="s">
        <v>3589</v>
      </c>
      <c r="AU177" t="s">
        <v>684</v>
      </c>
      <c r="AW177" t="s">
        <v>1282</v>
      </c>
    </row>
    <row r="178" spans="1:49">
      <c r="A178" s="1">
        <f>HYPERLINK("https://lsnyc.legalserver.org/matter/dynamic-profile/view/1905610","19-1905610")</f>
        <v>0</v>
      </c>
      <c r="B178" t="s">
        <v>49</v>
      </c>
      <c r="C178" t="s">
        <v>1322</v>
      </c>
      <c r="D178" t="s">
        <v>329</v>
      </c>
      <c r="E178" t="s">
        <v>2390</v>
      </c>
      <c r="F178" t="s">
        <v>599</v>
      </c>
      <c r="G178" t="s">
        <v>677</v>
      </c>
      <c r="H178">
        <v>10468</v>
      </c>
      <c r="I178" t="s">
        <v>684</v>
      </c>
      <c r="L178" t="s">
        <v>738</v>
      </c>
      <c r="O178">
        <v>0</v>
      </c>
      <c r="R178" t="s">
        <v>3049</v>
      </c>
      <c r="U178">
        <v>0</v>
      </c>
      <c r="X178">
        <v>0</v>
      </c>
      <c r="Y178">
        <v>1</v>
      </c>
      <c r="Z178">
        <v>0</v>
      </c>
      <c r="AA178">
        <v>286.65</v>
      </c>
      <c r="AD178" t="s">
        <v>1122</v>
      </c>
      <c r="AE178">
        <v>35802</v>
      </c>
      <c r="AK178">
        <v>0</v>
      </c>
      <c r="AM178" t="s">
        <v>61</v>
      </c>
      <c r="AO178" t="s">
        <v>1236</v>
      </c>
      <c r="AP178" t="s">
        <v>1175</v>
      </c>
      <c r="AR178" t="s">
        <v>683</v>
      </c>
      <c r="AT178" t="s">
        <v>3589</v>
      </c>
      <c r="AW178" t="s">
        <v>1282</v>
      </c>
    </row>
    <row r="179" spans="1:49">
      <c r="A179" s="1">
        <f>HYPERLINK("https://lsnyc.legalserver.org/matter/dynamic-profile/view/1902533","19-1902533")</f>
        <v>0</v>
      </c>
      <c r="B179" t="s">
        <v>1755</v>
      </c>
      <c r="C179" t="s">
        <v>151</v>
      </c>
      <c r="D179" t="s">
        <v>2123</v>
      </c>
      <c r="E179" t="s">
        <v>2391</v>
      </c>
      <c r="F179" t="s">
        <v>2564</v>
      </c>
      <c r="G179" t="s">
        <v>677</v>
      </c>
      <c r="H179">
        <v>10468</v>
      </c>
      <c r="I179" t="s">
        <v>682</v>
      </c>
      <c r="J179" t="s">
        <v>2738</v>
      </c>
      <c r="K179" t="s">
        <v>732</v>
      </c>
      <c r="L179" t="s">
        <v>741</v>
      </c>
      <c r="M179" t="s">
        <v>1562</v>
      </c>
      <c r="O179">
        <v>1107.47</v>
      </c>
      <c r="P179" t="s">
        <v>2885</v>
      </c>
      <c r="R179" t="s">
        <v>3050</v>
      </c>
      <c r="S179">
        <v>58022651</v>
      </c>
      <c r="T179" t="s">
        <v>3392</v>
      </c>
      <c r="U179">
        <v>69</v>
      </c>
      <c r="V179" t="s">
        <v>1102</v>
      </c>
      <c r="W179" t="s">
        <v>748</v>
      </c>
      <c r="X179">
        <v>7</v>
      </c>
      <c r="Y179">
        <v>2</v>
      </c>
      <c r="Z179">
        <v>0</v>
      </c>
      <c r="AA179">
        <v>0</v>
      </c>
      <c r="AD179" t="s">
        <v>1122</v>
      </c>
      <c r="AE179">
        <v>0</v>
      </c>
      <c r="AK179">
        <v>1.25</v>
      </c>
      <c r="AL179" t="s">
        <v>1239</v>
      </c>
      <c r="AM179" t="s">
        <v>1225</v>
      </c>
      <c r="AN179" t="s">
        <v>1234</v>
      </c>
      <c r="AO179" t="s">
        <v>1236</v>
      </c>
      <c r="AP179" t="s">
        <v>1159</v>
      </c>
      <c r="AR179" t="s">
        <v>683</v>
      </c>
      <c r="AT179" t="s">
        <v>3589</v>
      </c>
      <c r="AU179" t="s">
        <v>684</v>
      </c>
      <c r="AW179" t="s">
        <v>1282</v>
      </c>
    </row>
    <row r="180" spans="1:49">
      <c r="A180" s="1">
        <f>HYPERLINK("https://lsnyc.legalserver.org/matter/dynamic-profile/view/1905843","19-1905843")</f>
        <v>0</v>
      </c>
      <c r="B180" t="s">
        <v>1762</v>
      </c>
      <c r="C180" t="s">
        <v>1897</v>
      </c>
      <c r="D180" t="s">
        <v>330</v>
      </c>
      <c r="E180" t="s">
        <v>2392</v>
      </c>
      <c r="F180" t="s">
        <v>605</v>
      </c>
      <c r="G180" t="s">
        <v>677</v>
      </c>
      <c r="H180">
        <v>10457</v>
      </c>
      <c r="I180" t="s">
        <v>682</v>
      </c>
      <c r="J180" t="s">
        <v>2739</v>
      </c>
      <c r="K180" t="s">
        <v>732</v>
      </c>
      <c r="L180" t="s">
        <v>741</v>
      </c>
      <c r="M180" t="s">
        <v>744</v>
      </c>
      <c r="O180">
        <v>972</v>
      </c>
      <c r="R180" t="s">
        <v>3051</v>
      </c>
      <c r="T180" t="s">
        <v>3393</v>
      </c>
      <c r="U180">
        <v>55</v>
      </c>
      <c r="X180">
        <v>10</v>
      </c>
      <c r="Y180">
        <v>1</v>
      </c>
      <c r="Z180">
        <v>0</v>
      </c>
      <c r="AA180">
        <v>208.17</v>
      </c>
      <c r="AD180" t="s">
        <v>1123</v>
      </c>
      <c r="AE180">
        <v>26000</v>
      </c>
      <c r="AK180">
        <v>0</v>
      </c>
      <c r="AM180" t="s">
        <v>77</v>
      </c>
      <c r="AN180" t="s">
        <v>1233</v>
      </c>
      <c r="AO180" t="s">
        <v>1236</v>
      </c>
      <c r="AP180" t="s">
        <v>1179</v>
      </c>
      <c r="AR180" t="s">
        <v>683</v>
      </c>
      <c r="AT180" t="s">
        <v>3589</v>
      </c>
      <c r="AU180" t="s">
        <v>684</v>
      </c>
      <c r="AW180" t="s">
        <v>1282</v>
      </c>
    </row>
    <row r="181" spans="1:49">
      <c r="A181" s="1">
        <f>HYPERLINK("https://lsnyc.legalserver.org/matter/dynamic-profile/view/1903856","19-1903856")</f>
        <v>0</v>
      </c>
      <c r="B181" t="s">
        <v>104</v>
      </c>
      <c r="C181" t="s">
        <v>1898</v>
      </c>
      <c r="D181" t="s">
        <v>2124</v>
      </c>
      <c r="E181" t="s">
        <v>2393</v>
      </c>
      <c r="F181">
        <v>5</v>
      </c>
      <c r="G181" t="s">
        <v>677</v>
      </c>
      <c r="H181">
        <v>10467</v>
      </c>
      <c r="I181" t="s">
        <v>682</v>
      </c>
      <c r="J181" t="s">
        <v>2740</v>
      </c>
      <c r="K181" t="s">
        <v>732</v>
      </c>
      <c r="L181" t="s">
        <v>741</v>
      </c>
      <c r="O181">
        <v>1224</v>
      </c>
      <c r="R181" t="s">
        <v>3052</v>
      </c>
      <c r="S181" t="s">
        <v>3210</v>
      </c>
      <c r="T181" t="s">
        <v>3394</v>
      </c>
      <c r="U181">
        <v>0</v>
      </c>
      <c r="X181">
        <v>4</v>
      </c>
      <c r="Y181">
        <v>1</v>
      </c>
      <c r="Z181">
        <v>0</v>
      </c>
      <c r="AA181">
        <v>39.14</v>
      </c>
      <c r="AD181" t="s">
        <v>1122</v>
      </c>
      <c r="AE181">
        <v>4888</v>
      </c>
      <c r="AK181">
        <v>1</v>
      </c>
      <c r="AL181" t="s">
        <v>1165</v>
      </c>
      <c r="AM181" t="s">
        <v>77</v>
      </c>
      <c r="AN181" t="s">
        <v>1234</v>
      </c>
      <c r="AO181" t="s">
        <v>1236</v>
      </c>
      <c r="AP181" t="s">
        <v>1172</v>
      </c>
      <c r="AR181" t="s">
        <v>683</v>
      </c>
      <c r="AT181" t="s">
        <v>3589</v>
      </c>
      <c r="AU181" t="s">
        <v>684</v>
      </c>
      <c r="AW181" t="s">
        <v>1282</v>
      </c>
    </row>
    <row r="182" spans="1:49">
      <c r="A182" s="1">
        <f>HYPERLINK("https://lsnyc.legalserver.org/matter/dynamic-profile/view/1898153","19-1898153")</f>
        <v>0</v>
      </c>
      <c r="B182" t="s">
        <v>90</v>
      </c>
      <c r="C182" t="s">
        <v>1899</v>
      </c>
      <c r="D182" t="s">
        <v>2125</v>
      </c>
      <c r="E182" t="s">
        <v>2394</v>
      </c>
      <c r="F182" t="s">
        <v>618</v>
      </c>
      <c r="G182" t="s">
        <v>677</v>
      </c>
      <c r="H182">
        <v>10457</v>
      </c>
      <c r="I182" t="s">
        <v>682</v>
      </c>
      <c r="L182" t="s">
        <v>1560</v>
      </c>
      <c r="O182">
        <v>1351.7</v>
      </c>
      <c r="P182" t="s">
        <v>757</v>
      </c>
      <c r="R182" t="s">
        <v>3053</v>
      </c>
      <c r="S182" t="s">
        <v>3211</v>
      </c>
      <c r="T182" t="s">
        <v>3395</v>
      </c>
      <c r="U182">
        <v>0</v>
      </c>
      <c r="W182" t="s">
        <v>1115</v>
      </c>
      <c r="X182">
        <v>45</v>
      </c>
      <c r="Y182">
        <v>1</v>
      </c>
      <c r="Z182">
        <v>0</v>
      </c>
      <c r="AA182">
        <v>86.47</v>
      </c>
      <c r="AD182" t="s">
        <v>1123</v>
      </c>
      <c r="AE182">
        <v>10800</v>
      </c>
      <c r="AK182">
        <v>1.75</v>
      </c>
      <c r="AL182" t="s">
        <v>1199</v>
      </c>
      <c r="AM182" t="s">
        <v>1215</v>
      </c>
      <c r="AN182" t="s">
        <v>1233</v>
      </c>
      <c r="AO182" t="s">
        <v>1236</v>
      </c>
      <c r="AP182" t="s">
        <v>1181</v>
      </c>
      <c r="AR182" t="s">
        <v>684</v>
      </c>
      <c r="AT182" t="s">
        <v>3589</v>
      </c>
      <c r="AW182" t="s">
        <v>1282</v>
      </c>
    </row>
    <row r="183" spans="1:49">
      <c r="A183" s="1">
        <f>HYPERLINK("https://lsnyc.legalserver.org/matter/dynamic-profile/view/1903406","19-1903406")</f>
        <v>0</v>
      </c>
      <c r="B183" t="s">
        <v>1285</v>
      </c>
      <c r="C183" t="s">
        <v>1780</v>
      </c>
      <c r="D183" t="s">
        <v>2126</v>
      </c>
      <c r="E183" t="s">
        <v>2395</v>
      </c>
      <c r="F183" t="s">
        <v>2533</v>
      </c>
      <c r="G183" t="s">
        <v>2598</v>
      </c>
      <c r="H183">
        <v>10467</v>
      </c>
      <c r="I183" t="s">
        <v>682</v>
      </c>
      <c r="J183" t="s">
        <v>2741</v>
      </c>
      <c r="K183" t="s">
        <v>732</v>
      </c>
      <c r="L183" t="s">
        <v>1561</v>
      </c>
      <c r="M183" t="s">
        <v>744</v>
      </c>
      <c r="O183">
        <v>252</v>
      </c>
      <c r="P183" t="s">
        <v>753</v>
      </c>
      <c r="R183" t="s">
        <v>3054</v>
      </c>
      <c r="S183" t="s">
        <v>3212</v>
      </c>
      <c r="T183" t="s">
        <v>3396</v>
      </c>
      <c r="U183">
        <v>733</v>
      </c>
      <c r="W183" t="s">
        <v>1116</v>
      </c>
      <c r="X183">
        <v>1</v>
      </c>
      <c r="Y183">
        <v>1</v>
      </c>
      <c r="Z183">
        <v>1</v>
      </c>
      <c r="AA183">
        <v>0</v>
      </c>
      <c r="AD183" t="s">
        <v>1122</v>
      </c>
      <c r="AE183">
        <v>0</v>
      </c>
      <c r="AK183">
        <v>6.7</v>
      </c>
      <c r="AL183" t="s">
        <v>1168</v>
      </c>
      <c r="AM183" t="s">
        <v>1231</v>
      </c>
      <c r="AO183" t="s">
        <v>1236</v>
      </c>
      <c r="AP183" t="s">
        <v>1196</v>
      </c>
      <c r="AR183" t="s">
        <v>683</v>
      </c>
      <c r="AT183" t="s">
        <v>3589</v>
      </c>
      <c r="AU183" t="s">
        <v>684</v>
      </c>
      <c r="AW183" t="s">
        <v>1278</v>
      </c>
    </row>
    <row r="184" spans="1:49">
      <c r="A184" s="1">
        <f>HYPERLINK("https://lsnyc.legalserver.org/matter/dynamic-profile/view/1906261","19-1906261")</f>
        <v>0</v>
      </c>
      <c r="B184" t="s">
        <v>49</v>
      </c>
      <c r="C184" t="s">
        <v>1900</v>
      </c>
      <c r="D184" t="s">
        <v>2127</v>
      </c>
      <c r="E184" t="s">
        <v>2396</v>
      </c>
      <c r="F184" t="s">
        <v>2565</v>
      </c>
      <c r="G184" t="s">
        <v>677</v>
      </c>
      <c r="H184">
        <v>10462</v>
      </c>
      <c r="I184" t="s">
        <v>682</v>
      </c>
      <c r="J184" t="s">
        <v>2742</v>
      </c>
      <c r="K184" t="s">
        <v>730</v>
      </c>
      <c r="L184" t="s">
        <v>740</v>
      </c>
      <c r="N184" t="s">
        <v>1170</v>
      </c>
      <c r="O184">
        <v>2206</v>
      </c>
      <c r="P184" t="s">
        <v>757</v>
      </c>
      <c r="R184" t="s">
        <v>3055</v>
      </c>
      <c r="T184" t="s">
        <v>3397</v>
      </c>
      <c r="U184">
        <v>0</v>
      </c>
      <c r="V184" t="s">
        <v>1102</v>
      </c>
      <c r="W184" t="s">
        <v>1116</v>
      </c>
      <c r="X184">
        <v>22</v>
      </c>
      <c r="Y184">
        <v>2</v>
      </c>
      <c r="Z184">
        <v>1</v>
      </c>
      <c r="AA184">
        <v>185.85</v>
      </c>
      <c r="AD184" t="s">
        <v>1122</v>
      </c>
      <c r="AE184">
        <v>39642</v>
      </c>
      <c r="AK184">
        <v>2</v>
      </c>
      <c r="AL184" t="s">
        <v>1170</v>
      </c>
      <c r="AM184" t="s">
        <v>1215</v>
      </c>
      <c r="AN184" t="s">
        <v>1233</v>
      </c>
      <c r="AO184" t="s">
        <v>1236</v>
      </c>
      <c r="AP184" t="s">
        <v>1170</v>
      </c>
      <c r="AR184" t="s">
        <v>683</v>
      </c>
      <c r="AT184" t="s">
        <v>3589</v>
      </c>
      <c r="AU184" t="s">
        <v>684</v>
      </c>
      <c r="AW184" t="s">
        <v>1282</v>
      </c>
    </row>
    <row r="185" spans="1:49">
      <c r="A185" s="1">
        <f>HYPERLINK("https://lsnyc.legalserver.org/matter/dynamic-profile/view/1900494","19-1900494")</f>
        <v>0</v>
      </c>
      <c r="B185" t="s">
        <v>1755</v>
      </c>
      <c r="C185" t="s">
        <v>211</v>
      </c>
      <c r="D185" t="s">
        <v>2128</v>
      </c>
      <c r="E185" t="s">
        <v>2397</v>
      </c>
      <c r="F185" t="s">
        <v>2524</v>
      </c>
      <c r="G185" t="s">
        <v>677</v>
      </c>
      <c r="H185">
        <v>10467</v>
      </c>
      <c r="I185" t="s">
        <v>682</v>
      </c>
      <c r="J185" t="s">
        <v>2743</v>
      </c>
      <c r="K185" t="s">
        <v>730</v>
      </c>
      <c r="L185" t="s">
        <v>740</v>
      </c>
      <c r="M185" t="s">
        <v>744</v>
      </c>
      <c r="O185">
        <v>1700</v>
      </c>
      <c r="P185" t="s">
        <v>757</v>
      </c>
      <c r="R185" t="s">
        <v>3056</v>
      </c>
      <c r="T185" t="s">
        <v>3398</v>
      </c>
      <c r="U185">
        <v>3</v>
      </c>
      <c r="V185" t="s">
        <v>1104</v>
      </c>
      <c r="W185" t="s">
        <v>1116</v>
      </c>
      <c r="X185">
        <v>14</v>
      </c>
      <c r="Y185">
        <v>4</v>
      </c>
      <c r="Z185">
        <v>0</v>
      </c>
      <c r="AA185">
        <v>153.48</v>
      </c>
      <c r="AD185" t="s">
        <v>1122</v>
      </c>
      <c r="AE185">
        <v>39520</v>
      </c>
      <c r="AK185">
        <v>0.75</v>
      </c>
      <c r="AL185" t="s">
        <v>1189</v>
      </c>
      <c r="AM185" t="s">
        <v>1229</v>
      </c>
      <c r="AN185" t="s">
        <v>1233</v>
      </c>
      <c r="AO185" t="s">
        <v>1236</v>
      </c>
      <c r="AP185" t="s">
        <v>1210</v>
      </c>
      <c r="AR185" t="s">
        <v>683</v>
      </c>
      <c r="AT185" t="s">
        <v>3589</v>
      </c>
      <c r="AU185" t="s">
        <v>684</v>
      </c>
      <c r="AW185" t="s">
        <v>1282</v>
      </c>
    </row>
    <row r="186" spans="1:49">
      <c r="A186" s="1">
        <f>HYPERLINK("https://lsnyc.legalserver.org/matter/dynamic-profile/view/1904467","19-1904467")</f>
        <v>0</v>
      </c>
      <c r="B186" t="s">
        <v>71</v>
      </c>
      <c r="C186" t="s">
        <v>1901</v>
      </c>
      <c r="D186" t="s">
        <v>2129</v>
      </c>
      <c r="E186" t="s">
        <v>2398</v>
      </c>
      <c r="F186" t="s">
        <v>2566</v>
      </c>
      <c r="G186" t="s">
        <v>677</v>
      </c>
      <c r="H186">
        <v>10462</v>
      </c>
      <c r="I186" t="s">
        <v>682</v>
      </c>
      <c r="J186" t="s">
        <v>2744</v>
      </c>
      <c r="K186" t="s">
        <v>730</v>
      </c>
      <c r="L186" t="s">
        <v>740</v>
      </c>
      <c r="N186" t="s">
        <v>1208</v>
      </c>
      <c r="O186">
        <v>0</v>
      </c>
      <c r="P186" t="s">
        <v>753</v>
      </c>
      <c r="R186" t="s">
        <v>3057</v>
      </c>
      <c r="S186" t="s">
        <v>3213</v>
      </c>
      <c r="T186" t="s">
        <v>3399</v>
      </c>
      <c r="U186">
        <v>0</v>
      </c>
      <c r="V186" t="s">
        <v>1102</v>
      </c>
      <c r="W186" t="s">
        <v>1115</v>
      </c>
      <c r="X186">
        <v>8</v>
      </c>
      <c r="Y186">
        <v>2</v>
      </c>
      <c r="Z186">
        <v>0</v>
      </c>
      <c r="AA186">
        <v>0</v>
      </c>
      <c r="AD186" t="s">
        <v>1122</v>
      </c>
      <c r="AE186">
        <v>0</v>
      </c>
      <c r="AK186">
        <v>2</v>
      </c>
      <c r="AL186" t="s">
        <v>1206</v>
      </c>
      <c r="AM186" t="s">
        <v>1744</v>
      </c>
      <c r="AN186" t="s">
        <v>1234</v>
      </c>
      <c r="AO186" t="s">
        <v>1236</v>
      </c>
      <c r="AP186" t="s">
        <v>1208</v>
      </c>
      <c r="AR186" t="s">
        <v>683</v>
      </c>
      <c r="AT186" t="s">
        <v>3589</v>
      </c>
      <c r="AU186" t="s">
        <v>684</v>
      </c>
      <c r="AW186" t="s">
        <v>1282</v>
      </c>
    </row>
    <row r="187" spans="1:49">
      <c r="A187" s="1">
        <f>HYPERLINK("https://lsnyc.legalserver.org/matter/dynamic-profile/view/1899934","19-1899934")</f>
        <v>0</v>
      </c>
      <c r="B187" t="s">
        <v>49</v>
      </c>
      <c r="C187" t="s">
        <v>1902</v>
      </c>
      <c r="D187" t="s">
        <v>2130</v>
      </c>
      <c r="E187" t="s">
        <v>2399</v>
      </c>
      <c r="F187" t="s">
        <v>671</v>
      </c>
      <c r="G187" t="s">
        <v>677</v>
      </c>
      <c r="H187">
        <v>10467</v>
      </c>
      <c r="I187" t="s">
        <v>682</v>
      </c>
      <c r="J187" t="s">
        <v>2745</v>
      </c>
      <c r="K187" t="s">
        <v>730</v>
      </c>
      <c r="L187" t="s">
        <v>740</v>
      </c>
      <c r="M187" t="s">
        <v>746</v>
      </c>
      <c r="O187">
        <v>1</v>
      </c>
      <c r="P187" t="s">
        <v>752</v>
      </c>
      <c r="R187" t="s">
        <v>3058</v>
      </c>
      <c r="S187" t="s">
        <v>3214</v>
      </c>
      <c r="T187" t="s">
        <v>3400</v>
      </c>
      <c r="U187">
        <v>135</v>
      </c>
      <c r="V187" t="s">
        <v>1102</v>
      </c>
      <c r="W187" t="s">
        <v>1115</v>
      </c>
      <c r="X187">
        <v>9</v>
      </c>
      <c r="Y187">
        <v>3</v>
      </c>
      <c r="Z187">
        <v>1</v>
      </c>
      <c r="AA187">
        <v>43.01</v>
      </c>
      <c r="AD187" t="s">
        <v>1122</v>
      </c>
      <c r="AE187">
        <v>11076</v>
      </c>
      <c r="AK187">
        <v>2.4</v>
      </c>
      <c r="AL187" t="s">
        <v>1163</v>
      </c>
      <c r="AM187" t="s">
        <v>49</v>
      </c>
      <c r="AN187" t="s">
        <v>1234</v>
      </c>
      <c r="AO187" t="s">
        <v>1236</v>
      </c>
      <c r="AP187" t="s">
        <v>1210</v>
      </c>
      <c r="AR187" t="s">
        <v>683</v>
      </c>
      <c r="AT187" t="s">
        <v>3589</v>
      </c>
      <c r="AU187" t="s">
        <v>684</v>
      </c>
      <c r="AW187" t="s">
        <v>1282</v>
      </c>
    </row>
    <row r="188" spans="1:49">
      <c r="A188" s="1">
        <f>HYPERLINK("https://lsnyc.legalserver.org/matter/dynamic-profile/view/1906348","19-1906348")</f>
        <v>0</v>
      </c>
      <c r="B188" t="s">
        <v>95</v>
      </c>
      <c r="C188" t="s">
        <v>181</v>
      </c>
      <c r="D188" t="s">
        <v>2131</v>
      </c>
      <c r="E188" t="s">
        <v>2400</v>
      </c>
      <c r="F188" t="s">
        <v>1524</v>
      </c>
      <c r="G188" t="s">
        <v>677</v>
      </c>
      <c r="H188">
        <v>10468</v>
      </c>
      <c r="I188" t="s">
        <v>682</v>
      </c>
      <c r="J188" t="s">
        <v>2746</v>
      </c>
      <c r="K188" t="s">
        <v>730</v>
      </c>
      <c r="L188" t="s">
        <v>740</v>
      </c>
      <c r="O188">
        <v>675</v>
      </c>
      <c r="P188" t="s">
        <v>753</v>
      </c>
      <c r="R188" t="s">
        <v>3059</v>
      </c>
      <c r="T188" t="s">
        <v>3401</v>
      </c>
      <c r="U188">
        <v>2</v>
      </c>
      <c r="V188" t="s">
        <v>1104</v>
      </c>
      <c r="W188" t="s">
        <v>1121</v>
      </c>
      <c r="X188">
        <v>10</v>
      </c>
      <c r="Y188">
        <v>1</v>
      </c>
      <c r="Z188">
        <v>0</v>
      </c>
      <c r="AA188">
        <v>17.58</v>
      </c>
      <c r="AD188" t="s">
        <v>1122</v>
      </c>
      <c r="AE188">
        <v>2196</v>
      </c>
      <c r="AK188">
        <v>0</v>
      </c>
      <c r="AM188" t="s">
        <v>1231</v>
      </c>
      <c r="AO188" t="s">
        <v>1236</v>
      </c>
      <c r="AP188" t="s">
        <v>1170</v>
      </c>
      <c r="AR188" t="s">
        <v>683</v>
      </c>
      <c r="AT188" t="s">
        <v>3589</v>
      </c>
      <c r="AU188" t="s">
        <v>684</v>
      </c>
      <c r="AW188" t="s">
        <v>1282</v>
      </c>
    </row>
    <row r="189" spans="1:49">
      <c r="A189" s="1">
        <f>HYPERLINK("https://lsnyc.legalserver.org/matter/dynamic-profile/view/1905857","19-1905857")</f>
        <v>0</v>
      </c>
      <c r="B189" t="s">
        <v>1762</v>
      </c>
      <c r="C189" t="s">
        <v>1890</v>
      </c>
      <c r="D189" t="s">
        <v>2132</v>
      </c>
      <c r="E189" t="s">
        <v>2401</v>
      </c>
      <c r="F189">
        <v>3</v>
      </c>
      <c r="G189" t="s">
        <v>677</v>
      </c>
      <c r="H189">
        <v>10467</v>
      </c>
      <c r="I189" t="s">
        <v>682</v>
      </c>
      <c r="J189" t="s">
        <v>2747</v>
      </c>
      <c r="K189" t="s">
        <v>730</v>
      </c>
      <c r="L189" t="s">
        <v>740</v>
      </c>
      <c r="M189" t="s">
        <v>745</v>
      </c>
      <c r="O189">
        <v>1650</v>
      </c>
      <c r="R189" t="s">
        <v>3060</v>
      </c>
      <c r="T189" t="s">
        <v>3402</v>
      </c>
      <c r="U189">
        <v>3</v>
      </c>
      <c r="W189" t="s">
        <v>1115</v>
      </c>
      <c r="X189">
        <v>7</v>
      </c>
      <c r="Y189">
        <v>2</v>
      </c>
      <c r="Z189">
        <v>0</v>
      </c>
      <c r="AA189">
        <v>0</v>
      </c>
      <c r="AD189" t="s">
        <v>1122</v>
      </c>
      <c r="AE189">
        <v>0</v>
      </c>
      <c r="AK189">
        <v>0.75</v>
      </c>
      <c r="AL189" t="s">
        <v>1206</v>
      </c>
      <c r="AM189" t="s">
        <v>77</v>
      </c>
      <c r="AN189" t="s">
        <v>1233</v>
      </c>
      <c r="AO189" t="s">
        <v>1236</v>
      </c>
      <c r="AP189" t="s">
        <v>1179</v>
      </c>
      <c r="AR189" t="s">
        <v>683</v>
      </c>
      <c r="AT189" t="s">
        <v>3589</v>
      </c>
      <c r="AU189" t="s">
        <v>684</v>
      </c>
      <c r="AW189" t="s">
        <v>1282</v>
      </c>
    </row>
    <row r="190" spans="1:49">
      <c r="A190" s="1">
        <f>HYPERLINK("https://lsnyc.legalserver.org/matter/dynamic-profile/view/1904952","19-1904952")</f>
        <v>0</v>
      </c>
      <c r="B190" t="s">
        <v>66</v>
      </c>
      <c r="C190" t="s">
        <v>1903</v>
      </c>
      <c r="D190" t="s">
        <v>2133</v>
      </c>
      <c r="E190" t="s">
        <v>542</v>
      </c>
      <c r="F190" t="s">
        <v>2567</v>
      </c>
      <c r="G190" t="s">
        <v>677</v>
      </c>
      <c r="H190">
        <v>10467</v>
      </c>
      <c r="I190" t="s">
        <v>682</v>
      </c>
      <c r="J190" t="s">
        <v>2748</v>
      </c>
      <c r="K190" t="s">
        <v>730</v>
      </c>
      <c r="L190" t="s">
        <v>740</v>
      </c>
      <c r="O190">
        <v>0</v>
      </c>
      <c r="R190" t="s">
        <v>3061</v>
      </c>
      <c r="T190" t="s">
        <v>3403</v>
      </c>
      <c r="U190">
        <v>83</v>
      </c>
      <c r="X190">
        <v>0</v>
      </c>
      <c r="Y190">
        <v>2</v>
      </c>
      <c r="Z190">
        <v>1</v>
      </c>
      <c r="AA190">
        <v>23.77</v>
      </c>
      <c r="AD190" t="s">
        <v>1123</v>
      </c>
      <c r="AE190">
        <v>5070</v>
      </c>
      <c r="AK190">
        <v>0</v>
      </c>
      <c r="AM190" t="s">
        <v>77</v>
      </c>
      <c r="AN190" t="s">
        <v>1233</v>
      </c>
      <c r="AO190" t="s">
        <v>1236</v>
      </c>
      <c r="AP190" t="s">
        <v>1207</v>
      </c>
      <c r="AR190" t="s">
        <v>683</v>
      </c>
      <c r="AT190" t="s">
        <v>3589</v>
      </c>
      <c r="AU190" t="s">
        <v>684</v>
      </c>
      <c r="AW190" t="s">
        <v>1282</v>
      </c>
    </row>
    <row r="191" spans="1:49">
      <c r="A191" s="1">
        <f>HYPERLINK("https://lsnyc.legalserver.org/matter/dynamic-profile/view/1901961","19-1901961")</f>
        <v>0</v>
      </c>
      <c r="B191" t="s">
        <v>49</v>
      </c>
      <c r="C191" t="s">
        <v>1894</v>
      </c>
      <c r="D191" t="s">
        <v>2120</v>
      </c>
      <c r="E191" t="s">
        <v>2386</v>
      </c>
      <c r="G191" t="s">
        <v>677</v>
      </c>
      <c r="H191">
        <v>10462</v>
      </c>
      <c r="I191" t="s">
        <v>682</v>
      </c>
      <c r="J191" t="s">
        <v>2749</v>
      </c>
      <c r="K191" t="s">
        <v>730</v>
      </c>
      <c r="L191" t="s">
        <v>740</v>
      </c>
      <c r="M191" t="s">
        <v>2883</v>
      </c>
      <c r="O191">
        <v>1467</v>
      </c>
      <c r="P191" t="s">
        <v>753</v>
      </c>
      <c r="R191" t="s">
        <v>3045</v>
      </c>
      <c r="T191" t="s">
        <v>3388</v>
      </c>
      <c r="U191">
        <v>2659</v>
      </c>
      <c r="V191" t="s">
        <v>1103</v>
      </c>
      <c r="W191" t="s">
        <v>1117</v>
      </c>
      <c r="X191">
        <v>54</v>
      </c>
      <c r="Y191">
        <v>1</v>
      </c>
      <c r="Z191">
        <v>0</v>
      </c>
      <c r="AA191">
        <v>136.43</v>
      </c>
      <c r="AD191" t="s">
        <v>1122</v>
      </c>
      <c r="AE191">
        <v>17040</v>
      </c>
      <c r="AF191" t="s">
        <v>3557</v>
      </c>
      <c r="AK191">
        <v>16.7</v>
      </c>
      <c r="AL191" t="s">
        <v>1165</v>
      </c>
      <c r="AM191" t="s">
        <v>49</v>
      </c>
      <c r="AN191" t="s">
        <v>1233</v>
      </c>
      <c r="AO191" t="s">
        <v>1236</v>
      </c>
      <c r="AP191" t="s">
        <v>3586</v>
      </c>
      <c r="AR191" t="s">
        <v>683</v>
      </c>
      <c r="AT191" t="s">
        <v>3589</v>
      </c>
      <c r="AU191" t="s">
        <v>684</v>
      </c>
      <c r="AW191" t="s">
        <v>1282</v>
      </c>
    </row>
    <row r="192" spans="1:49">
      <c r="A192" s="1">
        <f>HYPERLINK("https://lsnyc.legalserver.org/matter/dynamic-profile/view/1904535","19-1904535")</f>
        <v>0</v>
      </c>
      <c r="B192" t="s">
        <v>85</v>
      </c>
      <c r="C192" t="s">
        <v>1904</v>
      </c>
      <c r="D192" t="s">
        <v>2134</v>
      </c>
      <c r="E192" t="s">
        <v>2402</v>
      </c>
      <c r="F192">
        <v>2</v>
      </c>
      <c r="G192" t="s">
        <v>677</v>
      </c>
      <c r="H192">
        <v>10457</v>
      </c>
      <c r="I192" t="s">
        <v>682</v>
      </c>
      <c r="J192" t="s">
        <v>2750</v>
      </c>
      <c r="K192" t="s">
        <v>730</v>
      </c>
      <c r="L192" t="s">
        <v>740</v>
      </c>
      <c r="O192">
        <v>2200</v>
      </c>
      <c r="P192" t="s">
        <v>753</v>
      </c>
      <c r="R192" t="s">
        <v>3062</v>
      </c>
      <c r="T192" t="s">
        <v>3404</v>
      </c>
      <c r="U192">
        <v>0</v>
      </c>
      <c r="V192" t="s">
        <v>1105</v>
      </c>
      <c r="W192" t="s">
        <v>1120</v>
      </c>
      <c r="X192">
        <v>2</v>
      </c>
      <c r="Y192">
        <v>1</v>
      </c>
      <c r="Z192">
        <v>2</v>
      </c>
      <c r="AA192">
        <v>39.38</v>
      </c>
      <c r="AE192">
        <v>8400</v>
      </c>
      <c r="AK192">
        <v>3.7</v>
      </c>
      <c r="AL192" t="s">
        <v>1169</v>
      </c>
      <c r="AM192" t="s">
        <v>1225</v>
      </c>
      <c r="AN192" t="s">
        <v>1233</v>
      </c>
      <c r="AO192" t="s">
        <v>1236</v>
      </c>
      <c r="AP192" t="s">
        <v>1176</v>
      </c>
      <c r="AR192" t="s">
        <v>683</v>
      </c>
      <c r="AT192" t="s">
        <v>3589</v>
      </c>
      <c r="AU192" t="s">
        <v>684</v>
      </c>
      <c r="AW192" t="s">
        <v>1282</v>
      </c>
    </row>
    <row r="193" spans="1:49">
      <c r="A193" s="1">
        <f>HYPERLINK("https://lsnyc.legalserver.org/matter/dynamic-profile/view/1904103","19-1904103")</f>
        <v>0</v>
      </c>
      <c r="B193" t="s">
        <v>95</v>
      </c>
      <c r="C193" t="s">
        <v>1905</v>
      </c>
      <c r="D193" t="s">
        <v>2135</v>
      </c>
      <c r="E193" t="s">
        <v>2403</v>
      </c>
      <c r="F193">
        <v>2</v>
      </c>
      <c r="G193" t="s">
        <v>677</v>
      </c>
      <c r="H193">
        <v>10467</v>
      </c>
      <c r="I193" t="s">
        <v>682</v>
      </c>
      <c r="J193" t="s">
        <v>2751</v>
      </c>
      <c r="K193" t="s">
        <v>730</v>
      </c>
      <c r="L193" t="s">
        <v>740</v>
      </c>
      <c r="N193" t="s">
        <v>1208</v>
      </c>
      <c r="O193">
        <v>975</v>
      </c>
      <c r="R193" t="s">
        <v>3063</v>
      </c>
      <c r="S193" t="s">
        <v>3215</v>
      </c>
      <c r="T193" t="s">
        <v>3405</v>
      </c>
      <c r="U193">
        <v>1</v>
      </c>
      <c r="V193" t="s">
        <v>1102</v>
      </c>
      <c r="W193" t="s">
        <v>1116</v>
      </c>
      <c r="X193">
        <v>16</v>
      </c>
      <c r="Y193">
        <v>1</v>
      </c>
      <c r="Z193">
        <v>0</v>
      </c>
      <c r="AA193">
        <v>15.85</v>
      </c>
      <c r="AD193" t="s">
        <v>1122</v>
      </c>
      <c r="AE193">
        <v>1980</v>
      </c>
      <c r="AK193">
        <v>4</v>
      </c>
      <c r="AL193" t="s">
        <v>1207</v>
      </c>
      <c r="AM193" t="s">
        <v>1229</v>
      </c>
      <c r="AN193" t="s">
        <v>1234</v>
      </c>
      <c r="AO193" t="s">
        <v>1236</v>
      </c>
      <c r="AP193" t="s">
        <v>1208</v>
      </c>
      <c r="AR193" t="s">
        <v>683</v>
      </c>
      <c r="AT193" t="s">
        <v>3589</v>
      </c>
      <c r="AU193" t="s">
        <v>684</v>
      </c>
      <c r="AW193" t="s">
        <v>1282</v>
      </c>
    </row>
    <row r="194" spans="1:49">
      <c r="A194" s="1">
        <f>HYPERLINK("https://lsnyc.legalserver.org/matter/dynamic-profile/view/1905523","19-1905523")</f>
        <v>0</v>
      </c>
      <c r="B194" t="s">
        <v>104</v>
      </c>
      <c r="C194" t="s">
        <v>1906</v>
      </c>
      <c r="D194" t="s">
        <v>2136</v>
      </c>
      <c r="E194" t="s">
        <v>1435</v>
      </c>
      <c r="F194" t="s">
        <v>621</v>
      </c>
      <c r="G194" t="s">
        <v>677</v>
      </c>
      <c r="H194">
        <v>10457</v>
      </c>
      <c r="I194" t="s">
        <v>683</v>
      </c>
      <c r="J194" t="s">
        <v>2752</v>
      </c>
      <c r="K194" t="s">
        <v>730</v>
      </c>
      <c r="L194" t="s">
        <v>740</v>
      </c>
      <c r="O194">
        <v>514.45</v>
      </c>
      <c r="P194" t="s">
        <v>2886</v>
      </c>
      <c r="R194" t="s">
        <v>3064</v>
      </c>
      <c r="T194" t="s">
        <v>3406</v>
      </c>
      <c r="U194">
        <v>0</v>
      </c>
      <c r="V194" t="s">
        <v>1102</v>
      </c>
      <c r="X194">
        <v>41</v>
      </c>
      <c r="Y194">
        <v>5</v>
      </c>
      <c r="Z194">
        <v>1</v>
      </c>
      <c r="AA194">
        <v>10.23</v>
      </c>
      <c r="AD194" t="s">
        <v>1122</v>
      </c>
      <c r="AE194">
        <v>3540</v>
      </c>
      <c r="AK194">
        <v>1.5</v>
      </c>
      <c r="AL194" t="s">
        <v>1175</v>
      </c>
      <c r="AM194" t="s">
        <v>3583</v>
      </c>
      <c r="AO194" t="s">
        <v>1236</v>
      </c>
      <c r="AP194" t="s">
        <v>1175</v>
      </c>
      <c r="AR194" t="s">
        <v>683</v>
      </c>
      <c r="AT194" t="s">
        <v>3589</v>
      </c>
      <c r="AU194" t="s">
        <v>684</v>
      </c>
      <c r="AW194" t="s">
        <v>1282</v>
      </c>
    </row>
    <row r="195" spans="1:49">
      <c r="A195" s="1">
        <f>HYPERLINK("https://lsnyc.legalserver.org/matter/dynamic-profile/view/1903008","19-1903008")</f>
        <v>0</v>
      </c>
      <c r="B195" t="s">
        <v>79</v>
      </c>
      <c r="C195" t="s">
        <v>1907</v>
      </c>
      <c r="D195" t="s">
        <v>324</v>
      </c>
      <c r="G195" t="s">
        <v>677</v>
      </c>
      <c r="H195">
        <v>10467</v>
      </c>
      <c r="I195" t="s">
        <v>682</v>
      </c>
      <c r="J195" t="s">
        <v>2753</v>
      </c>
      <c r="K195" t="s">
        <v>730</v>
      </c>
      <c r="L195" t="s">
        <v>740</v>
      </c>
      <c r="O195">
        <v>1775</v>
      </c>
      <c r="P195" t="s">
        <v>757</v>
      </c>
      <c r="R195" t="s">
        <v>3065</v>
      </c>
      <c r="T195" t="s">
        <v>3407</v>
      </c>
      <c r="U195">
        <v>0</v>
      </c>
      <c r="V195" t="s">
        <v>1107</v>
      </c>
      <c r="W195" t="s">
        <v>748</v>
      </c>
      <c r="X195">
        <v>2</v>
      </c>
      <c r="Y195">
        <v>2</v>
      </c>
      <c r="Z195">
        <v>0</v>
      </c>
      <c r="AA195">
        <v>49.39</v>
      </c>
      <c r="AD195" t="s">
        <v>1122</v>
      </c>
      <c r="AE195">
        <v>8352</v>
      </c>
      <c r="AK195">
        <v>1.5</v>
      </c>
      <c r="AL195" t="s">
        <v>1248</v>
      </c>
      <c r="AM195" t="s">
        <v>1229</v>
      </c>
      <c r="AN195" t="s">
        <v>1233</v>
      </c>
      <c r="AO195" t="s">
        <v>1236</v>
      </c>
      <c r="AP195" t="s">
        <v>1239</v>
      </c>
      <c r="AR195" t="s">
        <v>683</v>
      </c>
      <c r="AT195" t="s">
        <v>3589</v>
      </c>
      <c r="AU195" t="s">
        <v>684</v>
      </c>
      <c r="AW195" t="s">
        <v>1282</v>
      </c>
    </row>
    <row r="196" spans="1:49">
      <c r="A196" s="1">
        <f>HYPERLINK("https://lsnyc.legalserver.org/matter/dynamic-profile/view/1899524","19-1899524")</f>
        <v>0</v>
      </c>
      <c r="B196" t="s">
        <v>1753</v>
      </c>
      <c r="C196" t="s">
        <v>1908</v>
      </c>
      <c r="D196" t="s">
        <v>181</v>
      </c>
      <c r="E196" t="s">
        <v>2404</v>
      </c>
      <c r="F196" t="s">
        <v>2568</v>
      </c>
      <c r="G196" t="s">
        <v>677</v>
      </c>
      <c r="H196">
        <v>10467</v>
      </c>
      <c r="I196" t="s">
        <v>683</v>
      </c>
      <c r="J196" t="s">
        <v>2754</v>
      </c>
      <c r="K196" t="s">
        <v>730</v>
      </c>
      <c r="L196" t="s">
        <v>740</v>
      </c>
      <c r="M196" t="s">
        <v>744</v>
      </c>
      <c r="O196">
        <v>1515</v>
      </c>
      <c r="P196" t="s">
        <v>757</v>
      </c>
      <c r="R196" t="s">
        <v>3066</v>
      </c>
      <c r="U196">
        <v>4</v>
      </c>
      <c r="W196" t="s">
        <v>1121</v>
      </c>
      <c r="X196">
        <v>0</v>
      </c>
      <c r="Y196">
        <v>1</v>
      </c>
      <c r="Z196">
        <v>2</v>
      </c>
      <c r="AA196">
        <v>0</v>
      </c>
      <c r="AD196" t="s">
        <v>1122</v>
      </c>
      <c r="AE196">
        <v>0</v>
      </c>
      <c r="AK196">
        <v>7.15</v>
      </c>
      <c r="AL196" t="s">
        <v>1163</v>
      </c>
      <c r="AM196" t="s">
        <v>1229</v>
      </c>
      <c r="AO196" t="s">
        <v>1236</v>
      </c>
      <c r="AP196" t="s">
        <v>1252</v>
      </c>
      <c r="AR196" t="s">
        <v>683</v>
      </c>
      <c r="AT196" t="s">
        <v>3589</v>
      </c>
      <c r="AU196" t="s">
        <v>684</v>
      </c>
      <c r="AW196" t="s">
        <v>1282</v>
      </c>
    </row>
    <row r="197" spans="1:49">
      <c r="A197" s="1">
        <f>HYPERLINK("https://lsnyc.legalserver.org/matter/dynamic-profile/view/1903054","19-1903054")</f>
        <v>0</v>
      </c>
      <c r="B197" t="s">
        <v>1753</v>
      </c>
      <c r="C197" t="s">
        <v>1909</v>
      </c>
      <c r="D197" t="s">
        <v>2137</v>
      </c>
      <c r="E197" t="s">
        <v>2405</v>
      </c>
      <c r="F197" t="s">
        <v>599</v>
      </c>
      <c r="G197" t="s">
        <v>677</v>
      </c>
      <c r="H197">
        <v>10467</v>
      </c>
      <c r="I197" t="s">
        <v>682</v>
      </c>
      <c r="J197" t="s">
        <v>2755</v>
      </c>
      <c r="K197" t="s">
        <v>730</v>
      </c>
      <c r="L197" t="s">
        <v>740</v>
      </c>
      <c r="M197" t="s">
        <v>744</v>
      </c>
      <c r="O197">
        <v>1383.75</v>
      </c>
      <c r="P197" t="s">
        <v>753</v>
      </c>
      <c r="R197" t="s">
        <v>3067</v>
      </c>
      <c r="U197">
        <v>0</v>
      </c>
      <c r="V197" t="s">
        <v>1105</v>
      </c>
      <c r="W197" t="s">
        <v>1116</v>
      </c>
      <c r="X197">
        <v>4</v>
      </c>
      <c r="Y197">
        <v>1</v>
      </c>
      <c r="Z197">
        <v>1</v>
      </c>
      <c r="AA197">
        <v>92.25</v>
      </c>
      <c r="AD197" t="s">
        <v>1123</v>
      </c>
      <c r="AE197">
        <v>15600</v>
      </c>
      <c r="AK197">
        <v>2.35</v>
      </c>
      <c r="AL197" t="s">
        <v>1175</v>
      </c>
      <c r="AM197" t="s">
        <v>1744</v>
      </c>
      <c r="AN197" t="s">
        <v>1234</v>
      </c>
      <c r="AO197" t="s">
        <v>1236</v>
      </c>
      <c r="AP197" t="s">
        <v>1209</v>
      </c>
      <c r="AR197" t="s">
        <v>683</v>
      </c>
      <c r="AT197" t="s">
        <v>3589</v>
      </c>
      <c r="AU197" t="s">
        <v>684</v>
      </c>
      <c r="AW197" t="s">
        <v>1282</v>
      </c>
    </row>
    <row r="198" spans="1:49">
      <c r="A198" s="1">
        <f>HYPERLINK("https://lsnyc.legalserver.org/matter/dynamic-profile/view/1897024","19-1897024")</f>
        <v>0</v>
      </c>
      <c r="B198" t="s">
        <v>1756</v>
      </c>
      <c r="C198" t="s">
        <v>1910</v>
      </c>
      <c r="D198" t="s">
        <v>2138</v>
      </c>
      <c r="E198" t="s">
        <v>2406</v>
      </c>
      <c r="F198" t="s">
        <v>2569</v>
      </c>
      <c r="G198" t="s">
        <v>677</v>
      </c>
      <c r="H198">
        <v>10462</v>
      </c>
      <c r="I198" t="s">
        <v>682</v>
      </c>
      <c r="J198" t="s">
        <v>2756</v>
      </c>
      <c r="K198" t="s">
        <v>732</v>
      </c>
      <c r="L198" t="s">
        <v>740</v>
      </c>
      <c r="M198" t="s">
        <v>744</v>
      </c>
      <c r="O198">
        <v>982</v>
      </c>
      <c r="P198" t="s">
        <v>752</v>
      </c>
      <c r="R198" t="s">
        <v>3068</v>
      </c>
      <c r="T198" t="s">
        <v>3408</v>
      </c>
      <c r="U198">
        <v>0</v>
      </c>
      <c r="V198" t="s">
        <v>1102</v>
      </c>
      <c r="X198">
        <v>7</v>
      </c>
      <c r="Y198">
        <v>4</v>
      </c>
      <c r="Z198">
        <v>0</v>
      </c>
      <c r="AA198">
        <v>69.90000000000001</v>
      </c>
      <c r="AD198" t="s">
        <v>3519</v>
      </c>
      <c r="AE198">
        <v>18000</v>
      </c>
      <c r="AF198" t="s">
        <v>3558</v>
      </c>
      <c r="AI198" t="s">
        <v>1155</v>
      </c>
      <c r="AJ198" t="s">
        <v>3578</v>
      </c>
      <c r="AK198">
        <v>4.25</v>
      </c>
      <c r="AL198" t="s">
        <v>3582</v>
      </c>
      <c r="AM198" t="s">
        <v>1226</v>
      </c>
      <c r="AN198" t="s">
        <v>1233</v>
      </c>
      <c r="AO198" t="s">
        <v>1236</v>
      </c>
      <c r="AP198" t="s">
        <v>3585</v>
      </c>
      <c r="AR198" t="s">
        <v>683</v>
      </c>
      <c r="AT198" t="s">
        <v>3589</v>
      </c>
      <c r="AW198" t="s">
        <v>1282</v>
      </c>
    </row>
    <row r="199" spans="1:49">
      <c r="A199" s="1">
        <f>HYPERLINK("https://lsnyc.legalserver.org/matter/dynamic-profile/view/1904070","19-1904070")</f>
        <v>0</v>
      </c>
      <c r="B199" t="s">
        <v>68</v>
      </c>
      <c r="C199" t="s">
        <v>1911</v>
      </c>
      <c r="D199" t="s">
        <v>2139</v>
      </c>
      <c r="E199" t="s">
        <v>2407</v>
      </c>
      <c r="F199" t="s">
        <v>606</v>
      </c>
      <c r="G199" t="s">
        <v>677</v>
      </c>
      <c r="H199">
        <v>10457</v>
      </c>
      <c r="I199" t="s">
        <v>682</v>
      </c>
      <c r="J199" t="s">
        <v>2757</v>
      </c>
      <c r="K199" t="s">
        <v>732</v>
      </c>
      <c r="L199" t="s">
        <v>740</v>
      </c>
      <c r="O199">
        <v>1515</v>
      </c>
      <c r="P199" t="s">
        <v>753</v>
      </c>
      <c r="R199" t="s">
        <v>3069</v>
      </c>
      <c r="S199" t="s">
        <v>3216</v>
      </c>
      <c r="T199" t="s">
        <v>3409</v>
      </c>
      <c r="U199">
        <v>17</v>
      </c>
      <c r="V199" t="s">
        <v>1102</v>
      </c>
      <c r="W199" t="s">
        <v>1121</v>
      </c>
      <c r="X199">
        <v>1</v>
      </c>
      <c r="Y199">
        <v>2</v>
      </c>
      <c r="Z199">
        <v>1</v>
      </c>
      <c r="AA199">
        <v>21.38</v>
      </c>
      <c r="AE199">
        <v>4560</v>
      </c>
      <c r="AK199">
        <v>1.5</v>
      </c>
      <c r="AL199" t="s">
        <v>1161</v>
      </c>
      <c r="AM199" t="s">
        <v>1225</v>
      </c>
      <c r="AN199" t="s">
        <v>1233</v>
      </c>
      <c r="AO199" t="s">
        <v>1236</v>
      </c>
      <c r="AP199" t="s">
        <v>1214</v>
      </c>
      <c r="AR199" t="s">
        <v>683</v>
      </c>
      <c r="AT199" t="s">
        <v>3589</v>
      </c>
      <c r="AU199" t="s">
        <v>684</v>
      </c>
      <c r="AW199" t="s">
        <v>1282</v>
      </c>
    </row>
    <row r="200" spans="1:49">
      <c r="A200" s="1">
        <f>HYPERLINK("https://lsnyc.legalserver.org/matter/dynamic-profile/view/1903134","19-1903134")</f>
        <v>0</v>
      </c>
      <c r="B200" t="s">
        <v>89</v>
      </c>
      <c r="C200" t="s">
        <v>1912</v>
      </c>
      <c r="D200" t="s">
        <v>2140</v>
      </c>
      <c r="E200" t="s">
        <v>2408</v>
      </c>
      <c r="F200" t="s">
        <v>621</v>
      </c>
      <c r="G200" t="s">
        <v>677</v>
      </c>
      <c r="H200">
        <v>10468</v>
      </c>
      <c r="I200" t="s">
        <v>682</v>
      </c>
      <c r="J200" t="s">
        <v>2758</v>
      </c>
      <c r="K200" t="s">
        <v>732</v>
      </c>
      <c r="L200" t="s">
        <v>740</v>
      </c>
      <c r="O200">
        <v>940</v>
      </c>
      <c r="R200" t="s">
        <v>3070</v>
      </c>
      <c r="T200" t="s">
        <v>3410</v>
      </c>
      <c r="U200">
        <v>37</v>
      </c>
      <c r="V200" t="s">
        <v>1102</v>
      </c>
      <c r="X200">
        <v>30</v>
      </c>
      <c r="Y200">
        <v>1</v>
      </c>
      <c r="Z200">
        <v>0</v>
      </c>
      <c r="AA200">
        <v>145.72</v>
      </c>
      <c r="AD200" t="s">
        <v>1122</v>
      </c>
      <c r="AE200">
        <v>18200</v>
      </c>
      <c r="AK200">
        <v>1.7</v>
      </c>
      <c r="AL200" t="s">
        <v>1176</v>
      </c>
      <c r="AM200" t="s">
        <v>77</v>
      </c>
      <c r="AN200" t="s">
        <v>1233</v>
      </c>
      <c r="AO200" t="s">
        <v>1236</v>
      </c>
      <c r="AP200" t="s">
        <v>1248</v>
      </c>
      <c r="AR200" t="s">
        <v>683</v>
      </c>
      <c r="AT200" t="s">
        <v>3589</v>
      </c>
      <c r="AU200" t="s">
        <v>684</v>
      </c>
      <c r="AW200" t="s">
        <v>1282</v>
      </c>
    </row>
    <row r="201" spans="1:49">
      <c r="A201" s="1">
        <f>HYPERLINK("https://lsnyc.legalserver.org/matter/dynamic-profile/view/1901996","19-1901996")</f>
        <v>0</v>
      </c>
      <c r="B201" t="s">
        <v>92</v>
      </c>
      <c r="C201" t="s">
        <v>1913</v>
      </c>
      <c r="D201" t="s">
        <v>2141</v>
      </c>
      <c r="E201" t="s">
        <v>2409</v>
      </c>
      <c r="F201" t="s">
        <v>659</v>
      </c>
      <c r="G201" t="s">
        <v>677</v>
      </c>
      <c r="H201">
        <v>10467</v>
      </c>
      <c r="I201" t="s">
        <v>682</v>
      </c>
      <c r="J201" t="s">
        <v>2759</v>
      </c>
      <c r="K201" t="s">
        <v>732</v>
      </c>
      <c r="L201" t="s">
        <v>740</v>
      </c>
      <c r="M201" t="s">
        <v>744</v>
      </c>
      <c r="N201" t="s">
        <v>1163</v>
      </c>
      <c r="O201">
        <v>1354.91</v>
      </c>
      <c r="P201" t="s">
        <v>757</v>
      </c>
      <c r="R201" t="s">
        <v>3071</v>
      </c>
      <c r="T201" t="s">
        <v>3411</v>
      </c>
      <c r="U201">
        <v>0</v>
      </c>
      <c r="V201" t="s">
        <v>1102</v>
      </c>
      <c r="W201" t="s">
        <v>1116</v>
      </c>
      <c r="X201">
        <v>5</v>
      </c>
      <c r="Y201">
        <v>1</v>
      </c>
      <c r="Z201">
        <v>0</v>
      </c>
      <c r="AA201">
        <v>115.29</v>
      </c>
      <c r="AD201" t="s">
        <v>1122</v>
      </c>
      <c r="AE201">
        <v>14400</v>
      </c>
      <c r="AK201">
        <v>1.6</v>
      </c>
      <c r="AL201" t="s">
        <v>1162</v>
      </c>
      <c r="AM201" t="s">
        <v>77</v>
      </c>
      <c r="AN201" t="s">
        <v>1233</v>
      </c>
      <c r="AO201" t="s">
        <v>1236</v>
      </c>
      <c r="AP201" t="s">
        <v>1197</v>
      </c>
      <c r="AR201" t="s">
        <v>683</v>
      </c>
      <c r="AT201" t="s">
        <v>3589</v>
      </c>
      <c r="AU201" t="s">
        <v>684</v>
      </c>
      <c r="AW201" t="s">
        <v>1282</v>
      </c>
    </row>
    <row r="202" spans="1:49">
      <c r="A202" s="1">
        <f>HYPERLINK("https://lsnyc.legalserver.org/matter/dynamic-profile/view/1903973","19-1903973")</f>
        <v>0</v>
      </c>
      <c r="B202" t="s">
        <v>79</v>
      </c>
      <c r="C202" t="s">
        <v>1914</v>
      </c>
      <c r="D202" t="s">
        <v>2142</v>
      </c>
      <c r="E202" t="s">
        <v>2395</v>
      </c>
      <c r="F202" t="s">
        <v>2518</v>
      </c>
      <c r="G202" t="s">
        <v>677</v>
      </c>
      <c r="H202">
        <v>10467</v>
      </c>
      <c r="I202" t="s">
        <v>682</v>
      </c>
      <c r="J202" t="s">
        <v>2760</v>
      </c>
      <c r="K202" t="s">
        <v>732</v>
      </c>
      <c r="L202" t="s">
        <v>740</v>
      </c>
      <c r="O202">
        <v>484</v>
      </c>
      <c r="P202" t="s">
        <v>752</v>
      </c>
      <c r="R202" t="s">
        <v>3072</v>
      </c>
      <c r="S202" t="s">
        <v>3217</v>
      </c>
      <c r="T202" t="s">
        <v>3412</v>
      </c>
      <c r="U202">
        <v>733</v>
      </c>
      <c r="V202" t="s">
        <v>1112</v>
      </c>
      <c r="W202" t="s">
        <v>1116</v>
      </c>
      <c r="X202">
        <v>18</v>
      </c>
      <c r="Y202">
        <v>3</v>
      </c>
      <c r="Z202">
        <v>0</v>
      </c>
      <c r="AA202">
        <v>97.52</v>
      </c>
      <c r="AD202" t="s">
        <v>1122</v>
      </c>
      <c r="AE202">
        <v>20800</v>
      </c>
      <c r="AK202">
        <v>9</v>
      </c>
      <c r="AL202" t="s">
        <v>1168</v>
      </c>
      <c r="AM202" t="s">
        <v>1229</v>
      </c>
      <c r="AO202" t="s">
        <v>1236</v>
      </c>
      <c r="AP202" t="s">
        <v>1208</v>
      </c>
      <c r="AR202" t="s">
        <v>683</v>
      </c>
      <c r="AT202" t="s">
        <v>3589</v>
      </c>
      <c r="AU202" t="s">
        <v>684</v>
      </c>
      <c r="AW202" t="s">
        <v>1282</v>
      </c>
    </row>
    <row r="203" spans="1:49">
      <c r="A203" s="1">
        <f>HYPERLINK("https://lsnyc.legalserver.org/matter/dynamic-profile/view/1904089","19-1904089")</f>
        <v>0</v>
      </c>
      <c r="B203" t="s">
        <v>85</v>
      </c>
      <c r="C203" t="s">
        <v>1915</v>
      </c>
      <c r="D203" t="s">
        <v>2143</v>
      </c>
      <c r="E203" t="s">
        <v>2410</v>
      </c>
      <c r="F203" t="s">
        <v>604</v>
      </c>
      <c r="G203" t="s">
        <v>677</v>
      </c>
      <c r="H203">
        <v>10468</v>
      </c>
      <c r="I203" t="s">
        <v>682</v>
      </c>
      <c r="J203" t="s">
        <v>2761</v>
      </c>
      <c r="K203" t="s">
        <v>732</v>
      </c>
      <c r="L203" t="s">
        <v>740</v>
      </c>
      <c r="M203" t="s">
        <v>1562</v>
      </c>
      <c r="N203" t="s">
        <v>1214</v>
      </c>
      <c r="O203">
        <v>1214.21</v>
      </c>
      <c r="P203" t="s">
        <v>753</v>
      </c>
      <c r="R203" t="s">
        <v>3073</v>
      </c>
      <c r="S203" t="s">
        <v>3218</v>
      </c>
      <c r="T203" t="s">
        <v>3413</v>
      </c>
      <c r="U203">
        <v>66</v>
      </c>
      <c r="V203" t="s">
        <v>1102</v>
      </c>
      <c r="W203" t="s">
        <v>1120</v>
      </c>
      <c r="X203">
        <v>13</v>
      </c>
      <c r="Y203">
        <v>1</v>
      </c>
      <c r="Z203">
        <v>2</v>
      </c>
      <c r="AA203">
        <v>0</v>
      </c>
      <c r="AD203" t="s">
        <v>1122</v>
      </c>
      <c r="AE203">
        <v>0</v>
      </c>
      <c r="AK203">
        <v>16.7</v>
      </c>
      <c r="AL203" t="s">
        <v>1212</v>
      </c>
      <c r="AM203" t="s">
        <v>1225</v>
      </c>
      <c r="AN203" t="s">
        <v>1233</v>
      </c>
      <c r="AO203" t="s">
        <v>1236</v>
      </c>
      <c r="AP203" t="s">
        <v>1214</v>
      </c>
      <c r="AR203" t="s">
        <v>683</v>
      </c>
      <c r="AT203" t="s">
        <v>3589</v>
      </c>
      <c r="AU203" t="s">
        <v>684</v>
      </c>
      <c r="AW203" t="s">
        <v>1282</v>
      </c>
    </row>
    <row r="204" spans="1:49">
      <c r="A204" s="1">
        <f>HYPERLINK("https://lsnyc.legalserver.org/matter/dynamic-profile/view/1904096","19-1904096")</f>
        <v>0</v>
      </c>
      <c r="B204" t="s">
        <v>95</v>
      </c>
      <c r="C204" t="s">
        <v>203</v>
      </c>
      <c r="D204" t="s">
        <v>367</v>
      </c>
      <c r="E204" t="s">
        <v>2411</v>
      </c>
      <c r="F204" t="s">
        <v>606</v>
      </c>
      <c r="G204" t="s">
        <v>677</v>
      </c>
      <c r="H204">
        <v>10467</v>
      </c>
      <c r="I204" t="s">
        <v>682</v>
      </c>
      <c r="J204" t="s">
        <v>2762</v>
      </c>
      <c r="K204" t="s">
        <v>732</v>
      </c>
      <c r="L204" t="s">
        <v>740</v>
      </c>
      <c r="N204" t="s">
        <v>1208</v>
      </c>
      <c r="O204">
        <v>458</v>
      </c>
      <c r="P204" t="s">
        <v>757</v>
      </c>
      <c r="R204" t="s">
        <v>3074</v>
      </c>
      <c r="S204" t="s">
        <v>3219</v>
      </c>
      <c r="T204" t="s">
        <v>3414</v>
      </c>
      <c r="U204">
        <v>8</v>
      </c>
      <c r="V204" t="s">
        <v>1102</v>
      </c>
      <c r="W204" t="s">
        <v>1115</v>
      </c>
      <c r="X204">
        <v>12</v>
      </c>
      <c r="Y204">
        <v>2</v>
      </c>
      <c r="Z204">
        <v>0</v>
      </c>
      <c r="AA204">
        <v>69.26000000000001</v>
      </c>
      <c r="AD204" t="s">
        <v>1122</v>
      </c>
      <c r="AE204">
        <v>11712</v>
      </c>
      <c r="AK204">
        <v>8.5</v>
      </c>
      <c r="AL204" t="s">
        <v>1206</v>
      </c>
      <c r="AM204" t="s">
        <v>1229</v>
      </c>
      <c r="AN204" t="s">
        <v>1234</v>
      </c>
      <c r="AO204" t="s">
        <v>1236</v>
      </c>
      <c r="AP204" t="s">
        <v>1208</v>
      </c>
      <c r="AR204" t="s">
        <v>683</v>
      </c>
      <c r="AT204" t="s">
        <v>3589</v>
      </c>
      <c r="AU204" t="s">
        <v>684</v>
      </c>
      <c r="AW204" t="s">
        <v>1282</v>
      </c>
    </row>
    <row r="205" spans="1:49">
      <c r="A205" s="1">
        <f>HYPERLINK("https://lsnyc.legalserver.org/matter/dynamic-profile/view/1901787","19-1901787")</f>
        <v>0</v>
      </c>
      <c r="B205" t="s">
        <v>1755</v>
      </c>
      <c r="C205" t="s">
        <v>1348</v>
      </c>
      <c r="D205" t="s">
        <v>2144</v>
      </c>
      <c r="E205" t="s">
        <v>2412</v>
      </c>
      <c r="F205" t="s">
        <v>606</v>
      </c>
      <c r="G205" t="s">
        <v>677</v>
      </c>
      <c r="H205">
        <v>10457</v>
      </c>
      <c r="I205" t="s">
        <v>682</v>
      </c>
      <c r="J205" t="s">
        <v>2763</v>
      </c>
      <c r="K205" t="s">
        <v>732</v>
      </c>
      <c r="L205" t="s">
        <v>740</v>
      </c>
      <c r="M205" t="s">
        <v>744</v>
      </c>
      <c r="O205">
        <v>1073</v>
      </c>
      <c r="P205" t="s">
        <v>753</v>
      </c>
      <c r="R205" t="s">
        <v>3075</v>
      </c>
      <c r="T205" t="s">
        <v>3415</v>
      </c>
      <c r="U205">
        <v>28</v>
      </c>
      <c r="V205" t="s">
        <v>1105</v>
      </c>
      <c r="W205" t="s">
        <v>1120</v>
      </c>
      <c r="X205">
        <v>5</v>
      </c>
      <c r="Y205">
        <v>1</v>
      </c>
      <c r="Z205">
        <v>3</v>
      </c>
      <c r="AA205">
        <v>33.93</v>
      </c>
      <c r="AD205" t="s">
        <v>1122</v>
      </c>
      <c r="AE205">
        <v>8736</v>
      </c>
      <c r="AK205">
        <v>0</v>
      </c>
      <c r="AM205" t="s">
        <v>1231</v>
      </c>
      <c r="AO205" t="s">
        <v>1236</v>
      </c>
      <c r="AP205" t="s">
        <v>1177</v>
      </c>
      <c r="AR205" t="s">
        <v>683</v>
      </c>
      <c r="AT205" t="s">
        <v>3589</v>
      </c>
      <c r="AU205" t="s">
        <v>684</v>
      </c>
      <c r="AW205" t="s">
        <v>1282</v>
      </c>
    </row>
    <row r="206" spans="1:49">
      <c r="A206" s="1">
        <f>HYPERLINK("https://lsnyc.legalserver.org/matter/dynamic-profile/view/1903963","19-1903963")</f>
        <v>0</v>
      </c>
      <c r="B206" t="s">
        <v>1285</v>
      </c>
      <c r="C206" t="s">
        <v>1916</v>
      </c>
      <c r="D206" t="s">
        <v>1392</v>
      </c>
      <c r="E206" t="s">
        <v>2413</v>
      </c>
      <c r="F206" t="s">
        <v>2570</v>
      </c>
      <c r="G206" t="s">
        <v>677</v>
      </c>
      <c r="H206">
        <v>10457</v>
      </c>
      <c r="I206" t="s">
        <v>682</v>
      </c>
      <c r="J206" t="s">
        <v>2764</v>
      </c>
      <c r="K206" t="s">
        <v>732</v>
      </c>
      <c r="L206" t="s">
        <v>740</v>
      </c>
      <c r="M206" t="s">
        <v>744</v>
      </c>
      <c r="N206" t="s">
        <v>1208</v>
      </c>
      <c r="O206">
        <v>1224.26</v>
      </c>
      <c r="P206" t="s">
        <v>753</v>
      </c>
      <c r="R206" t="s">
        <v>3076</v>
      </c>
      <c r="S206" t="s">
        <v>3220</v>
      </c>
      <c r="T206" t="s">
        <v>3416</v>
      </c>
      <c r="U206">
        <v>0</v>
      </c>
      <c r="V206" t="s">
        <v>1105</v>
      </c>
      <c r="W206" t="s">
        <v>3517</v>
      </c>
      <c r="X206">
        <v>2</v>
      </c>
      <c r="Y206">
        <v>1</v>
      </c>
      <c r="Z206">
        <v>1</v>
      </c>
      <c r="AA206">
        <v>65.45</v>
      </c>
      <c r="AD206" t="s">
        <v>1122</v>
      </c>
      <c r="AE206">
        <v>11066.8</v>
      </c>
      <c r="AK206">
        <v>2.5</v>
      </c>
      <c r="AL206" t="s">
        <v>1206</v>
      </c>
      <c r="AM206" t="s">
        <v>1744</v>
      </c>
      <c r="AN206" t="s">
        <v>1234</v>
      </c>
      <c r="AO206" t="s">
        <v>1236</v>
      </c>
      <c r="AP206" t="s">
        <v>1256</v>
      </c>
      <c r="AR206" t="s">
        <v>683</v>
      </c>
      <c r="AT206" t="s">
        <v>3589</v>
      </c>
      <c r="AU206" t="s">
        <v>684</v>
      </c>
      <c r="AW206" t="s">
        <v>1282</v>
      </c>
    </row>
    <row r="207" spans="1:49">
      <c r="A207" s="1">
        <f>HYPERLINK("https://lsnyc.legalserver.org/matter/dynamic-profile/view/1904399","19-1904399")</f>
        <v>0</v>
      </c>
      <c r="B207" t="s">
        <v>71</v>
      </c>
      <c r="C207" t="s">
        <v>1901</v>
      </c>
      <c r="D207" t="s">
        <v>2129</v>
      </c>
      <c r="E207" t="s">
        <v>2398</v>
      </c>
      <c r="F207" t="s">
        <v>2566</v>
      </c>
      <c r="G207" t="s">
        <v>677</v>
      </c>
      <c r="H207">
        <v>10462</v>
      </c>
      <c r="I207" t="s">
        <v>682</v>
      </c>
      <c r="J207" t="s">
        <v>2765</v>
      </c>
      <c r="K207" t="s">
        <v>732</v>
      </c>
      <c r="L207" t="s">
        <v>740</v>
      </c>
      <c r="N207" t="s">
        <v>1208</v>
      </c>
      <c r="O207">
        <v>0</v>
      </c>
      <c r="P207" t="s">
        <v>753</v>
      </c>
      <c r="R207" t="s">
        <v>3057</v>
      </c>
      <c r="S207" t="s">
        <v>3213</v>
      </c>
      <c r="T207" t="s">
        <v>3399</v>
      </c>
      <c r="U207">
        <v>0</v>
      </c>
      <c r="V207" t="s">
        <v>1102</v>
      </c>
      <c r="W207" t="s">
        <v>1115</v>
      </c>
      <c r="X207">
        <v>8</v>
      </c>
      <c r="Y207">
        <v>2</v>
      </c>
      <c r="Z207">
        <v>0</v>
      </c>
      <c r="AA207">
        <v>0</v>
      </c>
      <c r="AD207" t="s">
        <v>1122</v>
      </c>
      <c r="AE207">
        <v>0</v>
      </c>
      <c r="AK207">
        <v>0.5</v>
      </c>
      <c r="AL207" t="s">
        <v>1166</v>
      </c>
      <c r="AM207" t="s">
        <v>1744</v>
      </c>
      <c r="AN207" t="s">
        <v>1234</v>
      </c>
      <c r="AO207" t="s">
        <v>1236</v>
      </c>
      <c r="AP207" t="s">
        <v>1208</v>
      </c>
      <c r="AR207" t="s">
        <v>683</v>
      </c>
      <c r="AT207" t="s">
        <v>3589</v>
      </c>
      <c r="AU207" t="s">
        <v>684</v>
      </c>
      <c r="AW207" t="s">
        <v>1282</v>
      </c>
    </row>
    <row r="208" spans="1:49">
      <c r="A208" s="1">
        <f>HYPERLINK("https://lsnyc.legalserver.org/matter/dynamic-profile/view/1901732","19-1901732")</f>
        <v>0</v>
      </c>
      <c r="B208" t="s">
        <v>92</v>
      </c>
      <c r="C208" t="s">
        <v>186</v>
      </c>
      <c r="D208" t="s">
        <v>346</v>
      </c>
      <c r="E208" t="s">
        <v>504</v>
      </c>
      <c r="G208" t="s">
        <v>677</v>
      </c>
      <c r="H208">
        <v>10467</v>
      </c>
      <c r="I208" t="s">
        <v>682</v>
      </c>
      <c r="J208" t="s">
        <v>701</v>
      </c>
      <c r="K208" t="s">
        <v>732</v>
      </c>
      <c r="L208" t="s">
        <v>740</v>
      </c>
      <c r="M208" t="s">
        <v>1562</v>
      </c>
      <c r="O208">
        <v>1475</v>
      </c>
      <c r="R208" t="s">
        <v>849</v>
      </c>
      <c r="T208" t="s">
        <v>1026</v>
      </c>
      <c r="U208">
        <v>40</v>
      </c>
      <c r="V208" t="s">
        <v>1102</v>
      </c>
      <c r="X208">
        <v>3</v>
      </c>
      <c r="Y208">
        <v>1</v>
      </c>
      <c r="Z208">
        <v>0</v>
      </c>
      <c r="AA208">
        <v>51.89</v>
      </c>
      <c r="AD208" t="s">
        <v>1122</v>
      </c>
      <c r="AE208">
        <v>6480.6</v>
      </c>
      <c r="AK208">
        <v>18.8</v>
      </c>
      <c r="AL208" t="s">
        <v>1158</v>
      </c>
      <c r="AM208" t="s">
        <v>77</v>
      </c>
      <c r="AN208" t="s">
        <v>1233</v>
      </c>
      <c r="AO208" t="s">
        <v>1236</v>
      </c>
      <c r="AP208" t="s">
        <v>1177</v>
      </c>
      <c r="AR208" t="s">
        <v>683</v>
      </c>
      <c r="AT208" t="s">
        <v>3589</v>
      </c>
      <c r="AU208" t="s">
        <v>684</v>
      </c>
      <c r="AW208" t="s">
        <v>1282</v>
      </c>
    </row>
    <row r="209" spans="1:49">
      <c r="A209" s="1">
        <f>HYPERLINK("https://lsnyc.legalserver.org/matter/dynamic-profile/view/1901942","19-1901942")</f>
        <v>0</v>
      </c>
      <c r="B209" t="s">
        <v>90</v>
      </c>
      <c r="C209" t="s">
        <v>1917</v>
      </c>
      <c r="D209" t="s">
        <v>2145</v>
      </c>
      <c r="E209" t="s">
        <v>2414</v>
      </c>
      <c r="F209" t="s">
        <v>1516</v>
      </c>
      <c r="G209" t="s">
        <v>677</v>
      </c>
      <c r="H209">
        <v>10468</v>
      </c>
      <c r="I209" t="s">
        <v>682</v>
      </c>
      <c r="J209" t="s">
        <v>2766</v>
      </c>
      <c r="K209" t="s">
        <v>732</v>
      </c>
      <c r="L209" t="s">
        <v>740</v>
      </c>
      <c r="M209" t="s">
        <v>744</v>
      </c>
      <c r="O209">
        <v>0</v>
      </c>
      <c r="P209" t="s">
        <v>752</v>
      </c>
      <c r="R209" t="s">
        <v>3077</v>
      </c>
      <c r="T209" t="s">
        <v>3417</v>
      </c>
      <c r="U209">
        <v>0</v>
      </c>
      <c r="V209" t="s">
        <v>1102</v>
      </c>
      <c r="X209">
        <v>29</v>
      </c>
      <c r="Y209">
        <v>2</v>
      </c>
      <c r="Z209">
        <v>3</v>
      </c>
      <c r="AA209">
        <v>147.13</v>
      </c>
      <c r="AD209" t="s">
        <v>1123</v>
      </c>
      <c r="AE209">
        <v>44388.96</v>
      </c>
      <c r="AK209">
        <v>4.5</v>
      </c>
      <c r="AL209" t="s">
        <v>1170</v>
      </c>
      <c r="AM209" t="s">
        <v>77</v>
      </c>
      <c r="AN209" t="s">
        <v>1233</v>
      </c>
      <c r="AO209" t="s">
        <v>1236</v>
      </c>
      <c r="AP209" t="s">
        <v>1241</v>
      </c>
      <c r="AR209" t="s">
        <v>683</v>
      </c>
      <c r="AT209" t="s">
        <v>3589</v>
      </c>
      <c r="AU209" t="s">
        <v>684</v>
      </c>
      <c r="AW209" t="s">
        <v>1282</v>
      </c>
    </row>
    <row r="210" spans="1:49">
      <c r="A210" s="1">
        <f>HYPERLINK("https://lsnyc.legalserver.org/matter/dynamic-profile/view/1901559","19-1901559")</f>
        <v>0</v>
      </c>
      <c r="B210" t="s">
        <v>49</v>
      </c>
      <c r="C210" t="s">
        <v>1918</v>
      </c>
      <c r="D210" t="s">
        <v>1830</v>
      </c>
      <c r="E210" t="s">
        <v>2415</v>
      </c>
      <c r="F210">
        <v>415</v>
      </c>
      <c r="G210" t="s">
        <v>677</v>
      </c>
      <c r="H210">
        <v>10462</v>
      </c>
      <c r="I210" t="s">
        <v>682</v>
      </c>
      <c r="J210" t="s">
        <v>2767</v>
      </c>
      <c r="K210" t="s">
        <v>732</v>
      </c>
      <c r="L210" t="s">
        <v>740</v>
      </c>
      <c r="M210" t="s">
        <v>745</v>
      </c>
      <c r="O210">
        <v>1125.56</v>
      </c>
      <c r="P210" t="s">
        <v>757</v>
      </c>
      <c r="R210" t="s">
        <v>3078</v>
      </c>
      <c r="S210" t="s">
        <v>3221</v>
      </c>
      <c r="T210" t="s">
        <v>3418</v>
      </c>
      <c r="U210">
        <v>100</v>
      </c>
      <c r="V210" t="s">
        <v>1105</v>
      </c>
      <c r="W210" t="s">
        <v>3518</v>
      </c>
      <c r="X210">
        <v>4</v>
      </c>
      <c r="Y210">
        <v>1</v>
      </c>
      <c r="Z210">
        <v>1</v>
      </c>
      <c r="AA210">
        <v>65.77</v>
      </c>
      <c r="AD210" t="s">
        <v>1122</v>
      </c>
      <c r="AE210">
        <v>11122</v>
      </c>
      <c r="AK210">
        <v>4.2</v>
      </c>
      <c r="AL210" t="s">
        <v>1158</v>
      </c>
      <c r="AM210" t="s">
        <v>1215</v>
      </c>
      <c r="AN210" t="s">
        <v>1234</v>
      </c>
      <c r="AO210" t="s">
        <v>1236</v>
      </c>
      <c r="AP210" t="s">
        <v>1246</v>
      </c>
      <c r="AR210" t="s">
        <v>683</v>
      </c>
      <c r="AT210" t="s">
        <v>3589</v>
      </c>
      <c r="AU210" t="s">
        <v>684</v>
      </c>
      <c r="AW210" t="s">
        <v>1282</v>
      </c>
    </row>
    <row r="211" spans="1:49">
      <c r="A211" s="1">
        <f>HYPERLINK("https://lsnyc.legalserver.org/matter/dynamic-profile/view/1904722","19-1904722")</f>
        <v>0</v>
      </c>
      <c r="B211" t="s">
        <v>1758</v>
      </c>
      <c r="C211" t="s">
        <v>1919</v>
      </c>
      <c r="D211" t="s">
        <v>2146</v>
      </c>
      <c r="E211" t="s">
        <v>2399</v>
      </c>
      <c r="F211" t="s">
        <v>2571</v>
      </c>
      <c r="G211" t="s">
        <v>677</v>
      </c>
      <c r="H211">
        <v>10467</v>
      </c>
      <c r="I211" t="s">
        <v>682</v>
      </c>
      <c r="J211" t="s">
        <v>2768</v>
      </c>
      <c r="K211" t="s">
        <v>732</v>
      </c>
      <c r="L211" t="s">
        <v>740</v>
      </c>
      <c r="O211">
        <v>863</v>
      </c>
      <c r="P211" t="s">
        <v>753</v>
      </c>
      <c r="R211" t="s">
        <v>3079</v>
      </c>
      <c r="T211" t="s">
        <v>3419</v>
      </c>
      <c r="U211">
        <v>135</v>
      </c>
      <c r="V211" t="s">
        <v>1102</v>
      </c>
      <c r="W211" t="s">
        <v>1120</v>
      </c>
      <c r="X211">
        <v>3</v>
      </c>
      <c r="Y211">
        <v>1</v>
      </c>
      <c r="Z211">
        <v>2</v>
      </c>
      <c r="AA211">
        <v>30.15</v>
      </c>
      <c r="AD211" t="s">
        <v>1122</v>
      </c>
      <c r="AE211">
        <v>6430</v>
      </c>
      <c r="AK211">
        <v>0</v>
      </c>
      <c r="AM211" t="s">
        <v>1231</v>
      </c>
      <c r="AO211" t="s">
        <v>1236</v>
      </c>
      <c r="AP211" t="s">
        <v>1173</v>
      </c>
      <c r="AR211" t="s">
        <v>683</v>
      </c>
      <c r="AT211" t="s">
        <v>3589</v>
      </c>
      <c r="AU211" t="s">
        <v>684</v>
      </c>
      <c r="AW211" t="s">
        <v>1282</v>
      </c>
    </row>
    <row r="212" spans="1:49">
      <c r="A212" s="1">
        <f>HYPERLINK("https://lsnyc.legalserver.org/matter/dynamic-profile/view/1905495","19-1905495")</f>
        <v>0</v>
      </c>
      <c r="B212" t="s">
        <v>93</v>
      </c>
      <c r="C212" t="s">
        <v>211</v>
      </c>
      <c r="D212" t="s">
        <v>2147</v>
      </c>
      <c r="E212" t="s">
        <v>2416</v>
      </c>
      <c r="F212" t="s">
        <v>659</v>
      </c>
      <c r="G212" t="s">
        <v>677</v>
      </c>
      <c r="H212">
        <v>10457</v>
      </c>
      <c r="I212" t="s">
        <v>682</v>
      </c>
      <c r="J212" t="s">
        <v>2769</v>
      </c>
      <c r="K212" t="s">
        <v>732</v>
      </c>
      <c r="L212" t="s">
        <v>740</v>
      </c>
      <c r="N212" t="s">
        <v>1169</v>
      </c>
      <c r="O212">
        <v>1500</v>
      </c>
      <c r="R212" t="s">
        <v>3080</v>
      </c>
      <c r="T212" t="s">
        <v>3420</v>
      </c>
      <c r="U212">
        <v>0</v>
      </c>
      <c r="X212">
        <v>8</v>
      </c>
      <c r="Y212">
        <v>2</v>
      </c>
      <c r="Z212">
        <v>0</v>
      </c>
      <c r="AA212">
        <v>118.27</v>
      </c>
      <c r="AD212" t="s">
        <v>1122</v>
      </c>
      <c r="AE212">
        <v>20000</v>
      </c>
      <c r="AK212">
        <v>1.2</v>
      </c>
      <c r="AL212" t="s">
        <v>1175</v>
      </c>
      <c r="AM212" t="s">
        <v>3583</v>
      </c>
      <c r="AN212" t="s">
        <v>1233</v>
      </c>
      <c r="AO212" t="s">
        <v>1236</v>
      </c>
      <c r="AP212" t="s">
        <v>1169</v>
      </c>
      <c r="AR212" t="s">
        <v>683</v>
      </c>
      <c r="AT212" t="s">
        <v>3589</v>
      </c>
      <c r="AW212" t="s">
        <v>1282</v>
      </c>
    </row>
    <row r="213" spans="1:49">
      <c r="A213" s="1">
        <f>HYPERLINK("https://lsnyc.legalserver.org/matter/dynamic-profile/view/1901506","19-1901506")</f>
        <v>0</v>
      </c>
      <c r="B213" t="s">
        <v>66</v>
      </c>
      <c r="C213" t="s">
        <v>1920</v>
      </c>
      <c r="D213" t="s">
        <v>2148</v>
      </c>
      <c r="E213" t="s">
        <v>2417</v>
      </c>
      <c r="F213" t="s">
        <v>2542</v>
      </c>
      <c r="G213" t="s">
        <v>677</v>
      </c>
      <c r="H213">
        <v>10467</v>
      </c>
      <c r="I213" t="s">
        <v>682</v>
      </c>
      <c r="J213" t="s">
        <v>2770</v>
      </c>
      <c r="K213" t="s">
        <v>732</v>
      </c>
      <c r="L213" t="s">
        <v>740</v>
      </c>
      <c r="O213">
        <v>1246</v>
      </c>
      <c r="R213" t="s">
        <v>3081</v>
      </c>
      <c r="T213" t="s">
        <v>3421</v>
      </c>
      <c r="U213">
        <v>9669</v>
      </c>
      <c r="X213">
        <v>0</v>
      </c>
      <c r="Y213">
        <v>1</v>
      </c>
      <c r="Z213">
        <v>2</v>
      </c>
      <c r="AA213">
        <v>205.39</v>
      </c>
      <c r="AD213" t="s">
        <v>1122</v>
      </c>
      <c r="AE213">
        <v>43810</v>
      </c>
      <c r="AF213" t="s">
        <v>3559</v>
      </c>
      <c r="AK213">
        <v>1.75</v>
      </c>
      <c r="AL213" t="s">
        <v>1196</v>
      </c>
      <c r="AM213" t="s">
        <v>77</v>
      </c>
      <c r="AN213" t="s">
        <v>1233</v>
      </c>
      <c r="AO213" t="s">
        <v>1236</v>
      </c>
      <c r="AP213" t="s">
        <v>1246</v>
      </c>
      <c r="AR213" t="s">
        <v>683</v>
      </c>
      <c r="AT213" t="s">
        <v>3589</v>
      </c>
      <c r="AU213" t="s">
        <v>684</v>
      </c>
      <c r="AW213" t="s">
        <v>1282</v>
      </c>
    </row>
    <row r="214" spans="1:49">
      <c r="A214" s="1">
        <f>HYPERLINK("https://lsnyc.legalserver.org/matter/dynamic-profile/view/1900929","19-1900929")</f>
        <v>0</v>
      </c>
      <c r="B214" t="s">
        <v>66</v>
      </c>
      <c r="C214" t="s">
        <v>1921</v>
      </c>
      <c r="D214" t="s">
        <v>2149</v>
      </c>
      <c r="E214" t="s">
        <v>2418</v>
      </c>
      <c r="F214">
        <v>20</v>
      </c>
      <c r="G214" t="s">
        <v>677</v>
      </c>
      <c r="H214">
        <v>10460</v>
      </c>
      <c r="I214" t="s">
        <v>683</v>
      </c>
      <c r="J214" t="s">
        <v>2771</v>
      </c>
      <c r="K214" t="s">
        <v>732</v>
      </c>
      <c r="L214" t="s">
        <v>740</v>
      </c>
      <c r="M214" t="s">
        <v>744</v>
      </c>
      <c r="O214">
        <v>0</v>
      </c>
      <c r="P214" t="s">
        <v>752</v>
      </c>
      <c r="R214" t="s">
        <v>3082</v>
      </c>
      <c r="T214" t="s">
        <v>3422</v>
      </c>
      <c r="U214">
        <v>0</v>
      </c>
      <c r="V214" t="s">
        <v>1106</v>
      </c>
      <c r="X214">
        <v>0</v>
      </c>
      <c r="Y214">
        <v>2</v>
      </c>
      <c r="Z214">
        <v>0</v>
      </c>
      <c r="AA214">
        <v>195.15</v>
      </c>
      <c r="AD214" t="s">
        <v>1122</v>
      </c>
      <c r="AE214">
        <v>33000</v>
      </c>
      <c r="AK214">
        <v>1.7</v>
      </c>
      <c r="AL214" t="s">
        <v>3581</v>
      </c>
      <c r="AM214" t="s">
        <v>66</v>
      </c>
      <c r="AO214" t="s">
        <v>1236</v>
      </c>
      <c r="AP214" t="s">
        <v>1171</v>
      </c>
      <c r="AR214" t="s">
        <v>683</v>
      </c>
      <c r="AT214" t="s">
        <v>3589</v>
      </c>
      <c r="AU214" t="s">
        <v>684</v>
      </c>
      <c r="AW214" t="s">
        <v>1278</v>
      </c>
    </row>
    <row r="215" spans="1:49">
      <c r="A215" s="1">
        <f>HYPERLINK("https://lsnyc.legalserver.org/matter/dynamic-profile/view/1902860","19-1902860")</f>
        <v>0</v>
      </c>
      <c r="B215" t="s">
        <v>96</v>
      </c>
      <c r="C215" t="s">
        <v>205</v>
      </c>
      <c r="D215" t="s">
        <v>1389</v>
      </c>
      <c r="E215" t="s">
        <v>2419</v>
      </c>
      <c r="F215" t="s">
        <v>1515</v>
      </c>
      <c r="G215" t="s">
        <v>677</v>
      </c>
      <c r="H215">
        <v>10467</v>
      </c>
      <c r="I215" t="s">
        <v>682</v>
      </c>
      <c r="J215" t="s">
        <v>2772</v>
      </c>
      <c r="K215" t="s">
        <v>732</v>
      </c>
      <c r="L215" t="s">
        <v>740</v>
      </c>
      <c r="O215">
        <v>1500</v>
      </c>
      <c r="R215" t="s">
        <v>3083</v>
      </c>
      <c r="T215" t="s">
        <v>3423</v>
      </c>
      <c r="U215">
        <v>0</v>
      </c>
      <c r="V215" t="s">
        <v>1102</v>
      </c>
      <c r="X215">
        <v>0</v>
      </c>
      <c r="Y215">
        <v>2</v>
      </c>
      <c r="Z215">
        <v>0</v>
      </c>
      <c r="AA215">
        <v>123</v>
      </c>
      <c r="AD215" t="s">
        <v>1122</v>
      </c>
      <c r="AE215">
        <v>20800</v>
      </c>
      <c r="AK215">
        <v>1</v>
      </c>
      <c r="AL215" t="s">
        <v>1214</v>
      </c>
      <c r="AM215" t="s">
        <v>77</v>
      </c>
      <c r="AN215" t="s">
        <v>1233</v>
      </c>
      <c r="AO215" t="s">
        <v>1236</v>
      </c>
      <c r="AP215" t="s">
        <v>1178</v>
      </c>
      <c r="AR215" t="s">
        <v>683</v>
      </c>
      <c r="AT215" t="s">
        <v>3589</v>
      </c>
      <c r="AU215" t="s">
        <v>684</v>
      </c>
      <c r="AW215" t="s">
        <v>1282</v>
      </c>
    </row>
    <row r="216" spans="1:49">
      <c r="A216" s="1">
        <f>HYPERLINK("https://lsnyc.legalserver.org/matter/dynamic-profile/view/1900489","19-1900489")</f>
        <v>0</v>
      </c>
      <c r="B216" t="s">
        <v>68</v>
      </c>
      <c r="C216" t="s">
        <v>1922</v>
      </c>
      <c r="D216" t="s">
        <v>2150</v>
      </c>
      <c r="E216" t="s">
        <v>2420</v>
      </c>
      <c r="F216">
        <v>323</v>
      </c>
      <c r="G216" t="s">
        <v>677</v>
      </c>
      <c r="H216">
        <v>10457</v>
      </c>
      <c r="I216" t="s">
        <v>682</v>
      </c>
      <c r="J216" t="s">
        <v>2773</v>
      </c>
      <c r="K216" t="s">
        <v>732</v>
      </c>
      <c r="L216" t="s">
        <v>740</v>
      </c>
      <c r="O216">
        <v>2393</v>
      </c>
      <c r="R216" t="s">
        <v>3084</v>
      </c>
      <c r="S216" t="s">
        <v>3222</v>
      </c>
      <c r="T216" t="s">
        <v>3424</v>
      </c>
      <c r="U216">
        <v>0</v>
      </c>
      <c r="V216" t="s">
        <v>1107</v>
      </c>
      <c r="W216" t="s">
        <v>1115</v>
      </c>
      <c r="X216">
        <v>30</v>
      </c>
      <c r="Y216">
        <v>2</v>
      </c>
      <c r="Z216">
        <v>0</v>
      </c>
      <c r="AA216">
        <v>14.76</v>
      </c>
      <c r="AD216" t="s">
        <v>1122</v>
      </c>
      <c r="AE216">
        <v>2496</v>
      </c>
      <c r="AK216">
        <v>3.35</v>
      </c>
      <c r="AL216" t="s">
        <v>1206</v>
      </c>
      <c r="AM216" t="s">
        <v>77</v>
      </c>
      <c r="AN216" t="s">
        <v>1233</v>
      </c>
      <c r="AO216" t="s">
        <v>1236</v>
      </c>
      <c r="AP216" t="s">
        <v>1242</v>
      </c>
      <c r="AR216" t="s">
        <v>683</v>
      </c>
      <c r="AT216" t="s">
        <v>3589</v>
      </c>
      <c r="AW216" t="s">
        <v>1282</v>
      </c>
    </row>
    <row r="217" spans="1:49">
      <c r="A217" s="1">
        <f>HYPERLINK("https://lsnyc.legalserver.org/matter/dynamic-profile/view/1904749","19-1904749")</f>
        <v>0</v>
      </c>
      <c r="B217" t="s">
        <v>88</v>
      </c>
      <c r="C217" t="s">
        <v>1847</v>
      </c>
      <c r="D217" t="s">
        <v>2151</v>
      </c>
      <c r="E217" t="s">
        <v>2421</v>
      </c>
      <c r="F217" t="s">
        <v>643</v>
      </c>
      <c r="G217" t="s">
        <v>677</v>
      </c>
      <c r="H217">
        <v>10462</v>
      </c>
      <c r="I217" t="s">
        <v>682</v>
      </c>
      <c r="J217" t="s">
        <v>2774</v>
      </c>
      <c r="K217" t="s">
        <v>732</v>
      </c>
      <c r="L217" t="s">
        <v>740</v>
      </c>
      <c r="N217" t="s">
        <v>1158</v>
      </c>
      <c r="O217">
        <v>1173.94</v>
      </c>
      <c r="P217" t="s">
        <v>753</v>
      </c>
      <c r="R217" t="s">
        <v>3085</v>
      </c>
      <c r="S217" t="s">
        <v>3223</v>
      </c>
      <c r="T217" t="s">
        <v>3425</v>
      </c>
      <c r="U217">
        <v>0</v>
      </c>
      <c r="V217" t="s">
        <v>1106</v>
      </c>
      <c r="W217" t="s">
        <v>1115</v>
      </c>
      <c r="X217">
        <v>10</v>
      </c>
      <c r="Y217">
        <v>2</v>
      </c>
      <c r="Z217">
        <v>1</v>
      </c>
      <c r="AA217">
        <v>105.8</v>
      </c>
      <c r="AD217" t="s">
        <v>1122</v>
      </c>
      <c r="AE217">
        <v>22568</v>
      </c>
      <c r="AK217">
        <v>1</v>
      </c>
      <c r="AL217" t="s">
        <v>1166</v>
      </c>
      <c r="AM217" t="s">
        <v>1744</v>
      </c>
      <c r="AN217" t="s">
        <v>1234</v>
      </c>
      <c r="AO217" t="s">
        <v>1236</v>
      </c>
      <c r="AP217" t="s">
        <v>1158</v>
      </c>
      <c r="AR217" t="s">
        <v>683</v>
      </c>
      <c r="AT217" t="s">
        <v>3589</v>
      </c>
      <c r="AU217" t="s">
        <v>684</v>
      </c>
      <c r="AW217" t="s">
        <v>1282</v>
      </c>
    </row>
    <row r="218" spans="1:49">
      <c r="A218" s="1">
        <f>HYPERLINK("https://lsnyc.legalserver.org/matter/dynamic-profile/view/1903763","19-1903763")</f>
        <v>0</v>
      </c>
      <c r="B218" t="s">
        <v>1285</v>
      </c>
      <c r="C218" t="s">
        <v>1780</v>
      </c>
      <c r="D218" t="s">
        <v>2152</v>
      </c>
      <c r="E218" t="s">
        <v>2422</v>
      </c>
      <c r="F218" t="s">
        <v>2570</v>
      </c>
      <c r="G218" t="s">
        <v>677</v>
      </c>
      <c r="H218">
        <v>10468</v>
      </c>
      <c r="I218" t="s">
        <v>682</v>
      </c>
      <c r="J218" t="s">
        <v>2775</v>
      </c>
      <c r="K218" t="s">
        <v>732</v>
      </c>
      <c r="L218" t="s">
        <v>740</v>
      </c>
      <c r="M218" t="s">
        <v>745</v>
      </c>
      <c r="N218" t="s">
        <v>1157</v>
      </c>
      <c r="O218">
        <v>1501</v>
      </c>
      <c r="P218" t="s">
        <v>753</v>
      </c>
      <c r="R218" t="s">
        <v>3086</v>
      </c>
      <c r="S218" t="s">
        <v>3224</v>
      </c>
      <c r="T218" t="s">
        <v>3426</v>
      </c>
      <c r="U218">
        <v>0</v>
      </c>
      <c r="V218" t="s">
        <v>3516</v>
      </c>
      <c r="W218" t="s">
        <v>1115</v>
      </c>
      <c r="X218">
        <v>8</v>
      </c>
      <c r="Y218">
        <v>1</v>
      </c>
      <c r="Z218">
        <v>2</v>
      </c>
      <c r="AA218">
        <v>53.28</v>
      </c>
      <c r="AD218" t="s">
        <v>1122</v>
      </c>
      <c r="AE218">
        <v>11364</v>
      </c>
      <c r="AK218">
        <v>2.5</v>
      </c>
      <c r="AL218" t="s">
        <v>1206</v>
      </c>
      <c r="AM218" t="s">
        <v>1744</v>
      </c>
      <c r="AN218" t="s">
        <v>1234</v>
      </c>
      <c r="AO218" t="s">
        <v>1236</v>
      </c>
      <c r="AP218" t="s">
        <v>1256</v>
      </c>
      <c r="AR218" t="s">
        <v>683</v>
      </c>
      <c r="AT218" t="s">
        <v>3589</v>
      </c>
      <c r="AU218" t="s">
        <v>684</v>
      </c>
      <c r="AW218" t="s">
        <v>1282</v>
      </c>
    </row>
    <row r="219" spans="1:49">
      <c r="A219" s="1">
        <f>HYPERLINK("https://lsnyc.legalserver.org/matter/dynamic-profile/view/1904071","19-1904071")</f>
        <v>0</v>
      </c>
      <c r="B219" t="s">
        <v>58</v>
      </c>
      <c r="C219" t="s">
        <v>1923</v>
      </c>
      <c r="D219" t="s">
        <v>2153</v>
      </c>
      <c r="E219" t="s">
        <v>2423</v>
      </c>
      <c r="F219">
        <v>45</v>
      </c>
      <c r="G219" t="s">
        <v>677</v>
      </c>
      <c r="H219">
        <v>10468</v>
      </c>
      <c r="I219" t="s">
        <v>682</v>
      </c>
      <c r="J219" t="s">
        <v>2776</v>
      </c>
      <c r="K219" t="s">
        <v>732</v>
      </c>
      <c r="L219" t="s">
        <v>740</v>
      </c>
      <c r="M219" t="s">
        <v>744</v>
      </c>
      <c r="O219">
        <v>1956</v>
      </c>
      <c r="R219" t="s">
        <v>3087</v>
      </c>
      <c r="S219">
        <v>1674428</v>
      </c>
      <c r="T219" t="s">
        <v>3427</v>
      </c>
      <c r="U219">
        <v>26</v>
      </c>
      <c r="V219" t="s">
        <v>1104</v>
      </c>
      <c r="W219" t="s">
        <v>1121</v>
      </c>
      <c r="X219">
        <v>3</v>
      </c>
      <c r="Y219">
        <v>1</v>
      </c>
      <c r="Z219">
        <v>3</v>
      </c>
      <c r="AA219">
        <v>16.96</v>
      </c>
      <c r="AE219">
        <v>4368</v>
      </c>
      <c r="AK219">
        <v>1.7</v>
      </c>
      <c r="AL219" t="s">
        <v>1162</v>
      </c>
      <c r="AM219" t="s">
        <v>77</v>
      </c>
      <c r="AN219" t="s">
        <v>1233</v>
      </c>
      <c r="AO219" t="s">
        <v>1236</v>
      </c>
      <c r="AP219" t="s">
        <v>1214</v>
      </c>
      <c r="AR219" t="s">
        <v>683</v>
      </c>
      <c r="AT219" t="s">
        <v>3589</v>
      </c>
      <c r="AU219" t="s">
        <v>684</v>
      </c>
      <c r="AW219" t="s">
        <v>1282</v>
      </c>
    </row>
    <row r="220" spans="1:49">
      <c r="A220" s="1">
        <f>HYPERLINK("https://lsnyc.legalserver.org/matter/dynamic-profile/view/1901593","19-1901593")</f>
        <v>0</v>
      </c>
      <c r="B220" t="s">
        <v>89</v>
      </c>
      <c r="C220" t="s">
        <v>1924</v>
      </c>
      <c r="D220" t="s">
        <v>2154</v>
      </c>
      <c r="E220" t="s">
        <v>2424</v>
      </c>
      <c r="F220" t="s">
        <v>646</v>
      </c>
      <c r="G220" t="s">
        <v>677</v>
      </c>
      <c r="H220">
        <v>10457</v>
      </c>
      <c r="I220" t="s">
        <v>682</v>
      </c>
      <c r="J220" t="s">
        <v>2777</v>
      </c>
      <c r="K220" t="s">
        <v>732</v>
      </c>
      <c r="L220" t="s">
        <v>740</v>
      </c>
      <c r="M220" t="s">
        <v>745</v>
      </c>
      <c r="O220">
        <v>1534</v>
      </c>
      <c r="P220" t="s">
        <v>753</v>
      </c>
      <c r="R220" t="s">
        <v>3088</v>
      </c>
      <c r="S220" t="s">
        <v>3225</v>
      </c>
      <c r="T220" t="s">
        <v>3428</v>
      </c>
      <c r="U220">
        <v>27</v>
      </c>
      <c r="V220" t="s">
        <v>1102</v>
      </c>
      <c r="W220" t="s">
        <v>1120</v>
      </c>
      <c r="X220">
        <v>5</v>
      </c>
      <c r="Y220">
        <v>1</v>
      </c>
      <c r="Z220">
        <v>2</v>
      </c>
      <c r="AA220">
        <v>66.16</v>
      </c>
      <c r="AD220" t="s">
        <v>1122</v>
      </c>
      <c r="AE220">
        <v>14112</v>
      </c>
      <c r="AK220">
        <v>4</v>
      </c>
      <c r="AL220" t="s">
        <v>1211</v>
      </c>
      <c r="AM220" t="s">
        <v>1230</v>
      </c>
      <c r="AN220" t="s">
        <v>1233</v>
      </c>
      <c r="AO220" t="s">
        <v>1236</v>
      </c>
      <c r="AP220" t="s">
        <v>1209</v>
      </c>
      <c r="AR220" t="s">
        <v>683</v>
      </c>
      <c r="AT220" t="s">
        <v>3589</v>
      </c>
      <c r="AU220" t="s">
        <v>684</v>
      </c>
      <c r="AW220" t="s">
        <v>1282</v>
      </c>
    </row>
    <row r="221" spans="1:49">
      <c r="A221" s="1">
        <f>HYPERLINK("https://lsnyc.legalserver.org/matter/dynamic-profile/view/1898474","19-1898474")</f>
        <v>0</v>
      </c>
      <c r="B221" t="s">
        <v>83</v>
      </c>
      <c r="C221" t="s">
        <v>1925</v>
      </c>
      <c r="D221" t="s">
        <v>2155</v>
      </c>
      <c r="E221" t="s">
        <v>2425</v>
      </c>
      <c r="F221" t="s">
        <v>2572</v>
      </c>
      <c r="G221" t="s">
        <v>677</v>
      </c>
      <c r="H221">
        <v>10468</v>
      </c>
      <c r="I221" t="s">
        <v>682</v>
      </c>
      <c r="J221" t="s">
        <v>2778</v>
      </c>
      <c r="K221" t="s">
        <v>732</v>
      </c>
      <c r="L221" t="s">
        <v>740</v>
      </c>
      <c r="O221">
        <v>0</v>
      </c>
      <c r="P221" t="s">
        <v>753</v>
      </c>
      <c r="R221" t="s">
        <v>3089</v>
      </c>
      <c r="T221" t="s">
        <v>3429</v>
      </c>
      <c r="U221">
        <v>56</v>
      </c>
      <c r="W221" t="s">
        <v>1116</v>
      </c>
      <c r="X221">
        <v>0</v>
      </c>
      <c r="Y221">
        <v>1</v>
      </c>
      <c r="Z221">
        <v>0</v>
      </c>
      <c r="AA221">
        <v>187.35</v>
      </c>
      <c r="AD221" t="s">
        <v>1123</v>
      </c>
      <c r="AE221">
        <v>23400</v>
      </c>
      <c r="AF221" t="s">
        <v>3560</v>
      </c>
      <c r="AK221">
        <v>5.4</v>
      </c>
      <c r="AL221" t="s">
        <v>1214</v>
      </c>
      <c r="AM221" t="s">
        <v>1230</v>
      </c>
      <c r="AO221" t="s">
        <v>1236</v>
      </c>
      <c r="AP221" t="s">
        <v>1245</v>
      </c>
      <c r="AR221" t="s">
        <v>684</v>
      </c>
      <c r="AT221" t="s">
        <v>3589</v>
      </c>
      <c r="AU221" t="s">
        <v>684</v>
      </c>
      <c r="AW221" t="s">
        <v>1282</v>
      </c>
    </row>
    <row r="222" spans="1:49">
      <c r="A222" s="1">
        <f>HYPERLINK("https://lsnyc.legalserver.org/matter/dynamic-profile/view/1901268","19-1901268")</f>
        <v>0</v>
      </c>
      <c r="B222" t="s">
        <v>92</v>
      </c>
      <c r="C222" t="s">
        <v>1926</v>
      </c>
      <c r="D222" t="s">
        <v>2156</v>
      </c>
      <c r="E222" t="s">
        <v>2426</v>
      </c>
      <c r="F222" t="s">
        <v>2573</v>
      </c>
      <c r="G222" t="s">
        <v>677</v>
      </c>
      <c r="H222">
        <v>10457</v>
      </c>
      <c r="I222" t="s">
        <v>682</v>
      </c>
      <c r="J222" t="s">
        <v>2779</v>
      </c>
      <c r="K222" t="s">
        <v>732</v>
      </c>
      <c r="L222" t="s">
        <v>740</v>
      </c>
      <c r="M222" t="s">
        <v>744</v>
      </c>
      <c r="O222">
        <v>1089</v>
      </c>
      <c r="R222" t="s">
        <v>3090</v>
      </c>
      <c r="T222" t="s">
        <v>3430</v>
      </c>
      <c r="U222">
        <v>55</v>
      </c>
      <c r="V222" t="s">
        <v>1102</v>
      </c>
      <c r="X222">
        <v>2</v>
      </c>
      <c r="Y222">
        <v>1</v>
      </c>
      <c r="Z222">
        <v>1</v>
      </c>
      <c r="AA222">
        <v>179.18</v>
      </c>
      <c r="AD222" t="s">
        <v>1122</v>
      </c>
      <c r="AE222">
        <v>30300</v>
      </c>
      <c r="AK222">
        <v>11.3</v>
      </c>
      <c r="AL222" t="s">
        <v>1208</v>
      </c>
      <c r="AM222" t="s">
        <v>77</v>
      </c>
      <c r="AN222" t="s">
        <v>1233</v>
      </c>
      <c r="AO222" t="s">
        <v>1236</v>
      </c>
      <c r="AP222" t="s">
        <v>1205</v>
      </c>
      <c r="AR222" t="s">
        <v>683</v>
      </c>
      <c r="AT222" t="s">
        <v>3589</v>
      </c>
      <c r="AU222" t="s">
        <v>684</v>
      </c>
      <c r="AW222" t="s">
        <v>1282</v>
      </c>
    </row>
    <row r="223" spans="1:49">
      <c r="A223" s="1">
        <f>HYPERLINK("https://lsnyc.legalserver.org/matter/dynamic-profile/view/1903709","19-1903709")</f>
        <v>0</v>
      </c>
      <c r="B223" t="s">
        <v>1758</v>
      </c>
      <c r="C223" t="s">
        <v>1927</v>
      </c>
      <c r="D223" t="s">
        <v>2048</v>
      </c>
      <c r="E223" t="s">
        <v>2427</v>
      </c>
      <c r="F223" t="s">
        <v>2574</v>
      </c>
      <c r="G223" t="s">
        <v>677</v>
      </c>
      <c r="H223">
        <v>10468</v>
      </c>
      <c r="I223" t="s">
        <v>682</v>
      </c>
      <c r="J223" t="s">
        <v>2780</v>
      </c>
      <c r="K223" t="s">
        <v>732</v>
      </c>
      <c r="L223" t="s">
        <v>740</v>
      </c>
      <c r="N223" t="s">
        <v>1163</v>
      </c>
      <c r="O223">
        <v>871.26</v>
      </c>
      <c r="P223" t="s">
        <v>752</v>
      </c>
      <c r="R223" t="s">
        <v>3091</v>
      </c>
      <c r="S223" t="s">
        <v>3226</v>
      </c>
      <c r="T223" t="s">
        <v>3431</v>
      </c>
      <c r="U223">
        <v>0</v>
      </c>
      <c r="V223" t="s">
        <v>1105</v>
      </c>
      <c r="W223" t="s">
        <v>1117</v>
      </c>
      <c r="X223">
        <v>26</v>
      </c>
      <c r="Y223">
        <v>1</v>
      </c>
      <c r="Z223">
        <v>1</v>
      </c>
      <c r="AA223">
        <v>67.77</v>
      </c>
      <c r="AD223" t="s">
        <v>1123</v>
      </c>
      <c r="AE223">
        <v>11460</v>
      </c>
      <c r="AK223">
        <v>0</v>
      </c>
      <c r="AM223" t="s">
        <v>1231</v>
      </c>
      <c r="AN223" t="s">
        <v>1234</v>
      </c>
      <c r="AO223" t="s">
        <v>1236</v>
      </c>
      <c r="AP223" t="s">
        <v>1163</v>
      </c>
      <c r="AR223" t="s">
        <v>683</v>
      </c>
      <c r="AT223" t="s">
        <v>3589</v>
      </c>
      <c r="AU223" t="s">
        <v>684</v>
      </c>
      <c r="AW223" t="s">
        <v>1282</v>
      </c>
    </row>
    <row r="224" spans="1:49">
      <c r="A224" s="1">
        <f>HYPERLINK("https://lsnyc.legalserver.org/matter/dynamic-profile/view/1901387","19-1901387")</f>
        <v>0</v>
      </c>
      <c r="B224" t="s">
        <v>1755</v>
      </c>
      <c r="C224" t="s">
        <v>1928</v>
      </c>
      <c r="D224" t="s">
        <v>2157</v>
      </c>
      <c r="E224" t="s">
        <v>2399</v>
      </c>
      <c r="F224" t="s">
        <v>2575</v>
      </c>
      <c r="G224" t="s">
        <v>677</v>
      </c>
      <c r="H224">
        <v>10467</v>
      </c>
      <c r="I224" t="s">
        <v>682</v>
      </c>
      <c r="J224" t="s">
        <v>2781</v>
      </c>
      <c r="K224" t="s">
        <v>732</v>
      </c>
      <c r="L224" t="s">
        <v>740</v>
      </c>
      <c r="M224" t="s">
        <v>744</v>
      </c>
      <c r="O224">
        <v>1202</v>
      </c>
      <c r="P224" t="s">
        <v>757</v>
      </c>
      <c r="R224" t="s">
        <v>3092</v>
      </c>
      <c r="S224" t="s">
        <v>3227</v>
      </c>
      <c r="T224" t="s">
        <v>3432</v>
      </c>
      <c r="U224">
        <v>3</v>
      </c>
      <c r="V224" t="s">
        <v>1102</v>
      </c>
      <c r="W224" t="s">
        <v>3517</v>
      </c>
      <c r="X224">
        <v>3</v>
      </c>
      <c r="Y224">
        <v>2</v>
      </c>
      <c r="Z224">
        <v>2</v>
      </c>
      <c r="AA224">
        <v>119.1</v>
      </c>
      <c r="AD224" t="s">
        <v>1122</v>
      </c>
      <c r="AE224">
        <v>30668</v>
      </c>
      <c r="AK224">
        <v>1.1</v>
      </c>
      <c r="AL224" t="s">
        <v>1163</v>
      </c>
      <c r="AM224" t="s">
        <v>1231</v>
      </c>
      <c r="AO224" t="s">
        <v>1236</v>
      </c>
      <c r="AP224" t="s">
        <v>1189</v>
      </c>
      <c r="AR224" t="s">
        <v>683</v>
      </c>
      <c r="AT224" t="s">
        <v>3589</v>
      </c>
      <c r="AU224" t="s">
        <v>684</v>
      </c>
      <c r="AW224" t="s">
        <v>1282</v>
      </c>
    </row>
    <row r="225" spans="1:49">
      <c r="A225" s="1">
        <f>HYPERLINK("https://lsnyc.legalserver.org/matter/dynamic-profile/view/1896830","19-1896830")</f>
        <v>0</v>
      </c>
      <c r="B225" t="s">
        <v>94</v>
      </c>
      <c r="C225" t="s">
        <v>1929</v>
      </c>
      <c r="D225" t="s">
        <v>2158</v>
      </c>
      <c r="E225" t="s">
        <v>2428</v>
      </c>
      <c r="F225">
        <v>1</v>
      </c>
      <c r="G225" t="s">
        <v>677</v>
      </c>
      <c r="H225">
        <v>10457</v>
      </c>
      <c r="I225" t="s">
        <v>682</v>
      </c>
      <c r="J225" t="s">
        <v>2782</v>
      </c>
      <c r="K225" t="s">
        <v>732</v>
      </c>
      <c r="L225" t="s">
        <v>740</v>
      </c>
      <c r="O225">
        <v>1269</v>
      </c>
      <c r="R225" t="s">
        <v>3093</v>
      </c>
      <c r="S225" t="s">
        <v>3228</v>
      </c>
      <c r="T225" t="s">
        <v>3433</v>
      </c>
      <c r="U225">
        <v>25</v>
      </c>
      <c r="V225" t="s">
        <v>1102</v>
      </c>
      <c r="W225" t="s">
        <v>1115</v>
      </c>
      <c r="X225">
        <v>11</v>
      </c>
      <c r="Y225">
        <v>1</v>
      </c>
      <c r="Z225">
        <v>1</v>
      </c>
      <c r="AA225">
        <v>64.08</v>
      </c>
      <c r="AD225" t="s">
        <v>1122</v>
      </c>
      <c r="AE225">
        <v>10836</v>
      </c>
      <c r="AK225">
        <v>5.1</v>
      </c>
      <c r="AL225" t="s">
        <v>1193</v>
      </c>
      <c r="AM225" t="s">
        <v>1219</v>
      </c>
      <c r="AN225" t="s">
        <v>1234</v>
      </c>
      <c r="AO225" t="s">
        <v>1236</v>
      </c>
      <c r="AP225" t="s">
        <v>1249</v>
      </c>
      <c r="AR225" t="s">
        <v>683</v>
      </c>
      <c r="AT225" t="s">
        <v>3589</v>
      </c>
      <c r="AU225" t="s">
        <v>684</v>
      </c>
      <c r="AW225" t="s">
        <v>1282</v>
      </c>
    </row>
    <row r="226" spans="1:49">
      <c r="A226" s="1">
        <f>HYPERLINK("https://lsnyc.legalserver.org/matter/dynamic-profile/view/1904101","19-1904101")</f>
        <v>0</v>
      </c>
      <c r="B226" t="s">
        <v>1762</v>
      </c>
      <c r="C226" t="s">
        <v>1328</v>
      </c>
      <c r="D226" t="s">
        <v>2159</v>
      </c>
      <c r="E226" t="s">
        <v>2429</v>
      </c>
      <c r="F226" t="s">
        <v>2576</v>
      </c>
      <c r="G226" t="s">
        <v>677</v>
      </c>
      <c r="H226">
        <v>10457</v>
      </c>
      <c r="I226" t="s">
        <v>682</v>
      </c>
      <c r="J226" t="s">
        <v>2783</v>
      </c>
      <c r="K226" t="s">
        <v>732</v>
      </c>
      <c r="L226" t="s">
        <v>740</v>
      </c>
      <c r="M226" t="s">
        <v>745</v>
      </c>
      <c r="N226" t="s">
        <v>1214</v>
      </c>
      <c r="O226">
        <v>1375</v>
      </c>
      <c r="R226" t="s">
        <v>3094</v>
      </c>
      <c r="S226" t="s">
        <v>3229</v>
      </c>
      <c r="T226" t="s">
        <v>3434</v>
      </c>
      <c r="U226">
        <v>0</v>
      </c>
      <c r="W226" t="s">
        <v>1116</v>
      </c>
      <c r="X226">
        <v>3</v>
      </c>
      <c r="Y226">
        <v>2</v>
      </c>
      <c r="Z226">
        <v>0</v>
      </c>
      <c r="AA226">
        <v>92.25</v>
      </c>
      <c r="AD226" t="s">
        <v>1123</v>
      </c>
      <c r="AE226">
        <v>15600</v>
      </c>
      <c r="AK226">
        <v>12.45</v>
      </c>
      <c r="AL226" t="s">
        <v>1170</v>
      </c>
      <c r="AM226" t="s">
        <v>77</v>
      </c>
      <c r="AN226" t="s">
        <v>1234</v>
      </c>
      <c r="AO226" t="s">
        <v>1236</v>
      </c>
      <c r="AP226" t="s">
        <v>1214</v>
      </c>
      <c r="AR226" t="s">
        <v>683</v>
      </c>
      <c r="AT226" t="s">
        <v>3589</v>
      </c>
      <c r="AU226" t="s">
        <v>684</v>
      </c>
      <c r="AW226" t="s">
        <v>1282</v>
      </c>
    </row>
    <row r="227" spans="1:49">
      <c r="A227" s="1">
        <f>HYPERLINK("https://lsnyc.legalserver.org/matter/dynamic-profile/view/1905959","19-1905959")</f>
        <v>0</v>
      </c>
      <c r="B227" t="s">
        <v>49</v>
      </c>
      <c r="C227" t="s">
        <v>1930</v>
      </c>
      <c r="D227" t="s">
        <v>2160</v>
      </c>
      <c r="E227" t="s">
        <v>2430</v>
      </c>
      <c r="F227" t="s">
        <v>658</v>
      </c>
      <c r="G227" t="s">
        <v>677</v>
      </c>
      <c r="H227">
        <v>10457</v>
      </c>
      <c r="I227" t="s">
        <v>682</v>
      </c>
      <c r="J227" t="s">
        <v>2784</v>
      </c>
      <c r="K227" t="s">
        <v>732</v>
      </c>
      <c r="L227" t="s">
        <v>740</v>
      </c>
      <c r="O227">
        <v>1089</v>
      </c>
      <c r="P227" t="s">
        <v>757</v>
      </c>
      <c r="R227" t="s">
        <v>3095</v>
      </c>
      <c r="T227" t="s">
        <v>3435</v>
      </c>
      <c r="U227">
        <v>54</v>
      </c>
      <c r="V227" t="s">
        <v>1102</v>
      </c>
      <c r="X227">
        <v>6</v>
      </c>
      <c r="Y227">
        <v>1</v>
      </c>
      <c r="Z227">
        <v>1</v>
      </c>
      <c r="AA227">
        <v>178.83</v>
      </c>
      <c r="AE227">
        <v>30240</v>
      </c>
      <c r="AK227">
        <v>1</v>
      </c>
      <c r="AL227" t="s">
        <v>1212</v>
      </c>
      <c r="AM227" t="s">
        <v>77</v>
      </c>
      <c r="AN227" t="s">
        <v>1233</v>
      </c>
      <c r="AO227" t="s">
        <v>1236</v>
      </c>
      <c r="AP227" t="s">
        <v>1211</v>
      </c>
      <c r="AR227" t="s">
        <v>683</v>
      </c>
      <c r="AT227" t="s">
        <v>3589</v>
      </c>
      <c r="AU227" t="s">
        <v>684</v>
      </c>
      <c r="AW227" t="s">
        <v>1282</v>
      </c>
    </row>
    <row r="228" spans="1:49">
      <c r="A228" s="1">
        <f>HYPERLINK("https://lsnyc.legalserver.org/matter/dynamic-profile/view/1904032","19-1904032")</f>
        <v>0</v>
      </c>
      <c r="B228" t="s">
        <v>1759</v>
      </c>
      <c r="C228" t="s">
        <v>1931</v>
      </c>
      <c r="D228" t="s">
        <v>2161</v>
      </c>
      <c r="E228" t="s">
        <v>2431</v>
      </c>
      <c r="F228" t="s">
        <v>2577</v>
      </c>
      <c r="G228" t="s">
        <v>677</v>
      </c>
      <c r="H228">
        <v>10468</v>
      </c>
      <c r="I228" t="s">
        <v>682</v>
      </c>
      <c r="J228" t="s">
        <v>2785</v>
      </c>
      <c r="K228" t="s">
        <v>732</v>
      </c>
      <c r="L228" t="s">
        <v>740</v>
      </c>
      <c r="N228" t="s">
        <v>1214</v>
      </c>
      <c r="O228">
        <v>1450</v>
      </c>
      <c r="R228" t="s">
        <v>3096</v>
      </c>
      <c r="T228" t="s">
        <v>3436</v>
      </c>
      <c r="U228">
        <v>38</v>
      </c>
      <c r="X228">
        <v>9</v>
      </c>
      <c r="Y228">
        <v>3</v>
      </c>
      <c r="Z228">
        <v>2</v>
      </c>
      <c r="AA228">
        <v>148.49</v>
      </c>
      <c r="AE228">
        <v>44800</v>
      </c>
      <c r="AK228">
        <v>3.2</v>
      </c>
      <c r="AL228" t="s">
        <v>1211</v>
      </c>
      <c r="AM228" t="s">
        <v>77</v>
      </c>
      <c r="AN228" t="s">
        <v>1233</v>
      </c>
      <c r="AO228" t="s">
        <v>1236</v>
      </c>
      <c r="AP228" t="s">
        <v>1214</v>
      </c>
      <c r="AR228" t="s">
        <v>683</v>
      </c>
      <c r="AT228" t="s">
        <v>3589</v>
      </c>
      <c r="AU228" t="s">
        <v>684</v>
      </c>
      <c r="AW228" t="s">
        <v>1282</v>
      </c>
    </row>
    <row r="229" spans="1:49">
      <c r="A229" s="1">
        <f>HYPERLINK("https://lsnyc.legalserver.org/matter/dynamic-profile/view/1903798","19-1903798")</f>
        <v>0</v>
      </c>
      <c r="B229" t="s">
        <v>68</v>
      </c>
      <c r="C229" t="s">
        <v>1932</v>
      </c>
      <c r="D229" t="s">
        <v>2162</v>
      </c>
      <c r="E229" t="s">
        <v>2432</v>
      </c>
      <c r="F229" t="s">
        <v>650</v>
      </c>
      <c r="G229" t="s">
        <v>677</v>
      </c>
      <c r="H229">
        <v>10457</v>
      </c>
      <c r="I229" t="s">
        <v>684</v>
      </c>
      <c r="J229" t="s">
        <v>2786</v>
      </c>
      <c r="K229" t="s">
        <v>732</v>
      </c>
      <c r="L229" t="s">
        <v>740</v>
      </c>
      <c r="O229">
        <v>700</v>
      </c>
      <c r="R229" t="s">
        <v>3097</v>
      </c>
      <c r="S229" t="s">
        <v>3230</v>
      </c>
      <c r="T229" t="s">
        <v>3437</v>
      </c>
      <c r="U229">
        <v>50</v>
      </c>
      <c r="W229" t="s">
        <v>3517</v>
      </c>
      <c r="X229">
        <v>0</v>
      </c>
      <c r="Y229">
        <v>1</v>
      </c>
      <c r="Z229">
        <v>0</v>
      </c>
      <c r="AA229">
        <v>119.9</v>
      </c>
      <c r="AD229" t="s">
        <v>1122</v>
      </c>
      <c r="AE229">
        <v>14976</v>
      </c>
      <c r="AK229">
        <v>2.5</v>
      </c>
      <c r="AL229" t="s">
        <v>1170</v>
      </c>
      <c r="AM229" t="s">
        <v>77</v>
      </c>
      <c r="AN229" t="s">
        <v>1116</v>
      </c>
      <c r="AO229" t="s">
        <v>1236</v>
      </c>
      <c r="AP229" t="s">
        <v>1172</v>
      </c>
      <c r="AR229" t="s">
        <v>683</v>
      </c>
      <c r="AT229" t="s">
        <v>3589</v>
      </c>
      <c r="AU229" t="s">
        <v>684</v>
      </c>
      <c r="AW229" t="s">
        <v>1282</v>
      </c>
    </row>
    <row r="230" spans="1:49">
      <c r="A230" s="1">
        <f>HYPERLINK("https://lsnyc.legalserver.org/matter/dynamic-profile/view/1905473","19-1905473")</f>
        <v>0</v>
      </c>
      <c r="B230" t="s">
        <v>93</v>
      </c>
      <c r="C230" t="s">
        <v>1933</v>
      </c>
      <c r="D230" t="s">
        <v>1371</v>
      </c>
      <c r="E230" t="s">
        <v>2433</v>
      </c>
      <c r="F230" t="s">
        <v>2566</v>
      </c>
      <c r="G230" t="s">
        <v>677</v>
      </c>
      <c r="H230">
        <v>10467</v>
      </c>
      <c r="I230" t="s">
        <v>682</v>
      </c>
      <c r="J230" t="s">
        <v>2787</v>
      </c>
      <c r="K230" t="s">
        <v>732</v>
      </c>
      <c r="L230" t="s">
        <v>740</v>
      </c>
      <c r="N230" t="s">
        <v>1169</v>
      </c>
      <c r="O230">
        <v>998.72</v>
      </c>
      <c r="R230" t="s">
        <v>3098</v>
      </c>
      <c r="T230" t="s">
        <v>3438</v>
      </c>
      <c r="U230">
        <v>60</v>
      </c>
      <c r="V230" t="s">
        <v>1106</v>
      </c>
      <c r="X230">
        <v>35</v>
      </c>
      <c r="Y230">
        <v>1</v>
      </c>
      <c r="Z230">
        <v>1</v>
      </c>
      <c r="AA230">
        <v>118.7</v>
      </c>
      <c r="AD230" t="s">
        <v>1122</v>
      </c>
      <c r="AE230">
        <v>20072</v>
      </c>
      <c r="AK230">
        <v>1.3</v>
      </c>
      <c r="AL230" t="s">
        <v>1175</v>
      </c>
      <c r="AM230" t="s">
        <v>3583</v>
      </c>
      <c r="AN230" t="s">
        <v>1233</v>
      </c>
      <c r="AO230" t="s">
        <v>1236</v>
      </c>
      <c r="AP230" t="s">
        <v>1169</v>
      </c>
      <c r="AR230" t="s">
        <v>683</v>
      </c>
      <c r="AT230" t="s">
        <v>3589</v>
      </c>
      <c r="AW230" t="s">
        <v>1282</v>
      </c>
    </row>
    <row r="231" spans="1:49">
      <c r="A231" s="1">
        <f>HYPERLINK("https://lsnyc.legalserver.org/matter/dynamic-profile/view/1903840","19-1903840")</f>
        <v>0</v>
      </c>
      <c r="B231" t="s">
        <v>89</v>
      </c>
      <c r="C231" t="s">
        <v>212</v>
      </c>
      <c r="D231" t="s">
        <v>347</v>
      </c>
      <c r="E231" t="s">
        <v>2434</v>
      </c>
      <c r="F231" t="s">
        <v>632</v>
      </c>
      <c r="G231" t="s">
        <v>677</v>
      </c>
      <c r="H231">
        <v>10457</v>
      </c>
      <c r="I231" t="s">
        <v>682</v>
      </c>
      <c r="J231" t="s">
        <v>2788</v>
      </c>
      <c r="K231" t="s">
        <v>732</v>
      </c>
      <c r="L231" t="s">
        <v>740</v>
      </c>
      <c r="M231" t="s">
        <v>745</v>
      </c>
      <c r="N231" t="s">
        <v>1172</v>
      </c>
      <c r="O231">
        <v>1077.46</v>
      </c>
      <c r="R231" t="s">
        <v>3099</v>
      </c>
      <c r="T231" t="s">
        <v>3439</v>
      </c>
      <c r="U231">
        <v>24</v>
      </c>
      <c r="V231" t="s">
        <v>1102</v>
      </c>
      <c r="W231" t="s">
        <v>1116</v>
      </c>
      <c r="X231">
        <v>11</v>
      </c>
      <c r="Y231">
        <v>1</v>
      </c>
      <c r="Z231">
        <v>0</v>
      </c>
      <c r="AA231">
        <v>127.81</v>
      </c>
      <c r="AD231" t="s">
        <v>1122</v>
      </c>
      <c r="AE231">
        <v>15964</v>
      </c>
      <c r="AK231">
        <v>2.5</v>
      </c>
      <c r="AL231" t="s">
        <v>1160</v>
      </c>
      <c r="AM231" t="s">
        <v>77</v>
      </c>
      <c r="AN231" t="s">
        <v>1233</v>
      </c>
      <c r="AO231" t="s">
        <v>1236</v>
      </c>
      <c r="AP231" t="s">
        <v>1172</v>
      </c>
      <c r="AR231" t="s">
        <v>683</v>
      </c>
      <c r="AT231" t="s">
        <v>3589</v>
      </c>
      <c r="AU231" t="s">
        <v>684</v>
      </c>
      <c r="AW231" t="s">
        <v>1282</v>
      </c>
    </row>
    <row r="232" spans="1:49">
      <c r="A232" s="1">
        <f>HYPERLINK("https://lsnyc.legalserver.org/matter/dynamic-profile/view/1905318","19-1905318")</f>
        <v>0</v>
      </c>
      <c r="B232" t="s">
        <v>104</v>
      </c>
      <c r="C232" t="s">
        <v>131</v>
      </c>
      <c r="D232" t="s">
        <v>2163</v>
      </c>
      <c r="E232" t="s">
        <v>2424</v>
      </c>
      <c r="F232" t="s">
        <v>621</v>
      </c>
      <c r="G232" t="s">
        <v>677</v>
      </c>
      <c r="H232">
        <v>10457</v>
      </c>
      <c r="I232" t="s">
        <v>682</v>
      </c>
      <c r="J232" t="s">
        <v>2789</v>
      </c>
      <c r="K232" t="s">
        <v>732</v>
      </c>
      <c r="L232" t="s">
        <v>740</v>
      </c>
      <c r="M232" t="s">
        <v>744</v>
      </c>
      <c r="N232" t="s">
        <v>1166</v>
      </c>
      <c r="O232">
        <v>1650</v>
      </c>
      <c r="P232" t="s">
        <v>752</v>
      </c>
      <c r="R232" t="s">
        <v>3100</v>
      </c>
      <c r="T232" t="s">
        <v>3440</v>
      </c>
      <c r="U232">
        <v>27</v>
      </c>
      <c r="V232" t="s">
        <v>1102</v>
      </c>
      <c r="W232" t="s">
        <v>1115</v>
      </c>
      <c r="X232">
        <v>3</v>
      </c>
      <c r="Y232">
        <v>1</v>
      </c>
      <c r="Z232">
        <v>1</v>
      </c>
      <c r="AA232">
        <v>58.05</v>
      </c>
      <c r="AD232" t="s">
        <v>1123</v>
      </c>
      <c r="AE232">
        <v>9816</v>
      </c>
      <c r="AK232">
        <v>0.5</v>
      </c>
      <c r="AL232" t="s">
        <v>1166</v>
      </c>
      <c r="AM232" t="s">
        <v>1215</v>
      </c>
      <c r="AN232" t="s">
        <v>1233</v>
      </c>
      <c r="AO232" t="s">
        <v>1236</v>
      </c>
      <c r="AP232" t="s">
        <v>1166</v>
      </c>
      <c r="AR232" t="s">
        <v>683</v>
      </c>
      <c r="AT232" t="s">
        <v>3589</v>
      </c>
      <c r="AU232" t="s">
        <v>684</v>
      </c>
      <c r="AW232" t="s">
        <v>1282</v>
      </c>
    </row>
    <row r="233" spans="1:49">
      <c r="A233" s="1">
        <f>HYPERLINK("https://lsnyc.legalserver.org/matter/dynamic-profile/view/1904036","19-1904036")</f>
        <v>0</v>
      </c>
      <c r="B233" t="s">
        <v>66</v>
      </c>
      <c r="C233" t="s">
        <v>1934</v>
      </c>
      <c r="D233" t="s">
        <v>2164</v>
      </c>
      <c r="E233" t="s">
        <v>2435</v>
      </c>
      <c r="F233" t="s">
        <v>2578</v>
      </c>
      <c r="G233" t="s">
        <v>677</v>
      </c>
      <c r="H233">
        <v>10468</v>
      </c>
      <c r="I233" t="s">
        <v>682</v>
      </c>
      <c r="J233" t="s">
        <v>2790</v>
      </c>
      <c r="K233" t="s">
        <v>732</v>
      </c>
      <c r="L233" t="s">
        <v>740</v>
      </c>
      <c r="N233" t="s">
        <v>1214</v>
      </c>
      <c r="O233">
        <v>1091</v>
      </c>
      <c r="R233" t="s">
        <v>3101</v>
      </c>
      <c r="T233" t="s">
        <v>3441</v>
      </c>
      <c r="U233">
        <v>86</v>
      </c>
      <c r="V233" t="s">
        <v>1102</v>
      </c>
      <c r="X233">
        <v>50</v>
      </c>
      <c r="Y233">
        <v>3</v>
      </c>
      <c r="Z233">
        <v>1</v>
      </c>
      <c r="AA233">
        <v>174</v>
      </c>
      <c r="AD233" t="s">
        <v>1122</v>
      </c>
      <c r="AE233">
        <v>44806.18</v>
      </c>
      <c r="AK233">
        <v>2</v>
      </c>
      <c r="AL233" t="s">
        <v>1158</v>
      </c>
      <c r="AM233" t="s">
        <v>77</v>
      </c>
      <c r="AN233" t="s">
        <v>1233</v>
      </c>
      <c r="AO233" t="s">
        <v>1236</v>
      </c>
      <c r="AP233" t="s">
        <v>1214</v>
      </c>
      <c r="AR233" t="s">
        <v>683</v>
      </c>
      <c r="AT233" t="s">
        <v>3589</v>
      </c>
      <c r="AU233" t="s">
        <v>684</v>
      </c>
      <c r="AW233" t="s">
        <v>1282</v>
      </c>
    </row>
    <row r="234" spans="1:49">
      <c r="A234" s="1">
        <f>HYPERLINK("https://lsnyc.legalserver.org/matter/dynamic-profile/view/1903736","19-1903736")</f>
        <v>0</v>
      </c>
      <c r="B234" t="s">
        <v>1759</v>
      </c>
      <c r="C234" t="s">
        <v>184</v>
      </c>
      <c r="D234" t="s">
        <v>2165</v>
      </c>
      <c r="E234" t="s">
        <v>2436</v>
      </c>
      <c r="G234" t="s">
        <v>677</v>
      </c>
      <c r="H234">
        <v>10467</v>
      </c>
      <c r="I234" t="s">
        <v>682</v>
      </c>
      <c r="J234" t="s">
        <v>2791</v>
      </c>
      <c r="K234" t="s">
        <v>732</v>
      </c>
      <c r="L234" t="s">
        <v>740</v>
      </c>
      <c r="O234">
        <v>2100</v>
      </c>
      <c r="P234" t="s">
        <v>757</v>
      </c>
      <c r="R234" t="s">
        <v>3102</v>
      </c>
      <c r="T234" t="s">
        <v>3442</v>
      </c>
      <c r="U234">
        <v>3</v>
      </c>
      <c r="V234" t="s">
        <v>1105</v>
      </c>
      <c r="W234" t="s">
        <v>1120</v>
      </c>
      <c r="X234">
        <v>1</v>
      </c>
      <c r="Y234">
        <v>1</v>
      </c>
      <c r="Z234">
        <v>4</v>
      </c>
      <c r="AA234">
        <v>15.91</v>
      </c>
      <c r="AD234" t="s">
        <v>1122</v>
      </c>
      <c r="AE234">
        <v>4800</v>
      </c>
      <c r="AK234">
        <v>3.1</v>
      </c>
      <c r="AL234" t="s">
        <v>1160</v>
      </c>
      <c r="AM234" t="s">
        <v>1229</v>
      </c>
      <c r="AN234" t="s">
        <v>1233</v>
      </c>
      <c r="AO234" t="s">
        <v>1236</v>
      </c>
      <c r="AP234" t="s">
        <v>1256</v>
      </c>
      <c r="AR234" t="s">
        <v>683</v>
      </c>
      <c r="AT234" t="s">
        <v>3589</v>
      </c>
      <c r="AW234" t="s">
        <v>1282</v>
      </c>
    </row>
    <row r="235" spans="1:49">
      <c r="A235" s="1">
        <f>HYPERLINK("https://lsnyc.legalserver.org/matter/dynamic-profile/view/1902425","19-1902425")</f>
        <v>0</v>
      </c>
      <c r="B235" t="s">
        <v>1757</v>
      </c>
      <c r="C235" t="s">
        <v>1922</v>
      </c>
      <c r="D235" t="s">
        <v>282</v>
      </c>
      <c r="E235" t="s">
        <v>2437</v>
      </c>
      <c r="F235" t="s">
        <v>2579</v>
      </c>
      <c r="G235" t="s">
        <v>677</v>
      </c>
      <c r="H235">
        <v>10468</v>
      </c>
      <c r="I235" t="s">
        <v>682</v>
      </c>
      <c r="J235" t="s">
        <v>2792</v>
      </c>
      <c r="K235" t="s">
        <v>732</v>
      </c>
      <c r="L235" t="s">
        <v>740</v>
      </c>
      <c r="N235" t="s">
        <v>1179</v>
      </c>
      <c r="O235">
        <v>1271.72</v>
      </c>
      <c r="R235" t="s">
        <v>3103</v>
      </c>
      <c r="S235" t="s">
        <v>3231</v>
      </c>
      <c r="T235" t="s">
        <v>3443</v>
      </c>
      <c r="U235">
        <v>0</v>
      </c>
      <c r="V235" t="s">
        <v>1102</v>
      </c>
      <c r="W235" t="s">
        <v>1115</v>
      </c>
      <c r="X235">
        <v>10</v>
      </c>
      <c r="Y235">
        <v>1</v>
      </c>
      <c r="Z235">
        <v>0</v>
      </c>
      <c r="AA235">
        <v>19.05</v>
      </c>
      <c r="AD235" t="s">
        <v>1122</v>
      </c>
      <c r="AE235">
        <v>2379</v>
      </c>
      <c r="AK235">
        <v>7.5</v>
      </c>
      <c r="AL235" t="s">
        <v>1179</v>
      </c>
      <c r="AM235" t="s">
        <v>77</v>
      </c>
      <c r="AN235" t="s">
        <v>1234</v>
      </c>
      <c r="AO235" t="s">
        <v>1236</v>
      </c>
      <c r="AP235" t="s">
        <v>3581</v>
      </c>
      <c r="AR235" t="s">
        <v>683</v>
      </c>
      <c r="AT235" t="s">
        <v>3589</v>
      </c>
      <c r="AU235" t="s">
        <v>684</v>
      </c>
      <c r="AW235" t="s">
        <v>1282</v>
      </c>
    </row>
    <row r="236" spans="1:49">
      <c r="A236" s="1">
        <f>HYPERLINK("https://lsnyc.legalserver.org/matter/dynamic-profile/view/1902878","19-1902878")</f>
        <v>0</v>
      </c>
      <c r="B236" t="s">
        <v>1755</v>
      </c>
      <c r="C236" t="s">
        <v>1312</v>
      </c>
      <c r="D236" t="s">
        <v>2166</v>
      </c>
      <c r="E236" t="s">
        <v>2438</v>
      </c>
      <c r="F236" t="s">
        <v>1516</v>
      </c>
      <c r="G236" t="s">
        <v>677</v>
      </c>
      <c r="H236">
        <v>10456</v>
      </c>
      <c r="I236" t="s">
        <v>682</v>
      </c>
      <c r="J236" t="s">
        <v>2793</v>
      </c>
      <c r="K236" t="s">
        <v>732</v>
      </c>
      <c r="L236" t="s">
        <v>740</v>
      </c>
      <c r="M236" t="s">
        <v>1562</v>
      </c>
      <c r="N236" t="s">
        <v>1157</v>
      </c>
      <c r="O236">
        <v>1500</v>
      </c>
      <c r="P236" t="s">
        <v>753</v>
      </c>
      <c r="R236" t="s">
        <v>3104</v>
      </c>
      <c r="S236">
        <v>9410634</v>
      </c>
      <c r="T236" t="s">
        <v>3444</v>
      </c>
      <c r="U236">
        <v>20</v>
      </c>
      <c r="V236" t="s">
        <v>1102</v>
      </c>
      <c r="X236">
        <v>1</v>
      </c>
      <c r="Y236">
        <v>1</v>
      </c>
      <c r="Z236">
        <v>3</v>
      </c>
      <c r="AA236">
        <v>15.65</v>
      </c>
      <c r="AD236" t="s">
        <v>1122</v>
      </c>
      <c r="AE236">
        <v>4030</v>
      </c>
      <c r="AK236">
        <v>6.15</v>
      </c>
      <c r="AL236" t="s">
        <v>1168</v>
      </c>
      <c r="AM236" t="s">
        <v>3583</v>
      </c>
      <c r="AN236" t="s">
        <v>1233</v>
      </c>
      <c r="AO236" t="s">
        <v>1236</v>
      </c>
      <c r="AP236" t="s">
        <v>1178</v>
      </c>
      <c r="AR236" t="s">
        <v>683</v>
      </c>
      <c r="AT236" t="s">
        <v>3589</v>
      </c>
      <c r="AW236" t="s">
        <v>1282</v>
      </c>
    </row>
    <row r="237" spans="1:49">
      <c r="A237" s="1">
        <f>HYPERLINK("https://lsnyc.legalserver.org/matter/dynamic-profile/view/1904097","19-1904097")</f>
        <v>0</v>
      </c>
      <c r="B237" t="s">
        <v>92</v>
      </c>
      <c r="C237" t="s">
        <v>1935</v>
      </c>
      <c r="D237" t="s">
        <v>2167</v>
      </c>
      <c r="E237" t="s">
        <v>2439</v>
      </c>
      <c r="F237" t="s">
        <v>638</v>
      </c>
      <c r="G237" t="s">
        <v>677</v>
      </c>
      <c r="H237">
        <v>10468</v>
      </c>
      <c r="I237" t="s">
        <v>682</v>
      </c>
      <c r="J237" t="s">
        <v>2794</v>
      </c>
      <c r="K237" t="s">
        <v>732</v>
      </c>
      <c r="L237" t="s">
        <v>740</v>
      </c>
      <c r="N237" t="s">
        <v>1214</v>
      </c>
      <c r="O237">
        <v>472</v>
      </c>
      <c r="R237" t="s">
        <v>3105</v>
      </c>
      <c r="S237" t="s">
        <v>3232</v>
      </c>
      <c r="T237" t="s">
        <v>3445</v>
      </c>
      <c r="U237">
        <v>35</v>
      </c>
      <c r="W237" t="s">
        <v>1115</v>
      </c>
      <c r="X237">
        <v>23</v>
      </c>
      <c r="Y237">
        <v>2</v>
      </c>
      <c r="Z237">
        <v>1</v>
      </c>
      <c r="AA237">
        <v>50.46</v>
      </c>
      <c r="AD237" t="s">
        <v>1123</v>
      </c>
      <c r="AE237">
        <v>10764</v>
      </c>
      <c r="AK237">
        <v>1.3</v>
      </c>
      <c r="AL237" t="s">
        <v>1173</v>
      </c>
      <c r="AM237" t="s">
        <v>77</v>
      </c>
      <c r="AN237" t="s">
        <v>1234</v>
      </c>
      <c r="AO237" t="s">
        <v>1236</v>
      </c>
      <c r="AP237" t="s">
        <v>1214</v>
      </c>
      <c r="AR237" t="s">
        <v>683</v>
      </c>
      <c r="AT237" t="s">
        <v>3589</v>
      </c>
      <c r="AU237" t="s">
        <v>684</v>
      </c>
      <c r="AW237" t="s">
        <v>1282</v>
      </c>
    </row>
    <row r="238" spans="1:49">
      <c r="A238" s="1">
        <f>HYPERLINK("https://lsnyc.legalserver.org/matter/dynamic-profile/view/1902831","19-1902831")</f>
        <v>0</v>
      </c>
      <c r="B238" t="s">
        <v>79</v>
      </c>
      <c r="C238" t="s">
        <v>1936</v>
      </c>
      <c r="D238" t="s">
        <v>2168</v>
      </c>
      <c r="E238" t="s">
        <v>2440</v>
      </c>
      <c r="F238" t="s">
        <v>2580</v>
      </c>
      <c r="G238" t="s">
        <v>677</v>
      </c>
      <c r="H238">
        <v>10467</v>
      </c>
      <c r="I238" t="s">
        <v>682</v>
      </c>
      <c r="J238" t="s">
        <v>2795</v>
      </c>
      <c r="K238" t="s">
        <v>732</v>
      </c>
      <c r="L238" t="s">
        <v>740</v>
      </c>
      <c r="M238" t="s">
        <v>745</v>
      </c>
      <c r="O238">
        <v>1285.2</v>
      </c>
      <c r="P238" t="s">
        <v>753</v>
      </c>
      <c r="R238" t="s">
        <v>3106</v>
      </c>
      <c r="T238" t="s">
        <v>3446</v>
      </c>
      <c r="U238">
        <v>48</v>
      </c>
      <c r="V238" t="s">
        <v>1105</v>
      </c>
      <c r="W238" t="s">
        <v>1116</v>
      </c>
      <c r="X238">
        <v>3</v>
      </c>
      <c r="Y238">
        <v>2</v>
      </c>
      <c r="Z238">
        <v>0</v>
      </c>
      <c r="AA238">
        <v>178.05</v>
      </c>
      <c r="AD238" t="s">
        <v>1123</v>
      </c>
      <c r="AE238">
        <v>30108</v>
      </c>
      <c r="AK238">
        <v>1.5</v>
      </c>
      <c r="AL238" t="s">
        <v>1178</v>
      </c>
      <c r="AM238" t="s">
        <v>1225</v>
      </c>
      <c r="AN238" t="s">
        <v>1233</v>
      </c>
      <c r="AO238" t="s">
        <v>1236</v>
      </c>
      <c r="AP238" t="s">
        <v>1178</v>
      </c>
      <c r="AR238" t="s">
        <v>683</v>
      </c>
      <c r="AT238" t="s">
        <v>3589</v>
      </c>
      <c r="AU238" t="s">
        <v>684</v>
      </c>
      <c r="AW238" t="s">
        <v>1282</v>
      </c>
    </row>
    <row r="239" spans="1:49">
      <c r="A239" s="1">
        <f>HYPERLINK("https://lsnyc.legalserver.org/matter/dynamic-profile/view/1904080","19-1904080")</f>
        <v>0</v>
      </c>
      <c r="B239" t="s">
        <v>58</v>
      </c>
      <c r="C239" t="s">
        <v>1937</v>
      </c>
      <c r="D239" t="s">
        <v>2169</v>
      </c>
      <c r="E239" t="s">
        <v>2441</v>
      </c>
      <c r="F239" t="s">
        <v>636</v>
      </c>
      <c r="G239" t="s">
        <v>677</v>
      </c>
      <c r="H239">
        <v>10467</v>
      </c>
      <c r="I239" t="s">
        <v>682</v>
      </c>
      <c r="J239" t="s">
        <v>2796</v>
      </c>
      <c r="K239" t="s">
        <v>732</v>
      </c>
      <c r="L239" t="s">
        <v>740</v>
      </c>
      <c r="M239" t="s">
        <v>744</v>
      </c>
      <c r="N239" t="s">
        <v>1214</v>
      </c>
      <c r="O239">
        <v>1303.1</v>
      </c>
      <c r="P239" t="s">
        <v>757</v>
      </c>
      <c r="R239" t="s">
        <v>3107</v>
      </c>
      <c r="S239" t="s">
        <v>3233</v>
      </c>
      <c r="T239" t="s">
        <v>3447</v>
      </c>
      <c r="U239">
        <v>118</v>
      </c>
      <c r="V239" t="s">
        <v>1105</v>
      </c>
      <c r="W239" t="s">
        <v>3517</v>
      </c>
      <c r="X239">
        <v>2</v>
      </c>
      <c r="Y239">
        <v>1</v>
      </c>
      <c r="Z239">
        <v>1</v>
      </c>
      <c r="AA239">
        <v>83.64</v>
      </c>
      <c r="AD239" t="s">
        <v>1122</v>
      </c>
      <c r="AE239">
        <v>14144</v>
      </c>
      <c r="AK239">
        <v>0.4</v>
      </c>
      <c r="AL239" t="s">
        <v>1169</v>
      </c>
      <c r="AM239" t="s">
        <v>77</v>
      </c>
      <c r="AN239" t="s">
        <v>1234</v>
      </c>
      <c r="AO239" t="s">
        <v>1236</v>
      </c>
      <c r="AP239" t="s">
        <v>1214</v>
      </c>
      <c r="AR239" t="s">
        <v>683</v>
      </c>
      <c r="AT239" t="s">
        <v>3589</v>
      </c>
      <c r="AU239" t="s">
        <v>684</v>
      </c>
      <c r="AW239" t="s">
        <v>1282</v>
      </c>
    </row>
    <row r="240" spans="1:49">
      <c r="A240" s="1">
        <f>HYPERLINK("https://lsnyc.legalserver.org/matter/dynamic-profile/view/1904092","19-1904092")</f>
        <v>0</v>
      </c>
      <c r="B240" t="s">
        <v>1758</v>
      </c>
      <c r="C240" t="s">
        <v>1938</v>
      </c>
      <c r="D240" t="s">
        <v>2170</v>
      </c>
      <c r="E240" t="s">
        <v>2442</v>
      </c>
      <c r="F240" t="s">
        <v>659</v>
      </c>
      <c r="G240" t="s">
        <v>677</v>
      </c>
      <c r="H240">
        <v>10457</v>
      </c>
      <c r="I240" t="s">
        <v>682</v>
      </c>
      <c r="J240" t="s">
        <v>2797</v>
      </c>
      <c r="K240" t="s">
        <v>732</v>
      </c>
      <c r="L240" t="s">
        <v>740</v>
      </c>
      <c r="N240" t="s">
        <v>1214</v>
      </c>
      <c r="O240">
        <v>1468.81</v>
      </c>
      <c r="R240" t="s">
        <v>3108</v>
      </c>
      <c r="S240" t="s">
        <v>3234</v>
      </c>
      <c r="T240" t="s">
        <v>3448</v>
      </c>
      <c r="U240">
        <v>32</v>
      </c>
      <c r="X240">
        <v>18</v>
      </c>
      <c r="Y240">
        <v>2</v>
      </c>
      <c r="Z240">
        <v>7</v>
      </c>
      <c r="AA240">
        <v>50.18</v>
      </c>
      <c r="AD240" t="s">
        <v>1122</v>
      </c>
      <c r="AE240">
        <v>24012</v>
      </c>
      <c r="AK240">
        <v>2.5</v>
      </c>
      <c r="AL240" t="s">
        <v>1176</v>
      </c>
      <c r="AM240" t="s">
        <v>77</v>
      </c>
      <c r="AN240" t="s">
        <v>1234</v>
      </c>
      <c r="AO240" t="s">
        <v>1236</v>
      </c>
      <c r="AP240" t="s">
        <v>1214</v>
      </c>
      <c r="AR240" t="s">
        <v>683</v>
      </c>
      <c r="AT240" t="s">
        <v>3589</v>
      </c>
      <c r="AU240" t="s">
        <v>684</v>
      </c>
      <c r="AW240" t="s">
        <v>1282</v>
      </c>
    </row>
    <row r="241" spans="1:49">
      <c r="A241" s="1">
        <f>HYPERLINK("https://lsnyc.legalserver.org/matter/dynamic-profile/view/1903807","19-1903807")</f>
        <v>0</v>
      </c>
      <c r="B241" t="s">
        <v>1763</v>
      </c>
      <c r="C241" t="s">
        <v>195</v>
      </c>
      <c r="D241" t="s">
        <v>282</v>
      </c>
      <c r="E241" t="s">
        <v>2443</v>
      </c>
      <c r="F241" t="s">
        <v>1524</v>
      </c>
      <c r="G241" t="s">
        <v>677</v>
      </c>
      <c r="H241">
        <v>10467</v>
      </c>
      <c r="I241" t="s">
        <v>682</v>
      </c>
      <c r="J241" t="s">
        <v>2798</v>
      </c>
      <c r="K241" t="s">
        <v>732</v>
      </c>
      <c r="L241" t="s">
        <v>740</v>
      </c>
      <c r="M241" t="s">
        <v>744</v>
      </c>
      <c r="N241" t="s">
        <v>1172</v>
      </c>
      <c r="O241">
        <v>1230.73</v>
      </c>
      <c r="P241" t="s">
        <v>757</v>
      </c>
      <c r="R241" t="s">
        <v>3109</v>
      </c>
      <c r="S241" t="s">
        <v>3235</v>
      </c>
      <c r="T241" t="s">
        <v>3449</v>
      </c>
      <c r="U241">
        <v>55</v>
      </c>
      <c r="V241" t="s">
        <v>1102</v>
      </c>
      <c r="W241" t="s">
        <v>1116</v>
      </c>
      <c r="X241">
        <v>33</v>
      </c>
      <c r="Y241">
        <v>2</v>
      </c>
      <c r="Z241">
        <v>0</v>
      </c>
      <c r="AA241">
        <v>125.68</v>
      </c>
      <c r="AD241" t="s">
        <v>1122</v>
      </c>
      <c r="AE241">
        <v>21252</v>
      </c>
      <c r="AK241">
        <v>1.4</v>
      </c>
      <c r="AL241" t="s">
        <v>1157</v>
      </c>
      <c r="AM241" t="s">
        <v>77</v>
      </c>
      <c r="AN241" t="s">
        <v>1233</v>
      </c>
      <c r="AO241" t="s">
        <v>1236</v>
      </c>
      <c r="AP241" t="s">
        <v>1172</v>
      </c>
      <c r="AR241" t="s">
        <v>683</v>
      </c>
      <c r="AT241" t="s">
        <v>3589</v>
      </c>
      <c r="AU241" t="s">
        <v>684</v>
      </c>
      <c r="AW241" t="s">
        <v>1282</v>
      </c>
    </row>
    <row r="242" spans="1:49">
      <c r="A242" s="1">
        <f>HYPERLINK("https://lsnyc.legalserver.org/matter/dynamic-profile/view/1904158","19-1904158")</f>
        <v>0</v>
      </c>
      <c r="B242" t="s">
        <v>1285</v>
      </c>
      <c r="C242" t="s">
        <v>1939</v>
      </c>
      <c r="D242" t="s">
        <v>1966</v>
      </c>
      <c r="E242" t="s">
        <v>2444</v>
      </c>
      <c r="F242" t="s">
        <v>639</v>
      </c>
      <c r="G242" t="s">
        <v>677</v>
      </c>
      <c r="H242">
        <v>10468</v>
      </c>
      <c r="I242" t="s">
        <v>682</v>
      </c>
      <c r="J242" t="s">
        <v>2799</v>
      </c>
      <c r="K242" t="s">
        <v>732</v>
      </c>
      <c r="L242" t="s">
        <v>740</v>
      </c>
      <c r="M242" t="s">
        <v>744</v>
      </c>
      <c r="O242">
        <v>931</v>
      </c>
      <c r="P242" t="s">
        <v>753</v>
      </c>
      <c r="R242" t="s">
        <v>3110</v>
      </c>
      <c r="T242" t="s">
        <v>3450</v>
      </c>
      <c r="U242">
        <v>0</v>
      </c>
      <c r="V242" t="s">
        <v>1106</v>
      </c>
      <c r="W242" t="s">
        <v>1115</v>
      </c>
      <c r="X242">
        <v>2</v>
      </c>
      <c r="Y242">
        <v>1</v>
      </c>
      <c r="Z242">
        <v>1</v>
      </c>
      <c r="AA242">
        <v>170.67</v>
      </c>
      <c r="AD242" t="s">
        <v>1122</v>
      </c>
      <c r="AE242">
        <v>28860</v>
      </c>
      <c r="AK242">
        <v>2.2</v>
      </c>
      <c r="AL242" t="s">
        <v>1206</v>
      </c>
      <c r="AM242" t="s">
        <v>1744</v>
      </c>
      <c r="AN242" t="s">
        <v>1233</v>
      </c>
      <c r="AO242" t="s">
        <v>1236</v>
      </c>
      <c r="AP242" t="s">
        <v>1208</v>
      </c>
      <c r="AR242" t="s">
        <v>683</v>
      </c>
      <c r="AT242" t="s">
        <v>3589</v>
      </c>
      <c r="AU242" t="s">
        <v>684</v>
      </c>
      <c r="AW242" t="s">
        <v>1282</v>
      </c>
    </row>
    <row r="243" spans="1:49">
      <c r="A243" s="1">
        <f>HYPERLINK("https://lsnyc.legalserver.org/matter/dynamic-profile/view/1905327","19-1905327")</f>
        <v>0</v>
      </c>
      <c r="B243" t="s">
        <v>58</v>
      </c>
      <c r="C243" t="s">
        <v>1940</v>
      </c>
      <c r="D243" t="s">
        <v>2171</v>
      </c>
      <c r="E243" t="s">
        <v>2423</v>
      </c>
      <c r="F243">
        <v>51</v>
      </c>
      <c r="G243" t="s">
        <v>677</v>
      </c>
      <c r="H243">
        <v>10468</v>
      </c>
      <c r="I243" t="s">
        <v>682</v>
      </c>
      <c r="J243" t="s">
        <v>2800</v>
      </c>
      <c r="K243" t="s">
        <v>732</v>
      </c>
      <c r="L243" t="s">
        <v>740</v>
      </c>
      <c r="O243">
        <v>1515</v>
      </c>
      <c r="R243" t="s">
        <v>3102</v>
      </c>
      <c r="S243">
        <v>7969441</v>
      </c>
      <c r="T243" t="s">
        <v>3451</v>
      </c>
      <c r="U243">
        <v>30</v>
      </c>
      <c r="V243" t="s">
        <v>1102</v>
      </c>
      <c r="W243" t="s">
        <v>1120</v>
      </c>
      <c r="X243">
        <v>4</v>
      </c>
      <c r="Y243">
        <v>1</v>
      </c>
      <c r="Z243">
        <v>2</v>
      </c>
      <c r="AA243">
        <v>18.89</v>
      </c>
      <c r="AD243" t="s">
        <v>1122</v>
      </c>
      <c r="AE243">
        <v>4030</v>
      </c>
      <c r="AK243">
        <v>0.4</v>
      </c>
      <c r="AL243" t="s">
        <v>1169</v>
      </c>
      <c r="AM243" t="s">
        <v>77</v>
      </c>
      <c r="AN243" t="s">
        <v>1233</v>
      </c>
      <c r="AO243" t="s">
        <v>1236</v>
      </c>
      <c r="AP243" t="s">
        <v>1168</v>
      </c>
      <c r="AR243" t="s">
        <v>683</v>
      </c>
      <c r="AT243" t="s">
        <v>3589</v>
      </c>
      <c r="AU243" t="s">
        <v>684</v>
      </c>
      <c r="AW243" t="s">
        <v>1282</v>
      </c>
    </row>
    <row r="244" spans="1:49">
      <c r="A244" s="1">
        <f>HYPERLINK("https://lsnyc.legalserver.org/matter/dynamic-profile/view/1897470","19-1897470")</f>
        <v>0</v>
      </c>
      <c r="B244" t="s">
        <v>94</v>
      </c>
      <c r="C244" t="s">
        <v>126</v>
      </c>
      <c r="D244" t="s">
        <v>2172</v>
      </c>
      <c r="E244" t="s">
        <v>1440</v>
      </c>
      <c r="F244">
        <v>512</v>
      </c>
      <c r="G244" t="s">
        <v>677</v>
      </c>
      <c r="H244">
        <v>10457</v>
      </c>
      <c r="I244" t="s">
        <v>682</v>
      </c>
      <c r="J244" t="s">
        <v>2801</v>
      </c>
      <c r="K244" t="s">
        <v>732</v>
      </c>
      <c r="L244" t="s">
        <v>740</v>
      </c>
      <c r="O244">
        <v>1200</v>
      </c>
      <c r="P244" t="s">
        <v>757</v>
      </c>
      <c r="R244" t="s">
        <v>3111</v>
      </c>
      <c r="T244" t="s">
        <v>3452</v>
      </c>
      <c r="U244">
        <v>0</v>
      </c>
      <c r="V244" t="s">
        <v>1101</v>
      </c>
      <c r="W244" t="s">
        <v>1115</v>
      </c>
      <c r="X244">
        <v>10</v>
      </c>
      <c r="Y244">
        <v>1</v>
      </c>
      <c r="Z244">
        <v>0</v>
      </c>
      <c r="AA244">
        <v>37.09</v>
      </c>
      <c r="AD244" t="s">
        <v>1122</v>
      </c>
      <c r="AE244">
        <v>4632</v>
      </c>
      <c r="AF244" t="s">
        <v>3561</v>
      </c>
      <c r="AK244">
        <v>3.75</v>
      </c>
      <c r="AL244" t="s">
        <v>1248</v>
      </c>
      <c r="AM244" t="s">
        <v>1215</v>
      </c>
      <c r="AN244" t="s">
        <v>1233</v>
      </c>
      <c r="AO244" t="s">
        <v>1236</v>
      </c>
      <c r="AP244" t="s">
        <v>3587</v>
      </c>
      <c r="AR244" t="s">
        <v>684</v>
      </c>
      <c r="AT244" t="s">
        <v>3589</v>
      </c>
      <c r="AU244" t="s">
        <v>684</v>
      </c>
      <c r="AW244" t="s">
        <v>1282</v>
      </c>
    </row>
    <row r="245" spans="1:49">
      <c r="A245" s="1">
        <f>HYPERLINK("https://lsnyc.legalserver.org/matter/dynamic-profile/view/1903916","19-1903916")</f>
        <v>0</v>
      </c>
      <c r="B245" t="s">
        <v>58</v>
      </c>
      <c r="C245" t="s">
        <v>1941</v>
      </c>
      <c r="D245" t="s">
        <v>2173</v>
      </c>
      <c r="E245" t="s">
        <v>2445</v>
      </c>
      <c r="F245" t="s">
        <v>2581</v>
      </c>
      <c r="G245" t="s">
        <v>677</v>
      </c>
      <c r="H245">
        <v>10457</v>
      </c>
      <c r="I245" t="s">
        <v>682</v>
      </c>
      <c r="J245" t="s">
        <v>2802</v>
      </c>
      <c r="K245" t="s">
        <v>732</v>
      </c>
      <c r="L245" t="s">
        <v>740</v>
      </c>
      <c r="O245">
        <v>1621</v>
      </c>
      <c r="R245" t="s">
        <v>3112</v>
      </c>
      <c r="T245" t="s">
        <v>3453</v>
      </c>
      <c r="U245">
        <v>120</v>
      </c>
      <c r="X245">
        <v>18</v>
      </c>
      <c r="Y245">
        <v>3</v>
      </c>
      <c r="Z245">
        <v>1</v>
      </c>
      <c r="AA245">
        <v>7.67</v>
      </c>
      <c r="AD245" t="s">
        <v>1122</v>
      </c>
      <c r="AE245">
        <v>1976</v>
      </c>
      <c r="AK245">
        <v>1.5</v>
      </c>
      <c r="AL245" t="s">
        <v>1157</v>
      </c>
      <c r="AM245" t="s">
        <v>77</v>
      </c>
      <c r="AN245" t="s">
        <v>1233</v>
      </c>
      <c r="AO245" t="s">
        <v>1236</v>
      </c>
      <c r="AP245" t="s">
        <v>1172</v>
      </c>
      <c r="AR245" t="s">
        <v>683</v>
      </c>
      <c r="AT245" t="s">
        <v>3589</v>
      </c>
      <c r="AU245" t="s">
        <v>684</v>
      </c>
      <c r="AW245" t="s">
        <v>1282</v>
      </c>
    </row>
    <row r="246" spans="1:49">
      <c r="A246" s="1">
        <f>HYPERLINK("https://lsnyc.legalserver.org/matter/dynamic-profile/view/1902998","19-1902998")</f>
        <v>0</v>
      </c>
      <c r="B246" t="s">
        <v>79</v>
      </c>
      <c r="C246" t="s">
        <v>1942</v>
      </c>
      <c r="D246" t="s">
        <v>2174</v>
      </c>
      <c r="E246" t="s">
        <v>2446</v>
      </c>
      <c r="F246">
        <v>805</v>
      </c>
      <c r="G246" t="s">
        <v>677</v>
      </c>
      <c r="H246">
        <v>10457</v>
      </c>
      <c r="I246" t="s">
        <v>682</v>
      </c>
      <c r="J246" t="s">
        <v>2803</v>
      </c>
      <c r="K246" t="s">
        <v>732</v>
      </c>
      <c r="L246" t="s">
        <v>740</v>
      </c>
      <c r="O246">
        <v>547.1</v>
      </c>
      <c r="P246" t="s">
        <v>757</v>
      </c>
      <c r="R246" t="s">
        <v>3085</v>
      </c>
      <c r="T246" t="s">
        <v>3454</v>
      </c>
      <c r="U246">
        <v>0</v>
      </c>
      <c r="X246">
        <v>7</v>
      </c>
      <c r="Y246">
        <v>1</v>
      </c>
      <c r="Z246">
        <v>0</v>
      </c>
      <c r="AA246">
        <v>74.08</v>
      </c>
      <c r="AD246" t="s">
        <v>1122</v>
      </c>
      <c r="AE246">
        <v>9252</v>
      </c>
      <c r="AK246">
        <v>1.5</v>
      </c>
      <c r="AL246" t="s">
        <v>1248</v>
      </c>
      <c r="AM246" t="s">
        <v>1229</v>
      </c>
      <c r="AN246" t="s">
        <v>1233</v>
      </c>
      <c r="AO246" t="s">
        <v>1236</v>
      </c>
      <c r="AP246" t="s">
        <v>1239</v>
      </c>
      <c r="AR246" t="s">
        <v>683</v>
      </c>
      <c r="AT246" t="s">
        <v>3589</v>
      </c>
      <c r="AU246" t="s">
        <v>684</v>
      </c>
      <c r="AW246" t="s">
        <v>1282</v>
      </c>
    </row>
    <row r="247" spans="1:49">
      <c r="A247" s="1">
        <f>HYPERLINK("https://lsnyc.legalserver.org/matter/dynamic-profile/view/1902275","19-1902275")</f>
        <v>0</v>
      </c>
      <c r="B247" t="s">
        <v>83</v>
      </c>
      <c r="C247" t="s">
        <v>1943</v>
      </c>
      <c r="D247" t="s">
        <v>2175</v>
      </c>
      <c r="E247" t="s">
        <v>2413</v>
      </c>
      <c r="F247" t="s">
        <v>1526</v>
      </c>
      <c r="G247" t="s">
        <v>677</v>
      </c>
      <c r="H247">
        <v>10457</v>
      </c>
      <c r="I247" t="s">
        <v>682</v>
      </c>
      <c r="J247" t="s">
        <v>2804</v>
      </c>
      <c r="K247" t="s">
        <v>732</v>
      </c>
      <c r="L247" t="s">
        <v>740</v>
      </c>
      <c r="M247" t="s">
        <v>744</v>
      </c>
      <c r="N247" t="s">
        <v>1163</v>
      </c>
      <c r="O247">
        <v>1145.45</v>
      </c>
      <c r="P247" t="s">
        <v>757</v>
      </c>
      <c r="R247" t="s">
        <v>3113</v>
      </c>
      <c r="T247" t="s">
        <v>3455</v>
      </c>
      <c r="U247">
        <v>41</v>
      </c>
      <c r="V247" t="s">
        <v>1102</v>
      </c>
      <c r="W247" t="s">
        <v>1116</v>
      </c>
      <c r="X247">
        <v>2</v>
      </c>
      <c r="Y247">
        <v>2</v>
      </c>
      <c r="Z247">
        <v>1</v>
      </c>
      <c r="AA247">
        <v>89.08</v>
      </c>
      <c r="AD247" t="s">
        <v>1122</v>
      </c>
      <c r="AE247">
        <v>19000</v>
      </c>
      <c r="AK247">
        <v>1.85</v>
      </c>
      <c r="AL247" t="s">
        <v>1214</v>
      </c>
      <c r="AM247" t="s">
        <v>1215</v>
      </c>
      <c r="AN247" t="s">
        <v>1233</v>
      </c>
      <c r="AO247" t="s">
        <v>1236</v>
      </c>
      <c r="AP247" t="s">
        <v>1194</v>
      </c>
      <c r="AR247" t="s">
        <v>683</v>
      </c>
      <c r="AT247" t="s">
        <v>3589</v>
      </c>
      <c r="AU247" t="s">
        <v>684</v>
      </c>
      <c r="AW247" t="s">
        <v>1282</v>
      </c>
    </row>
    <row r="248" spans="1:49">
      <c r="A248" s="1">
        <f>HYPERLINK("https://lsnyc.legalserver.org/matter/dynamic-profile/view/1904570","19-1904570")</f>
        <v>0</v>
      </c>
      <c r="B248" t="s">
        <v>92</v>
      </c>
      <c r="C248" t="s">
        <v>1814</v>
      </c>
      <c r="D248" t="s">
        <v>2176</v>
      </c>
      <c r="E248" t="s">
        <v>2430</v>
      </c>
      <c r="F248" t="s">
        <v>595</v>
      </c>
      <c r="G248" t="s">
        <v>677</v>
      </c>
      <c r="H248">
        <v>10457</v>
      </c>
      <c r="I248" t="s">
        <v>682</v>
      </c>
      <c r="J248" t="s">
        <v>2805</v>
      </c>
      <c r="K248" t="s">
        <v>732</v>
      </c>
      <c r="L248" t="s">
        <v>740</v>
      </c>
      <c r="M248" t="s">
        <v>1562</v>
      </c>
      <c r="O248">
        <v>1201</v>
      </c>
      <c r="R248" t="s">
        <v>3114</v>
      </c>
      <c r="T248" t="s">
        <v>3456</v>
      </c>
      <c r="U248">
        <v>60</v>
      </c>
      <c r="V248" t="s">
        <v>1102</v>
      </c>
      <c r="X248">
        <v>10</v>
      </c>
      <c r="Y248">
        <v>2</v>
      </c>
      <c r="Z248">
        <v>0</v>
      </c>
      <c r="AA248">
        <v>155.99</v>
      </c>
      <c r="AD248" t="s">
        <v>1122</v>
      </c>
      <c r="AE248">
        <v>26377.56</v>
      </c>
      <c r="AK248">
        <v>3</v>
      </c>
      <c r="AL248" t="s">
        <v>1161</v>
      </c>
      <c r="AM248" t="s">
        <v>3583</v>
      </c>
      <c r="AO248" t="s">
        <v>1236</v>
      </c>
      <c r="AP248" t="s">
        <v>1176</v>
      </c>
      <c r="AR248" t="s">
        <v>683</v>
      </c>
      <c r="AT248" t="s">
        <v>3589</v>
      </c>
      <c r="AU248" t="s">
        <v>684</v>
      </c>
      <c r="AW248" t="s">
        <v>1282</v>
      </c>
    </row>
    <row r="249" spans="1:49">
      <c r="A249" s="1">
        <f>HYPERLINK("https://lsnyc.legalserver.org/matter/dynamic-profile/view/1902308","19-1902308")</f>
        <v>0</v>
      </c>
      <c r="B249" t="s">
        <v>99</v>
      </c>
      <c r="C249" t="s">
        <v>1944</v>
      </c>
      <c r="D249" t="s">
        <v>2177</v>
      </c>
      <c r="E249" t="s">
        <v>2447</v>
      </c>
      <c r="F249" t="s">
        <v>636</v>
      </c>
      <c r="G249" t="s">
        <v>677</v>
      </c>
      <c r="H249">
        <v>10457</v>
      </c>
      <c r="I249" t="s">
        <v>682</v>
      </c>
      <c r="J249" t="s">
        <v>2806</v>
      </c>
      <c r="K249" t="s">
        <v>732</v>
      </c>
      <c r="L249" t="s">
        <v>740</v>
      </c>
      <c r="M249" t="s">
        <v>744</v>
      </c>
      <c r="O249">
        <v>0</v>
      </c>
      <c r="P249" t="s">
        <v>757</v>
      </c>
      <c r="R249" t="s">
        <v>3115</v>
      </c>
      <c r="T249" t="s">
        <v>3457</v>
      </c>
      <c r="U249">
        <v>75</v>
      </c>
      <c r="V249" t="s">
        <v>1102</v>
      </c>
      <c r="X249">
        <v>7</v>
      </c>
      <c r="Y249">
        <v>4</v>
      </c>
      <c r="Z249">
        <v>4</v>
      </c>
      <c r="AA249">
        <v>119.73</v>
      </c>
      <c r="AD249" t="s">
        <v>1123</v>
      </c>
      <c r="AE249">
        <v>52000</v>
      </c>
      <c r="AK249">
        <v>2.7</v>
      </c>
      <c r="AL249" t="s">
        <v>1175</v>
      </c>
      <c r="AM249" t="s">
        <v>3583</v>
      </c>
      <c r="AO249" t="s">
        <v>1236</v>
      </c>
      <c r="AP249" t="s">
        <v>1194</v>
      </c>
      <c r="AR249" t="s">
        <v>683</v>
      </c>
      <c r="AT249" t="s">
        <v>3589</v>
      </c>
      <c r="AU249" t="s">
        <v>684</v>
      </c>
      <c r="AW249" t="s">
        <v>1282</v>
      </c>
    </row>
    <row r="250" spans="1:49">
      <c r="A250" s="1">
        <f>HYPERLINK("https://lsnyc.legalserver.org/matter/dynamic-profile/view/1905337","19-1905337")</f>
        <v>0</v>
      </c>
      <c r="B250" t="s">
        <v>104</v>
      </c>
      <c r="C250" t="s">
        <v>1945</v>
      </c>
      <c r="D250" t="s">
        <v>2178</v>
      </c>
      <c r="E250" t="s">
        <v>2448</v>
      </c>
      <c r="F250" t="s">
        <v>621</v>
      </c>
      <c r="G250" t="s">
        <v>677</v>
      </c>
      <c r="H250">
        <v>10462</v>
      </c>
      <c r="I250" t="s">
        <v>682</v>
      </c>
      <c r="J250" t="s">
        <v>2807</v>
      </c>
      <c r="K250" t="s">
        <v>732</v>
      </c>
      <c r="L250" t="s">
        <v>740</v>
      </c>
      <c r="O250">
        <v>1900</v>
      </c>
      <c r="R250" t="s">
        <v>3116</v>
      </c>
      <c r="T250" t="s">
        <v>3458</v>
      </c>
      <c r="U250">
        <v>0</v>
      </c>
      <c r="V250" t="s">
        <v>1102</v>
      </c>
      <c r="X250">
        <v>8</v>
      </c>
      <c r="Y250">
        <v>2</v>
      </c>
      <c r="Z250">
        <v>1</v>
      </c>
      <c r="AA250">
        <v>281.29</v>
      </c>
      <c r="AD250" t="s">
        <v>1122</v>
      </c>
      <c r="AE250">
        <v>60000</v>
      </c>
      <c r="AF250" t="s">
        <v>3562</v>
      </c>
      <c r="AK250">
        <v>3.5</v>
      </c>
      <c r="AL250" t="s">
        <v>1169</v>
      </c>
      <c r="AM250" t="s">
        <v>3583</v>
      </c>
      <c r="AN250" t="s">
        <v>1233</v>
      </c>
      <c r="AO250" t="s">
        <v>1236</v>
      </c>
      <c r="AP250" t="s">
        <v>1168</v>
      </c>
      <c r="AR250" t="s">
        <v>683</v>
      </c>
      <c r="AT250" t="s">
        <v>3589</v>
      </c>
      <c r="AW250" t="s">
        <v>1282</v>
      </c>
    </row>
    <row r="251" spans="1:49">
      <c r="A251" s="1">
        <f>HYPERLINK("https://lsnyc.legalserver.org/matter/dynamic-profile/view/1901750","19-1901750")</f>
        <v>0</v>
      </c>
      <c r="B251" t="s">
        <v>1753</v>
      </c>
      <c r="C251" t="s">
        <v>1946</v>
      </c>
      <c r="D251" t="s">
        <v>330</v>
      </c>
      <c r="E251" t="s">
        <v>2449</v>
      </c>
      <c r="F251" t="s">
        <v>643</v>
      </c>
      <c r="G251" t="s">
        <v>677</v>
      </c>
      <c r="H251">
        <v>10467</v>
      </c>
      <c r="I251" t="s">
        <v>683</v>
      </c>
      <c r="J251" t="s">
        <v>2808</v>
      </c>
      <c r="K251" t="s">
        <v>732</v>
      </c>
      <c r="L251" t="s">
        <v>740</v>
      </c>
      <c r="M251" t="s">
        <v>744</v>
      </c>
      <c r="O251">
        <v>1398</v>
      </c>
      <c r="R251" t="s">
        <v>1630</v>
      </c>
      <c r="T251" t="s">
        <v>3459</v>
      </c>
      <c r="U251">
        <v>49</v>
      </c>
      <c r="V251" t="s">
        <v>1105</v>
      </c>
      <c r="W251" t="s">
        <v>1116</v>
      </c>
      <c r="X251">
        <v>5</v>
      </c>
      <c r="Y251">
        <v>2</v>
      </c>
      <c r="Z251">
        <v>0</v>
      </c>
      <c r="AA251">
        <v>215.26</v>
      </c>
      <c r="AD251" t="s">
        <v>1122</v>
      </c>
      <c r="AE251">
        <v>36400</v>
      </c>
      <c r="AK251">
        <v>6.1</v>
      </c>
      <c r="AL251" t="s">
        <v>1170</v>
      </c>
      <c r="AM251" t="s">
        <v>1229</v>
      </c>
      <c r="AN251" t="s">
        <v>1233</v>
      </c>
      <c r="AO251" t="s">
        <v>1236</v>
      </c>
      <c r="AP251" t="s">
        <v>1209</v>
      </c>
      <c r="AR251" t="s">
        <v>683</v>
      </c>
      <c r="AT251" t="s">
        <v>3589</v>
      </c>
      <c r="AU251" t="s">
        <v>684</v>
      </c>
      <c r="AW251" t="s">
        <v>1282</v>
      </c>
    </row>
    <row r="252" spans="1:49">
      <c r="A252" s="1">
        <f>HYPERLINK("https://lsnyc.legalserver.org/matter/dynamic-profile/view/1903041","19-1903041")</f>
        <v>0</v>
      </c>
      <c r="B252" t="s">
        <v>92</v>
      </c>
      <c r="C252" t="s">
        <v>1947</v>
      </c>
      <c r="D252" t="s">
        <v>264</v>
      </c>
      <c r="E252" t="s">
        <v>2450</v>
      </c>
      <c r="F252" t="s">
        <v>659</v>
      </c>
      <c r="G252" t="s">
        <v>677</v>
      </c>
      <c r="H252">
        <v>10457</v>
      </c>
      <c r="I252" t="s">
        <v>682</v>
      </c>
      <c r="J252" t="s">
        <v>2809</v>
      </c>
      <c r="K252" t="s">
        <v>732</v>
      </c>
      <c r="L252" t="s">
        <v>740</v>
      </c>
      <c r="O252">
        <v>1131</v>
      </c>
      <c r="R252" t="s">
        <v>3117</v>
      </c>
      <c r="S252" t="s">
        <v>3236</v>
      </c>
      <c r="T252" t="s">
        <v>3460</v>
      </c>
      <c r="U252">
        <v>0</v>
      </c>
      <c r="X252">
        <v>7</v>
      </c>
      <c r="Y252">
        <v>1</v>
      </c>
      <c r="Z252">
        <v>3</v>
      </c>
      <c r="AA252">
        <v>31.27</v>
      </c>
      <c r="AD252" t="s">
        <v>1123</v>
      </c>
      <c r="AE252">
        <v>8052</v>
      </c>
      <c r="AK252">
        <v>0.2</v>
      </c>
      <c r="AL252" t="s">
        <v>1168</v>
      </c>
      <c r="AM252" t="s">
        <v>77</v>
      </c>
      <c r="AN252" t="s">
        <v>1234</v>
      </c>
      <c r="AO252" t="s">
        <v>1236</v>
      </c>
      <c r="AP252" t="s">
        <v>1746</v>
      </c>
      <c r="AR252" t="s">
        <v>683</v>
      </c>
      <c r="AT252" t="s">
        <v>3589</v>
      </c>
      <c r="AU252" t="s">
        <v>684</v>
      </c>
      <c r="AW252" t="s">
        <v>1282</v>
      </c>
    </row>
    <row r="253" spans="1:49">
      <c r="A253" s="1">
        <f>HYPERLINK("https://lsnyc.legalserver.org/matter/dynamic-profile/view/1903929","19-1903929")</f>
        <v>0</v>
      </c>
      <c r="B253" t="s">
        <v>1285</v>
      </c>
      <c r="C253" t="s">
        <v>1948</v>
      </c>
      <c r="D253" t="s">
        <v>2179</v>
      </c>
      <c r="E253" t="s">
        <v>2451</v>
      </c>
      <c r="F253">
        <v>108</v>
      </c>
      <c r="G253" t="s">
        <v>677</v>
      </c>
      <c r="H253">
        <v>10468</v>
      </c>
      <c r="I253" t="s">
        <v>682</v>
      </c>
      <c r="J253" t="s">
        <v>2810</v>
      </c>
      <c r="K253" t="s">
        <v>732</v>
      </c>
      <c r="L253" t="s">
        <v>740</v>
      </c>
      <c r="M253" t="s">
        <v>744</v>
      </c>
      <c r="N253" t="s">
        <v>1208</v>
      </c>
      <c r="O253">
        <v>1126.53</v>
      </c>
      <c r="P253" t="s">
        <v>757</v>
      </c>
      <c r="R253" t="s">
        <v>3118</v>
      </c>
      <c r="T253" t="s">
        <v>3461</v>
      </c>
      <c r="U253">
        <v>50</v>
      </c>
      <c r="V253" t="s">
        <v>1102</v>
      </c>
      <c r="W253" t="s">
        <v>1116</v>
      </c>
      <c r="X253">
        <v>18</v>
      </c>
      <c r="Y253">
        <v>1</v>
      </c>
      <c r="Z253">
        <v>0</v>
      </c>
      <c r="AA253">
        <v>77.25</v>
      </c>
      <c r="AD253" t="s">
        <v>1122</v>
      </c>
      <c r="AE253">
        <v>9648</v>
      </c>
      <c r="AK253">
        <v>2.7</v>
      </c>
      <c r="AL253" t="s">
        <v>1206</v>
      </c>
      <c r="AM253" t="s">
        <v>1229</v>
      </c>
      <c r="AN253" t="s">
        <v>1233</v>
      </c>
      <c r="AO253" t="s">
        <v>1236</v>
      </c>
      <c r="AP253" t="s">
        <v>1256</v>
      </c>
      <c r="AR253" t="s">
        <v>683</v>
      </c>
      <c r="AT253" t="s">
        <v>3589</v>
      </c>
      <c r="AU253" t="s">
        <v>684</v>
      </c>
      <c r="AW253" t="s">
        <v>1282</v>
      </c>
    </row>
    <row r="254" spans="1:49">
      <c r="A254" s="1">
        <f>HYPERLINK("https://lsnyc.legalserver.org/matter/dynamic-profile/view/1902251","19-1902251")</f>
        <v>0</v>
      </c>
      <c r="B254" t="s">
        <v>79</v>
      </c>
      <c r="C254" t="s">
        <v>1949</v>
      </c>
      <c r="D254" t="s">
        <v>2180</v>
      </c>
      <c r="E254" t="s">
        <v>2452</v>
      </c>
      <c r="F254" t="s">
        <v>1505</v>
      </c>
      <c r="G254" t="s">
        <v>677</v>
      </c>
      <c r="H254">
        <v>10467</v>
      </c>
      <c r="I254" t="s">
        <v>682</v>
      </c>
      <c r="J254" t="s">
        <v>2811</v>
      </c>
      <c r="K254" t="s">
        <v>732</v>
      </c>
      <c r="L254" t="s">
        <v>740</v>
      </c>
      <c r="M254" t="s">
        <v>744</v>
      </c>
      <c r="O254">
        <v>2250</v>
      </c>
      <c r="P254" t="s">
        <v>757</v>
      </c>
      <c r="R254" t="s">
        <v>3119</v>
      </c>
      <c r="T254" t="s">
        <v>3462</v>
      </c>
      <c r="U254">
        <v>0</v>
      </c>
      <c r="V254" t="s">
        <v>1102</v>
      </c>
      <c r="W254" t="s">
        <v>1116</v>
      </c>
      <c r="X254">
        <v>2</v>
      </c>
      <c r="Y254">
        <v>1</v>
      </c>
      <c r="Z254">
        <v>0</v>
      </c>
      <c r="AA254">
        <v>187.35</v>
      </c>
      <c r="AD254" t="s">
        <v>1122</v>
      </c>
      <c r="AE254">
        <v>23400</v>
      </c>
      <c r="AK254">
        <v>17</v>
      </c>
      <c r="AL254" t="s">
        <v>1198</v>
      </c>
      <c r="AM254" t="s">
        <v>1229</v>
      </c>
      <c r="AN254" t="s">
        <v>1116</v>
      </c>
      <c r="AO254" t="s">
        <v>1236</v>
      </c>
      <c r="AP254" t="s">
        <v>1190</v>
      </c>
      <c r="AR254" t="s">
        <v>683</v>
      </c>
      <c r="AT254" t="s">
        <v>3589</v>
      </c>
      <c r="AU254" t="s">
        <v>684</v>
      </c>
      <c r="AW254" t="s">
        <v>1282</v>
      </c>
    </row>
    <row r="255" spans="1:49">
      <c r="A255" s="1">
        <f>HYPERLINK("https://lsnyc.legalserver.org/matter/dynamic-profile/view/1905567","19-1905567")</f>
        <v>0</v>
      </c>
      <c r="B255" t="s">
        <v>1753</v>
      </c>
      <c r="C255" t="s">
        <v>205</v>
      </c>
      <c r="D255" t="s">
        <v>2181</v>
      </c>
      <c r="E255" t="s">
        <v>2453</v>
      </c>
      <c r="F255">
        <v>14</v>
      </c>
      <c r="G255" t="s">
        <v>677</v>
      </c>
      <c r="H255">
        <v>10457</v>
      </c>
      <c r="I255" t="s">
        <v>682</v>
      </c>
      <c r="J255" t="s">
        <v>2812</v>
      </c>
      <c r="K255" t="s">
        <v>732</v>
      </c>
      <c r="L255" t="s">
        <v>740</v>
      </c>
      <c r="O255">
        <v>112.73</v>
      </c>
      <c r="P255" t="s">
        <v>757</v>
      </c>
      <c r="R255" t="s">
        <v>3120</v>
      </c>
      <c r="T255" t="s">
        <v>3463</v>
      </c>
      <c r="U255">
        <v>0</v>
      </c>
      <c r="V255" t="s">
        <v>1105</v>
      </c>
      <c r="W255" t="s">
        <v>1116</v>
      </c>
      <c r="X255">
        <v>11</v>
      </c>
      <c r="Y255">
        <v>1</v>
      </c>
      <c r="Z255">
        <v>0</v>
      </c>
      <c r="AA255">
        <v>25.06</v>
      </c>
      <c r="AD255" t="s">
        <v>1123</v>
      </c>
      <c r="AE255">
        <v>3130</v>
      </c>
      <c r="AK255">
        <v>1.4</v>
      </c>
      <c r="AL255" t="s">
        <v>1165</v>
      </c>
      <c r="AM255" t="s">
        <v>1229</v>
      </c>
      <c r="AN255" t="s">
        <v>1233</v>
      </c>
      <c r="AO255" t="s">
        <v>1236</v>
      </c>
      <c r="AP255" t="s">
        <v>1175</v>
      </c>
      <c r="AR255" t="s">
        <v>683</v>
      </c>
      <c r="AT255" t="s">
        <v>3589</v>
      </c>
      <c r="AU255" t="s">
        <v>684</v>
      </c>
      <c r="AW255" t="s">
        <v>1282</v>
      </c>
    </row>
    <row r="256" spans="1:49">
      <c r="A256" s="1">
        <f>HYPERLINK("https://lsnyc.legalserver.org/matter/dynamic-profile/view/1904049","19-1904049")</f>
        <v>0</v>
      </c>
      <c r="B256" t="s">
        <v>68</v>
      </c>
      <c r="C256" t="s">
        <v>1950</v>
      </c>
      <c r="D256" t="s">
        <v>2182</v>
      </c>
      <c r="E256" t="s">
        <v>2370</v>
      </c>
      <c r="F256">
        <v>52</v>
      </c>
      <c r="G256" t="s">
        <v>677</v>
      </c>
      <c r="H256">
        <v>10457</v>
      </c>
      <c r="I256" t="s">
        <v>682</v>
      </c>
      <c r="J256" t="s">
        <v>2813</v>
      </c>
      <c r="K256" t="s">
        <v>732</v>
      </c>
      <c r="L256" t="s">
        <v>740</v>
      </c>
      <c r="O256">
        <v>1675</v>
      </c>
      <c r="P256" t="s">
        <v>753</v>
      </c>
      <c r="R256" t="s">
        <v>3121</v>
      </c>
      <c r="T256" t="s">
        <v>3464</v>
      </c>
      <c r="U256">
        <v>27</v>
      </c>
      <c r="V256" t="s">
        <v>1102</v>
      </c>
      <c r="W256" t="s">
        <v>1116</v>
      </c>
      <c r="X256">
        <v>1</v>
      </c>
      <c r="Y256">
        <v>1</v>
      </c>
      <c r="Z256">
        <v>1</v>
      </c>
      <c r="AA256">
        <v>164.36</v>
      </c>
      <c r="AD256" t="s">
        <v>1123</v>
      </c>
      <c r="AE256">
        <v>27794</v>
      </c>
      <c r="AK256">
        <v>2</v>
      </c>
      <c r="AL256" t="s">
        <v>1179</v>
      </c>
      <c r="AM256" t="s">
        <v>1225</v>
      </c>
      <c r="AN256" t="s">
        <v>1233</v>
      </c>
      <c r="AO256" t="s">
        <v>1236</v>
      </c>
      <c r="AP256" t="s">
        <v>1208</v>
      </c>
      <c r="AR256" t="s">
        <v>683</v>
      </c>
      <c r="AT256" t="s">
        <v>3589</v>
      </c>
      <c r="AU256" t="s">
        <v>684</v>
      </c>
      <c r="AW256" t="s">
        <v>1282</v>
      </c>
    </row>
    <row r="257" spans="1:49">
      <c r="A257" s="1">
        <f>HYPERLINK("https://lsnyc.legalserver.org/matter/dynamic-profile/view/1895872","19-1895872")</f>
        <v>0</v>
      </c>
      <c r="B257" t="s">
        <v>93</v>
      </c>
      <c r="C257" t="s">
        <v>1951</v>
      </c>
      <c r="D257" t="s">
        <v>2183</v>
      </c>
      <c r="E257" t="s">
        <v>2454</v>
      </c>
      <c r="F257" t="s">
        <v>1510</v>
      </c>
      <c r="G257" t="s">
        <v>677</v>
      </c>
      <c r="H257">
        <v>10467</v>
      </c>
      <c r="I257" t="s">
        <v>682</v>
      </c>
      <c r="J257" t="s">
        <v>2814</v>
      </c>
      <c r="K257" t="s">
        <v>732</v>
      </c>
      <c r="L257" t="s">
        <v>740</v>
      </c>
      <c r="M257" t="s">
        <v>743</v>
      </c>
      <c r="O257">
        <v>1962.23</v>
      </c>
      <c r="P257" t="s">
        <v>757</v>
      </c>
      <c r="R257" t="s">
        <v>3122</v>
      </c>
      <c r="T257" t="s">
        <v>3465</v>
      </c>
      <c r="U257">
        <v>32</v>
      </c>
      <c r="V257" t="s">
        <v>1102</v>
      </c>
      <c r="W257" t="s">
        <v>1116</v>
      </c>
      <c r="X257">
        <v>4</v>
      </c>
      <c r="Y257">
        <v>2</v>
      </c>
      <c r="Z257">
        <v>2</v>
      </c>
      <c r="AA257">
        <v>184.98</v>
      </c>
      <c r="AD257" t="s">
        <v>1122</v>
      </c>
      <c r="AE257">
        <v>47632</v>
      </c>
      <c r="AF257" t="s">
        <v>3560</v>
      </c>
      <c r="AK257">
        <v>6.55</v>
      </c>
      <c r="AL257" t="s">
        <v>1181</v>
      </c>
      <c r="AM257" t="s">
        <v>1226</v>
      </c>
      <c r="AO257" t="s">
        <v>1236</v>
      </c>
      <c r="AP257" t="s">
        <v>1244</v>
      </c>
      <c r="AR257" t="s">
        <v>682</v>
      </c>
      <c r="AT257" t="s">
        <v>3589</v>
      </c>
      <c r="AW257" t="s">
        <v>1282</v>
      </c>
    </row>
    <row r="258" spans="1:49">
      <c r="A258" s="1">
        <f>HYPERLINK("https://lsnyc.legalserver.org/matter/dynamic-profile/view/1897685","19-1897685")</f>
        <v>0</v>
      </c>
      <c r="B258" t="s">
        <v>1750</v>
      </c>
      <c r="C258" t="s">
        <v>216</v>
      </c>
      <c r="D258" t="s">
        <v>2022</v>
      </c>
      <c r="E258" t="s">
        <v>2455</v>
      </c>
      <c r="F258" t="s">
        <v>605</v>
      </c>
      <c r="G258" t="s">
        <v>677</v>
      </c>
      <c r="H258">
        <v>10467</v>
      </c>
      <c r="I258" t="s">
        <v>682</v>
      </c>
      <c r="J258" t="s">
        <v>2815</v>
      </c>
      <c r="K258" t="s">
        <v>732</v>
      </c>
      <c r="L258" t="s">
        <v>740</v>
      </c>
      <c r="M258" t="s">
        <v>744</v>
      </c>
      <c r="O258">
        <v>1650</v>
      </c>
      <c r="P258" t="s">
        <v>757</v>
      </c>
      <c r="R258" t="s">
        <v>3123</v>
      </c>
      <c r="T258" t="s">
        <v>3466</v>
      </c>
      <c r="U258">
        <v>0</v>
      </c>
      <c r="V258" t="s">
        <v>1105</v>
      </c>
      <c r="W258" t="s">
        <v>1116</v>
      </c>
      <c r="X258">
        <v>1</v>
      </c>
      <c r="Y258">
        <v>1</v>
      </c>
      <c r="Z258">
        <v>2</v>
      </c>
      <c r="AA258">
        <v>194.56</v>
      </c>
      <c r="AD258" t="s">
        <v>1122</v>
      </c>
      <c r="AE258">
        <v>41500</v>
      </c>
      <c r="AF258" t="s">
        <v>3563</v>
      </c>
      <c r="AK258">
        <v>4.75</v>
      </c>
      <c r="AL258" t="s">
        <v>1173</v>
      </c>
      <c r="AM258" t="s">
        <v>3584</v>
      </c>
      <c r="AO258" t="s">
        <v>1236</v>
      </c>
      <c r="AP258" t="s">
        <v>1255</v>
      </c>
      <c r="AR258" t="s">
        <v>682</v>
      </c>
      <c r="AT258" t="s">
        <v>3589</v>
      </c>
      <c r="AW258" t="s">
        <v>1282</v>
      </c>
    </row>
    <row r="259" spans="1:49">
      <c r="A259" s="1">
        <f>HYPERLINK("https://lsnyc.legalserver.org/matter/dynamic-profile/view/1902367","19-1902367")</f>
        <v>0</v>
      </c>
      <c r="B259" t="s">
        <v>96</v>
      </c>
      <c r="C259" t="s">
        <v>1952</v>
      </c>
      <c r="D259" t="s">
        <v>264</v>
      </c>
      <c r="E259" t="s">
        <v>2456</v>
      </c>
      <c r="F259" t="s">
        <v>2573</v>
      </c>
      <c r="G259" t="s">
        <v>677</v>
      </c>
      <c r="H259">
        <v>10457</v>
      </c>
      <c r="I259" t="s">
        <v>682</v>
      </c>
      <c r="J259" t="s">
        <v>2816</v>
      </c>
      <c r="K259" t="s">
        <v>732</v>
      </c>
      <c r="L259" t="s">
        <v>740</v>
      </c>
      <c r="N259" t="s">
        <v>1161</v>
      </c>
      <c r="O259">
        <v>1122</v>
      </c>
      <c r="R259" t="s">
        <v>3124</v>
      </c>
      <c r="T259" t="s">
        <v>3467</v>
      </c>
      <c r="U259">
        <v>0</v>
      </c>
      <c r="V259" t="s">
        <v>1102</v>
      </c>
      <c r="X259">
        <v>3</v>
      </c>
      <c r="Y259">
        <v>3</v>
      </c>
      <c r="Z259">
        <v>1</v>
      </c>
      <c r="AA259">
        <v>157.67</v>
      </c>
      <c r="AD259" t="s">
        <v>1123</v>
      </c>
      <c r="AE259">
        <v>40600</v>
      </c>
      <c r="AK259">
        <v>4.5</v>
      </c>
      <c r="AL259" t="s">
        <v>1161</v>
      </c>
      <c r="AM259" t="s">
        <v>77</v>
      </c>
      <c r="AN259" t="s">
        <v>1233</v>
      </c>
      <c r="AO259" t="s">
        <v>1236</v>
      </c>
      <c r="AP259" t="s">
        <v>1194</v>
      </c>
      <c r="AR259" t="s">
        <v>683</v>
      </c>
      <c r="AT259" t="s">
        <v>3589</v>
      </c>
      <c r="AU259" t="s">
        <v>684</v>
      </c>
      <c r="AW259" t="s">
        <v>1282</v>
      </c>
    </row>
    <row r="260" spans="1:49">
      <c r="A260" s="1">
        <f>HYPERLINK("https://lsnyc.legalserver.org/matter/dynamic-profile/view/1904041","19-1904041")</f>
        <v>0</v>
      </c>
      <c r="B260" t="s">
        <v>92</v>
      </c>
      <c r="C260" t="s">
        <v>1953</v>
      </c>
      <c r="D260" t="s">
        <v>264</v>
      </c>
      <c r="E260" t="s">
        <v>2457</v>
      </c>
      <c r="G260" t="s">
        <v>677</v>
      </c>
      <c r="H260">
        <v>10457</v>
      </c>
      <c r="I260" t="s">
        <v>682</v>
      </c>
      <c r="J260" t="s">
        <v>2817</v>
      </c>
      <c r="K260" t="s">
        <v>732</v>
      </c>
      <c r="L260" t="s">
        <v>740</v>
      </c>
      <c r="O260">
        <v>1250</v>
      </c>
      <c r="R260" t="s">
        <v>3125</v>
      </c>
      <c r="T260" t="s">
        <v>3468</v>
      </c>
      <c r="U260">
        <v>21</v>
      </c>
      <c r="X260">
        <v>2</v>
      </c>
      <c r="Y260">
        <v>1</v>
      </c>
      <c r="Z260">
        <v>0</v>
      </c>
      <c r="AA260">
        <v>199.84</v>
      </c>
      <c r="AE260">
        <v>24960</v>
      </c>
      <c r="AK260">
        <v>0.3</v>
      </c>
      <c r="AL260" t="s">
        <v>1173</v>
      </c>
      <c r="AM260" t="s">
        <v>77</v>
      </c>
      <c r="AN260" t="s">
        <v>1233</v>
      </c>
      <c r="AO260" t="s">
        <v>1236</v>
      </c>
      <c r="AP260" t="s">
        <v>1214</v>
      </c>
      <c r="AR260" t="s">
        <v>683</v>
      </c>
      <c r="AT260" t="s">
        <v>3589</v>
      </c>
      <c r="AU260" t="s">
        <v>684</v>
      </c>
      <c r="AW260" t="s">
        <v>1282</v>
      </c>
    </row>
    <row r="261" spans="1:49">
      <c r="A261" s="1">
        <f>HYPERLINK("https://lsnyc.legalserver.org/matter/dynamic-profile/view/1905296","19-1905296")</f>
        <v>0</v>
      </c>
      <c r="B261" t="s">
        <v>49</v>
      </c>
      <c r="C261" t="s">
        <v>1954</v>
      </c>
      <c r="D261" t="s">
        <v>2184</v>
      </c>
      <c r="E261" t="s">
        <v>2458</v>
      </c>
      <c r="F261">
        <v>51</v>
      </c>
      <c r="G261" t="s">
        <v>677</v>
      </c>
      <c r="H261">
        <v>10467</v>
      </c>
      <c r="I261" t="s">
        <v>682</v>
      </c>
      <c r="J261" t="s">
        <v>2818</v>
      </c>
      <c r="K261" t="s">
        <v>732</v>
      </c>
      <c r="L261" t="s">
        <v>740</v>
      </c>
      <c r="O261">
        <v>1400</v>
      </c>
      <c r="P261" t="s">
        <v>757</v>
      </c>
      <c r="R261" t="s">
        <v>3126</v>
      </c>
      <c r="S261" t="s">
        <v>3237</v>
      </c>
      <c r="U261">
        <v>49</v>
      </c>
      <c r="V261" t="s">
        <v>1102</v>
      </c>
      <c r="W261" t="s">
        <v>1116</v>
      </c>
      <c r="X261">
        <v>1</v>
      </c>
      <c r="Y261">
        <v>1</v>
      </c>
      <c r="Z261">
        <v>2</v>
      </c>
      <c r="AA261">
        <v>17.67</v>
      </c>
      <c r="AD261" t="s">
        <v>1122</v>
      </c>
      <c r="AE261">
        <v>3770</v>
      </c>
      <c r="AK261">
        <v>1.1</v>
      </c>
      <c r="AL261" t="s">
        <v>1170</v>
      </c>
      <c r="AM261" t="s">
        <v>77</v>
      </c>
      <c r="AN261" t="s">
        <v>1233</v>
      </c>
      <c r="AO261" t="s">
        <v>1236</v>
      </c>
      <c r="AP261" t="s">
        <v>1166</v>
      </c>
      <c r="AR261" t="s">
        <v>683</v>
      </c>
      <c r="AT261" t="s">
        <v>3589</v>
      </c>
      <c r="AU261" t="s">
        <v>684</v>
      </c>
      <c r="AW261" t="s">
        <v>1282</v>
      </c>
    </row>
    <row r="262" spans="1:49">
      <c r="A262" s="1">
        <f>HYPERLINK("https://lsnyc.legalserver.org/matter/dynamic-profile/view/1903108","19-1903108")</f>
        <v>0</v>
      </c>
      <c r="B262" t="s">
        <v>89</v>
      </c>
      <c r="C262" t="s">
        <v>166</v>
      </c>
      <c r="D262" t="s">
        <v>2185</v>
      </c>
      <c r="E262" t="s">
        <v>2347</v>
      </c>
      <c r="F262" t="s">
        <v>1518</v>
      </c>
      <c r="G262" t="s">
        <v>677</v>
      </c>
      <c r="H262">
        <v>10457</v>
      </c>
      <c r="I262" t="s">
        <v>682</v>
      </c>
      <c r="J262" t="s">
        <v>2819</v>
      </c>
      <c r="K262" t="s">
        <v>732</v>
      </c>
      <c r="L262" t="s">
        <v>740</v>
      </c>
      <c r="M262" t="s">
        <v>745</v>
      </c>
      <c r="O262">
        <v>1162.09</v>
      </c>
      <c r="R262" t="s">
        <v>3127</v>
      </c>
      <c r="U262">
        <v>49</v>
      </c>
      <c r="V262" t="s">
        <v>1102</v>
      </c>
      <c r="W262" t="s">
        <v>1116</v>
      </c>
      <c r="X262">
        <v>21</v>
      </c>
      <c r="Y262">
        <v>5</v>
      </c>
      <c r="Z262">
        <v>0</v>
      </c>
      <c r="AA262">
        <v>129.22</v>
      </c>
      <c r="AD262" t="s">
        <v>1123</v>
      </c>
      <c r="AE262">
        <v>38986</v>
      </c>
      <c r="AK262">
        <v>3</v>
      </c>
      <c r="AL262" t="s">
        <v>1211</v>
      </c>
      <c r="AM262" t="s">
        <v>77</v>
      </c>
      <c r="AN262" t="s">
        <v>1233</v>
      </c>
      <c r="AO262" t="s">
        <v>1236</v>
      </c>
      <c r="AP262" t="s">
        <v>1248</v>
      </c>
      <c r="AR262" t="s">
        <v>683</v>
      </c>
      <c r="AT262" t="s">
        <v>3589</v>
      </c>
      <c r="AU262" t="s">
        <v>684</v>
      </c>
      <c r="AW262" t="s">
        <v>1282</v>
      </c>
    </row>
    <row r="263" spans="1:49">
      <c r="A263" s="1">
        <f>HYPERLINK("https://lsnyc.legalserver.org/matter/dynamic-profile/view/1903721","19-1903721")</f>
        <v>0</v>
      </c>
      <c r="B263" t="s">
        <v>1759</v>
      </c>
      <c r="C263" t="s">
        <v>1955</v>
      </c>
      <c r="D263" t="s">
        <v>2186</v>
      </c>
      <c r="E263" t="s">
        <v>2459</v>
      </c>
      <c r="G263" t="s">
        <v>677</v>
      </c>
      <c r="H263">
        <v>10467</v>
      </c>
      <c r="I263" t="s">
        <v>682</v>
      </c>
      <c r="J263" t="s">
        <v>2820</v>
      </c>
      <c r="K263" t="s">
        <v>732</v>
      </c>
      <c r="L263" t="s">
        <v>740</v>
      </c>
      <c r="O263">
        <v>1956</v>
      </c>
      <c r="P263" t="s">
        <v>757</v>
      </c>
      <c r="R263" t="s">
        <v>3128</v>
      </c>
      <c r="U263">
        <v>27</v>
      </c>
      <c r="W263" t="s">
        <v>1121</v>
      </c>
      <c r="X263">
        <v>1</v>
      </c>
      <c r="Y263">
        <v>1</v>
      </c>
      <c r="Z263">
        <v>1</v>
      </c>
      <c r="AA263">
        <v>124.19</v>
      </c>
      <c r="AD263" t="s">
        <v>1122</v>
      </c>
      <c r="AE263">
        <v>21000</v>
      </c>
      <c r="AK263">
        <v>1.8</v>
      </c>
      <c r="AL263" t="s">
        <v>1212</v>
      </c>
      <c r="AM263" t="s">
        <v>1229</v>
      </c>
      <c r="AN263" t="s">
        <v>1233</v>
      </c>
      <c r="AO263" t="s">
        <v>1236</v>
      </c>
      <c r="AP263" t="s">
        <v>1256</v>
      </c>
      <c r="AR263" t="s">
        <v>683</v>
      </c>
      <c r="AT263" t="s">
        <v>3589</v>
      </c>
      <c r="AU263" t="s">
        <v>684</v>
      </c>
      <c r="AW263" t="s">
        <v>1282</v>
      </c>
    </row>
    <row r="264" spans="1:49">
      <c r="A264" s="1">
        <f>HYPERLINK("https://lsnyc.legalserver.org/matter/dynamic-profile/view/1901215","19-1901215")</f>
        <v>0</v>
      </c>
      <c r="B264" t="s">
        <v>94</v>
      </c>
      <c r="C264" t="s">
        <v>1956</v>
      </c>
      <c r="D264" t="s">
        <v>2187</v>
      </c>
      <c r="E264" t="s">
        <v>2460</v>
      </c>
      <c r="F264">
        <v>55</v>
      </c>
      <c r="G264" t="s">
        <v>677</v>
      </c>
      <c r="H264">
        <v>10468</v>
      </c>
      <c r="I264" t="s">
        <v>682</v>
      </c>
      <c r="J264" t="s">
        <v>2821</v>
      </c>
      <c r="K264" t="s">
        <v>732</v>
      </c>
      <c r="L264" t="s">
        <v>740</v>
      </c>
      <c r="M264" t="s">
        <v>744</v>
      </c>
      <c r="N264" t="s">
        <v>1169</v>
      </c>
      <c r="O264">
        <v>1215</v>
      </c>
      <c r="R264" t="s">
        <v>3129</v>
      </c>
      <c r="U264">
        <v>31</v>
      </c>
      <c r="V264" t="s">
        <v>1102</v>
      </c>
      <c r="X264">
        <v>5</v>
      </c>
      <c r="Y264">
        <v>1</v>
      </c>
      <c r="Z264">
        <v>3</v>
      </c>
      <c r="AA264">
        <v>100.97</v>
      </c>
      <c r="AD264" t="s">
        <v>1122</v>
      </c>
      <c r="AE264">
        <v>26000</v>
      </c>
      <c r="AK264">
        <v>1.5</v>
      </c>
      <c r="AL264" t="s">
        <v>3581</v>
      </c>
      <c r="AM264" t="s">
        <v>77</v>
      </c>
      <c r="AN264" t="s">
        <v>1233</v>
      </c>
      <c r="AO264" t="s">
        <v>1236</v>
      </c>
      <c r="AP264" t="s">
        <v>1205</v>
      </c>
      <c r="AR264" t="s">
        <v>683</v>
      </c>
      <c r="AT264" t="s">
        <v>3589</v>
      </c>
      <c r="AU264" t="s">
        <v>684</v>
      </c>
      <c r="AW264" t="s">
        <v>1282</v>
      </c>
    </row>
    <row r="265" spans="1:49">
      <c r="A265" s="1">
        <f>HYPERLINK("https://lsnyc.legalserver.org/matter/dynamic-profile/view/1905396","19-1905396")</f>
        <v>0</v>
      </c>
      <c r="B265" t="s">
        <v>95</v>
      </c>
      <c r="C265" t="s">
        <v>1289</v>
      </c>
      <c r="D265" t="s">
        <v>2188</v>
      </c>
      <c r="E265" t="s">
        <v>2461</v>
      </c>
      <c r="F265" t="s">
        <v>2533</v>
      </c>
      <c r="G265" t="s">
        <v>677</v>
      </c>
      <c r="H265">
        <v>10467</v>
      </c>
      <c r="I265" t="s">
        <v>682</v>
      </c>
      <c r="J265" t="s">
        <v>2822</v>
      </c>
      <c r="K265" t="s">
        <v>732</v>
      </c>
      <c r="L265" t="s">
        <v>740</v>
      </c>
      <c r="O265">
        <v>1375</v>
      </c>
      <c r="P265" t="s">
        <v>753</v>
      </c>
      <c r="R265" t="s">
        <v>3130</v>
      </c>
      <c r="U265">
        <v>53</v>
      </c>
      <c r="V265" t="s">
        <v>1102</v>
      </c>
      <c r="W265" t="s">
        <v>1116</v>
      </c>
      <c r="X265">
        <v>8</v>
      </c>
      <c r="Y265">
        <v>1</v>
      </c>
      <c r="Z265">
        <v>2</v>
      </c>
      <c r="AA265">
        <v>182.84</v>
      </c>
      <c r="AD265" t="s">
        <v>1122</v>
      </c>
      <c r="AE265">
        <v>39000</v>
      </c>
      <c r="AK265">
        <v>1.5</v>
      </c>
      <c r="AL265" t="s">
        <v>1169</v>
      </c>
      <c r="AM265" t="s">
        <v>1231</v>
      </c>
      <c r="AO265" t="s">
        <v>1236</v>
      </c>
      <c r="AP265" t="s">
        <v>1169</v>
      </c>
      <c r="AR265" t="s">
        <v>683</v>
      </c>
      <c r="AT265" t="s">
        <v>3589</v>
      </c>
      <c r="AU265" t="s">
        <v>684</v>
      </c>
      <c r="AW265" t="s">
        <v>1282</v>
      </c>
    </row>
    <row r="266" spans="1:49">
      <c r="A266" s="1">
        <f>HYPERLINK("https://lsnyc.legalserver.org/matter/dynamic-profile/view/1898706","19-1898706")</f>
        <v>0</v>
      </c>
      <c r="B266" t="s">
        <v>96</v>
      </c>
      <c r="C266" t="s">
        <v>1867</v>
      </c>
      <c r="D266" t="s">
        <v>306</v>
      </c>
      <c r="E266" t="s">
        <v>2462</v>
      </c>
      <c r="F266" t="s">
        <v>2582</v>
      </c>
      <c r="G266" t="s">
        <v>677</v>
      </c>
      <c r="H266">
        <v>10467</v>
      </c>
      <c r="I266" t="s">
        <v>682</v>
      </c>
      <c r="J266" t="s">
        <v>2823</v>
      </c>
      <c r="K266" t="s">
        <v>732</v>
      </c>
      <c r="L266" t="s">
        <v>740</v>
      </c>
      <c r="O266">
        <v>0</v>
      </c>
      <c r="R266" t="s">
        <v>3131</v>
      </c>
      <c r="U266">
        <v>0</v>
      </c>
      <c r="V266" t="s">
        <v>1112</v>
      </c>
      <c r="X266">
        <v>0</v>
      </c>
      <c r="Y266">
        <v>2</v>
      </c>
      <c r="Z266">
        <v>0</v>
      </c>
      <c r="AA266">
        <v>248.37</v>
      </c>
      <c r="AD266" t="s">
        <v>1122</v>
      </c>
      <c r="AE266">
        <v>42000</v>
      </c>
      <c r="AK266">
        <v>16.3</v>
      </c>
      <c r="AL266" t="s">
        <v>1157</v>
      </c>
      <c r="AM266" t="s">
        <v>77</v>
      </c>
      <c r="AO266" t="s">
        <v>1236</v>
      </c>
      <c r="AP266" t="s">
        <v>1192</v>
      </c>
      <c r="AR266" t="s">
        <v>682</v>
      </c>
      <c r="AT266" t="s">
        <v>3589</v>
      </c>
      <c r="AW266" t="s">
        <v>1282</v>
      </c>
    </row>
    <row r="267" spans="1:49">
      <c r="A267" s="1">
        <f>HYPERLINK("https://lsnyc.legalserver.org/matter/dynamic-profile/view/1906104","19-1906104")</f>
        <v>0</v>
      </c>
      <c r="B267" t="s">
        <v>95</v>
      </c>
      <c r="C267" t="s">
        <v>1957</v>
      </c>
      <c r="D267" t="s">
        <v>306</v>
      </c>
      <c r="E267" t="s">
        <v>2463</v>
      </c>
      <c r="F267" t="s">
        <v>605</v>
      </c>
      <c r="G267" t="s">
        <v>677</v>
      </c>
      <c r="H267">
        <v>10457</v>
      </c>
      <c r="I267" t="s">
        <v>682</v>
      </c>
      <c r="J267" t="s">
        <v>2824</v>
      </c>
      <c r="K267" t="s">
        <v>732</v>
      </c>
      <c r="L267" t="s">
        <v>740</v>
      </c>
      <c r="O267">
        <v>0</v>
      </c>
      <c r="R267" t="s">
        <v>3132</v>
      </c>
      <c r="U267">
        <v>21</v>
      </c>
      <c r="V267" t="s">
        <v>1102</v>
      </c>
      <c r="X267">
        <v>0</v>
      </c>
      <c r="Y267">
        <v>1</v>
      </c>
      <c r="Z267">
        <v>1</v>
      </c>
      <c r="AA267">
        <v>153.76</v>
      </c>
      <c r="AD267" t="s">
        <v>1122</v>
      </c>
      <c r="AE267">
        <v>26000</v>
      </c>
      <c r="AK267">
        <v>0</v>
      </c>
      <c r="AM267" t="s">
        <v>77</v>
      </c>
      <c r="AN267" t="s">
        <v>1116</v>
      </c>
      <c r="AO267" t="s">
        <v>1236</v>
      </c>
      <c r="AP267" t="s">
        <v>1206</v>
      </c>
      <c r="AR267" t="s">
        <v>683</v>
      </c>
      <c r="AT267" t="s">
        <v>3589</v>
      </c>
      <c r="AU267" t="s">
        <v>684</v>
      </c>
      <c r="AW267" t="s">
        <v>1282</v>
      </c>
    </row>
    <row r="268" spans="1:49">
      <c r="A268" s="1">
        <f>HYPERLINK("https://lsnyc.legalserver.org/matter/dynamic-profile/view/1898504","19-1898504")</f>
        <v>0</v>
      </c>
      <c r="B268" t="s">
        <v>66</v>
      </c>
      <c r="C268" t="s">
        <v>1958</v>
      </c>
      <c r="D268" t="s">
        <v>1970</v>
      </c>
      <c r="E268" t="s">
        <v>2335</v>
      </c>
      <c r="F268" t="s">
        <v>604</v>
      </c>
      <c r="G268" t="s">
        <v>677</v>
      </c>
      <c r="H268">
        <v>10467</v>
      </c>
      <c r="I268" t="s">
        <v>682</v>
      </c>
      <c r="J268" t="s">
        <v>2825</v>
      </c>
      <c r="K268" t="s">
        <v>732</v>
      </c>
      <c r="L268" t="s">
        <v>740</v>
      </c>
      <c r="O268">
        <v>0</v>
      </c>
      <c r="P268" t="s">
        <v>753</v>
      </c>
      <c r="R268" t="s">
        <v>3133</v>
      </c>
      <c r="U268">
        <v>0</v>
      </c>
      <c r="V268" t="s">
        <v>1105</v>
      </c>
      <c r="X268">
        <v>0</v>
      </c>
      <c r="Y268">
        <v>2</v>
      </c>
      <c r="Z268">
        <v>0</v>
      </c>
      <c r="AA268">
        <v>131.78</v>
      </c>
      <c r="AD268" t="s">
        <v>1122</v>
      </c>
      <c r="AE268">
        <v>22284</v>
      </c>
      <c r="AF268" t="s">
        <v>3564</v>
      </c>
      <c r="AK268">
        <v>5.5</v>
      </c>
      <c r="AL268" t="s">
        <v>1163</v>
      </c>
      <c r="AM268" t="s">
        <v>1226</v>
      </c>
      <c r="AN268" t="s">
        <v>1233</v>
      </c>
      <c r="AO268" t="s">
        <v>1236</v>
      </c>
      <c r="AP268" t="s">
        <v>1204</v>
      </c>
      <c r="AR268" t="s">
        <v>683</v>
      </c>
      <c r="AT268" t="s">
        <v>3589</v>
      </c>
      <c r="AW268" t="s">
        <v>1282</v>
      </c>
    </row>
    <row r="269" spans="1:49">
      <c r="A269" s="1">
        <f>HYPERLINK("https://lsnyc.legalserver.org/matter/dynamic-profile/view/1903429","19-1903429")</f>
        <v>0</v>
      </c>
      <c r="B269" t="s">
        <v>93</v>
      </c>
      <c r="C269" t="s">
        <v>1959</v>
      </c>
      <c r="D269" t="s">
        <v>2189</v>
      </c>
      <c r="E269" t="s">
        <v>2464</v>
      </c>
      <c r="F269">
        <v>7</v>
      </c>
      <c r="G269" t="s">
        <v>677</v>
      </c>
      <c r="H269">
        <v>10462</v>
      </c>
      <c r="I269" t="s">
        <v>682</v>
      </c>
      <c r="J269" t="s">
        <v>2826</v>
      </c>
      <c r="K269" t="s">
        <v>732</v>
      </c>
      <c r="L269" t="s">
        <v>740</v>
      </c>
      <c r="M269" t="s">
        <v>744</v>
      </c>
      <c r="O269">
        <v>1200</v>
      </c>
      <c r="R269" t="s">
        <v>3134</v>
      </c>
      <c r="U269">
        <v>16</v>
      </c>
      <c r="X269">
        <v>2</v>
      </c>
      <c r="Y269">
        <v>3</v>
      </c>
      <c r="Z269">
        <v>0</v>
      </c>
      <c r="AA269">
        <v>89.08</v>
      </c>
      <c r="AD269" t="s">
        <v>1123</v>
      </c>
      <c r="AE269">
        <v>19000</v>
      </c>
      <c r="AK269">
        <v>0</v>
      </c>
      <c r="AM269" t="s">
        <v>77</v>
      </c>
      <c r="AN269" t="s">
        <v>1233</v>
      </c>
      <c r="AO269" t="s">
        <v>1236</v>
      </c>
      <c r="AP269" t="s">
        <v>1196</v>
      </c>
      <c r="AR269" t="s">
        <v>683</v>
      </c>
      <c r="AT269" t="s">
        <v>3589</v>
      </c>
      <c r="AU269" t="s">
        <v>684</v>
      </c>
      <c r="AW269" t="s">
        <v>1282</v>
      </c>
    </row>
    <row r="270" spans="1:49">
      <c r="A270" s="1">
        <f>HYPERLINK("https://lsnyc.legalserver.org/matter/dynamic-profile/view/1905175","19-1905175")</f>
        <v>0</v>
      </c>
      <c r="B270" t="s">
        <v>85</v>
      </c>
      <c r="C270" t="s">
        <v>1347</v>
      </c>
      <c r="D270" t="s">
        <v>2190</v>
      </c>
      <c r="E270" t="s">
        <v>2465</v>
      </c>
      <c r="F270" t="s">
        <v>1501</v>
      </c>
      <c r="G270" t="s">
        <v>677</v>
      </c>
      <c r="H270">
        <v>10468</v>
      </c>
      <c r="I270" t="s">
        <v>682</v>
      </c>
      <c r="J270" t="s">
        <v>2827</v>
      </c>
      <c r="K270" t="s">
        <v>732</v>
      </c>
      <c r="L270" t="s">
        <v>740</v>
      </c>
      <c r="O270">
        <v>1225</v>
      </c>
      <c r="R270" t="s">
        <v>3135</v>
      </c>
      <c r="U270">
        <v>35</v>
      </c>
      <c r="V270" t="s">
        <v>1102</v>
      </c>
      <c r="X270">
        <v>8</v>
      </c>
      <c r="Y270">
        <v>1</v>
      </c>
      <c r="Z270">
        <v>1</v>
      </c>
      <c r="AA270">
        <v>123</v>
      </c>
      <c r="AD270" t="s">
        <v>1123</v>
      </c>
      <c r="AE270">
        <v>20800</v>
      </c>
      <c r="AK270">
        <v>12.85</v>
      </c>
      <c r="AL270" t="s">
        <v>1160</v>
      </c>
      <c r="AM270" t="s">
        <v>3583</v>
      </c>
      <c r="AN270" t="s">
        <v>1233</v>
      </c>
      <c r="AO270" t="s">
        <v>1236</v>
      </c>
      <c r="AP270" t="s">
        <v>1166</v>
      </c>
      <c r="AR270" t="s">
        <v>683</v>
      </c>
      <c r="AT270" t="s">
        <v>3589</v>
      </c>
      <c r="AW270" t="s">
        <v>1282</v>
      </c>
    </row>
    <row r="271" spans="1:49">
      <c r="A271" s="1">
        <f>HYPERLINK("https://lsnyc.legalserver.org/matter/dynamic-profile/view/1896436","19-1896436")</f>
        <v>0</v>
      </c>
      <c r="B271" t="s">
        <v>1758</v>
      </c>
      <c r="C271" t="s">
        <v>1960</v>
      </c>
      <c r="D271" t="s">
        <v>2191</v>
      </c>
      <c r="E271" t="s">
        <v>2466</v>
      </c>
      <c r="F271" t="s">
        <v>1516</v>
      </c>
      <c r="G271" t="s">
        <v>677</v>
      </c>
      <c r="H271">
        <v>10467</v>
      </c>
      <c r="I271" t="s">
        <v>683</v>
      </c>
      <c r="J271" t="s">
        <v>2828</v>
      </c>
      <c r="L271" t="s">
        <v>740</v>
      </c>
      <c r="O271">
        <v>1375</v>
      </c>
      <c r="R271" t="s">
        <v>3136</v>
      </c>
      <c r="T271" t="s">
        <v>3469</v>
      </c>
      <c r="U271">
        <v>6</v>
      </c>
      <c r="W271" t="s">
        <v>1119</v>
      </c>
      <c r="X271">
        <v>7</v>
      </c>
      <c r="Y271">
        <v>1</v>
      </c>
      <c r="Z271">
        <v>0</v>
      </c>
      <c r="AA271">
        <v>84.06999999999999</v>
      </c>
      <c r="AD271" t="s">
        <v>1122</v>
      </c>
      <c r="AE271">
        <v>10500</v>
      </c>
      <c r="AH271" t="s">
        <v>3572</v>
      </c>
      <c r="AI271" t="s">
        <v>1155</v>
      </c>
      <c r="AJ271" t="s">
        <v>1743</v>
      </c>
      <c r="AK271">
        <v>30.5</v>
      </c>
      <c r="AL271" t="s">
        <v>1168</v>
      </c>
      <c r="AM271" t="s">
        <v>1229</v>
      </c>
      <c r="AO271" t="s">
        <v>1236</v>
      </c>
      <c r="AP271" t="s">
        <v>1243</v>
      </c>
      <c r="AR271" t="s">
        <v>682</v>
      </c>
      <c r="AT271" t="s">
        <v>3589</v>
      </c>
      <c r="AU271" t="s">
        <v>684</v>
      </c>
      <c r="AW271" t="s">
        <v>1282</v>
      </c>
    </row>
    <row r="272" spans="1:49">
      <c r="A272" s="1">
        <f>HYPERLINK("https://lsnyc.legalserver.org/matter/dynamic-profile/view/1901742","19-1901742")</f>
        <v>0</v>
      </c>
      <c r="B272" t="s">
        <v>79</v>
      </c>
      <c r="C272" t="s">
        <v>1961</v>
      </c>
      <c r="D272" t="s">
        <v>267</v>
      </c>
      <c r="E272" t="s">
        <v>2467</v>
      </c>
      <c r="F272" t="s">
        <v>650</v>
      </c>
      <c r="G272" t="s">
        <v>677</v>
      </c>
      <c r="H272">
        <v>10467</v>
      </c>
      <c r="I272" t="s">
        <v>683</v>
      </c>
      <c r="L272" t="s">
        <v>740</v>
      </c>
      <c r="O272">
        <v>0</v>
      </c>
      <c r="R272" t="s">
        <v>3137</v>
      </c>
      <c r="T272" t="s">
        <v>3470</v>
      </c>
      <c r="U272">
        <v>73</v>
      </c>
      <c r="X272">
        <v>0</v>
      </c>
      <c r="Y272">
        <v>4</v>
      </c>
      <c r="Z272">
        <v>0</v>
      </c>
      <c r="AA272">
        <v>0</v>
      </c>
      <c r="AD272" t="s">
        <v>1123</v>
      </c>
      <c r="AE272">
        <v>0</v>
      </c>
      <c r="AK272">
        <v>2.5</v>
      </c>
      <c r="AL272" t="s">
        <v>1198</v>
      </c>
      <c r="AM272" t="s">
        <v>1229</v>
      </c>
      <c r="AO272" t="s">
        <v>1236</v>
      </c>
      <c r="AP272" t="s">
        <v>1171</v>
      </c>
      <c r="AR272" t="s">
        <v>683</v>
      </c>
      <c r="AT272" t="s">
        <v>3589</v>
      </c>
      <c r="AW272" t="s">
        <v>1282</v>
      </c>
    </row>
    <row r="273" spans="1:49">
      <c r="A273" s="1">
        <f>HYPERLINK("https://lsnyc.legalserver.org/matter/dynamic-profile/view/1906317","19-1906317")</f>
        <v>0</v>
      </c>
      <c r="B273" t="s">
        <v>94</v>
      </c>
      <c r="C273" t="s">
        <v>184</v>
      </c>
      <c r="D273" t="s">
        <v>332</v>
      </c>
      <c r="E273" t="s">
        <v>2468</v>
      </c>
      <c r="F273" t="s">
        <v>655</v>
      </c>
      <c r="G273" t="s">
        <v>677</v>
      </c>
      <c r="H273">
        <v>10457</v>
      </c>
      <c r="I273" t="s">
        <v>682</v>
      </c>
      <c r="J273" t="s">
        <v>2829</v>
      </c>
      <c r="K273" t="s">
        <v>2882</v>
      </c>
      <c r="O273">
        <v>1000</v>
      </c>
      <c r="R273" t="s">
        <v>3138</v>
      </c>
      <c r="T273" t="s">
        <v>3471</v>
      </c>
      <c r="U273">
        <v>3</v>
      </c>
      <c r="X273">
        <v>8</v>
      </c>
      <c r="Y273">
        <v>1</v>
      </c>
      <c r="Z273">
        <v>4</v>
      </c>
      <c r="AA273">
        <v>42.66</v>
      </c>
      <c r="AD273" t="s">
        <v>1122</v>
      </c>
      <c r="AE273">
        <v>12870</v>
      </c>
      <c r="AK273">
        <v>0</v>
      </c>
      <c r="AM273" t="s">
        <v>77</v>
      </c>
      <c r="AN273" t="s">
        <v>1233</v>
      </c>
      <c r="AO273" t="s">
        <v>1236</v>
      </c>
      <c r="AP273" t="s">
        <v>1170</v>
      </c>
      <c r="AR273" t="s">
        <v>683</v>
      </c>
      <c r="AT273" t="s">
        <v>3589</v>
      </c>
      <c r="AW273" t="s">
        <v>1282</v>
      </c>
    </row>
    <row r="274" spans="1:49">
      <c r="A274" s="1">
        <f>HYPERLINK("https://lsnyc.legalserver.org/matter/dynamic-profile/view/1903565","19-1903565")</f>
        <v>0</v>
      </c>
      <c r="B274" t="s">
        <v>96</v>
      </c>
      <c r="C274" t="s">
        <v>1962</v>
      </c>
      <c r="D274" t="s">
        <v>2192</v>
      </c>
      <c r="E274" t="s">
        <v>2469</v>
      </c>
      <c r="F274" t="s">
        <v>2583</v>
      </c>
      <c r="G274" t="s">
        <v>677</v>
      </c>
      <c r="H274">
        <v>10467</v>
      </c>
      <c r="I274" t="s">
        <v>682</v>
      </c>
      <c r="J274" t="s">
        <v>2830</v>
      </c>
      <c r="K274" t="s">
        <v>730</v>
      </c>
      <c r="M274" t="s">
        <v>744</v>
      </c>
      <c r="O274">
        <v>0</v>
      </c>
      <c r="R274" t="s">
        <v>3139</v>
      </c>
      <c r="T274" t="s">
        <v>3472</v>
      </c>
      <c r="U274">
        <v>0</v>
      </c>
      <c r="V274" t="s">
        <v>1114</v>
      </c>
      <c r="X274">
        <v>8</v>
      </c>
      <c r="Y274">
        <v>1</v>
      </c>
      <c r="Z274">
        <v>0</v>
      </c>
      <c r="AA274">
        <v>51.21</v>
      </c>
      <c r="AD274" t="s">
        <v>1122</v>
      </c>
      <c r="AE274">
        <v>6396</v>
      </c>
      <c r="AK274">
        <v>9</v>
      </c>
      <c r="AL274" t="s">
        <v>1165</v>
      </c>
      <c r="AM274" t="s">
        <v>77</v>
      </c>
      <c r="AN274" t="s">
        <v>1233</v>
      </c>
      <c r="AO274" t="s">
        <v>1236</v>
      </c>
      <c r="AP274" t="s">
        <v>1199</v>
      </c>
      <c r="AR274" t="s">
        <v>683</v>
      </c>
      <c r="AT274" t="s">
        <v>3589</v>
      </c>
      <c r="AU274" t="s">
        <v>684</v>
      </c>
      <c r="AW274" t="s">
        <v>1282</v>
      </c>
    </row>
    <row r="275" spans="1:49">
      <c r="A275" s="1">
        <f>HYPERLINK("https://lsnyc.legalserver.org/matter/dynamic-profile/view/1905864","19-1905864")</f>
        <v>0</v>
      </c>
      <c r="B275" t="s">
        <v>1755</v>
      </c>
      <c r="C275" t="s">
        <v>210</v>
      </c>
      <c r="D275" t="s">
        <v>2193</v>
      </c>
      <c r="E275" t="s">
        <v>2470</v>
      </c>
      <c r="G275" t="s">
        <v>677</v>
      </c>
      <c r="H275">
        <v>10467</v>
      </c>
      <c r="I275" t="s">
        <v>682</v>
      </c>
      <c r="J275" t="s">
        <v>2831</v>
      </c>
      <c r="K275" t="s">
        <v>730</v>
      </c>
      <c r="O275">
        <v>1998</v>
      </c>
      <c r="P275" t="s">
        <v>748</v>
      </c>
      <c r="R275" t="s">
        <v>3140</v>
      </c>
      <c r="T275" t="s">
        <v>3473</v>
      </c>
      <c r="U275">
        <v>3</v>
      </c>
      <c r="V275" t="s">
        <v>1104</v>
      </c>
      <c r="W275" t="s">
        <v>1115</v>
      </c>
      <c r="X275">
        <v>3</v>
      </c>
      <c r="Y275">
        <v>3</v>
      </c>
      <c r="Z275">
        <v>0</v>
      </c>
      <c r="AA275">
        <v>12.49</v>
      </c>
      <c r="AD275" t="s">
        <v>1122</v>
      </c>
      <c r="AE275">
        <v>2664</v>
      </c>
      <c r="AK275">
        <v>0</v>
      </c>
      <c r="AM275" t="s">
        <v>1231</v>
      </c>
      <c r="AO275" t="s">
        <v>1236</v>
      </c>
      <c r="AP275" t="s">
        <v>1179</v>
      </c>
      <c r="AR275" t="s">
        <v>683</v>
      </c>
      <c r="AT275" t="s">
        <v>3589</v>
      </c>
      <c r="AU275" t="s">
        <v>684</v>
      </c>
      <c r="AW275" t="s">
        <v>1282</v>
      </c>
    </row>
    <row r="276" spans="1:49">
      <c r="A276" s="1">
        <f>HYPERLINK("https://lsnyc.legalserver.org/matter/dynamic-profile/view/1905942","19-1905942")</f>
        <v>0</v>
      </c>
      <c r="B276" t="s">
        <v>88</v>
      </c>
      <c r="C276" t="s">
        <v>1963</v>
      </c>
      <c r="D276" t="s">
        <v>2194</v>
      </c>
      <c r="E276" t="s">
        <v>2471</v>
      </c>
      <c r="F276">
        <v>24</v>
      </c>
      <c r="G276" t="s">
        <v>677</v>
      </c>
      <c r="H276">
        <v>10468</v>
      </c>
      <c r="I276" t="s">
        <v>682</v>
      </c>
      <c r="J276" t="s">
        <v>2832</v>
      </c>
      <c r="K276" t="s">
        <v>730</v>
      </c>
      <c r="O276">
        <v>0</v>
      </c>
      <c r="R276" t="s">
        <v>3141</v>
      </c>
      <c r="T276" t="s">
        <v>3474</v>
      </c>
      <c r="U276">
        <v>38</v>
      </c>
      <c r="X276">
        <v>30</v>
      </c>
      <c r="Y276">
        <v>3</v>
      </c>
      <c r="Z276">
        <v>0</v>
      </c>
      <c r="AA276">
        <v>255.98</v>
      </c>
      <c r="AD276" t="s">
        <v>1122</v>
      </c>
      <c r="AE276">
        <v>54600</v>
      </c>
      <c r="AK276">
        <v>0</v>
      </c>
      <c r="AM276" t="s">
        <v>77</v>
      </c>
      <c r="AN276" t="s">
        <v>1233</v>
      </c>
      <c r="AO276" t="s">
        <v>1236</v>
      </c>
      <c r="AP276" t="s">
        <v>1211</v>
      </c>
      <c r="AR276" t="s">
        <v>683</v>
      </c>
      <c r="AT276" t="s">
        <v>3589</v>
      </c>
      <c r="AU276" t="s">
        <v>684</v>
      </c>
      <c r="AW276" t="s">
        <v>1282</v>
      </c>
    </row>
    <row r="277" spans="1:49">
      <c r="A277" s="1">
        <f>HYPERLINK("https://lsnyc.legalserver.org/matter/dynamic-profile/view/1902019","19-1902019")</f>
        <v>0</v>
      </c>
      <c r="B277" t="s">
        <v>58</v>
      </c>
      <c r="C277" t="s">
        <v>1964</v>
      </c>
      <c r="D277" t="s">
        <v>2195</v>
      </c>
      <c r="E277" t="s">
        <v>2472</v>
      </c>
      <c r="F277" t="s">
        <v>1516</v>
      </c>
      <c r="G277" t="s">
        <v>677</v>
      </c>
      <c r="H277">
        <v>10468</v>
      </c>
      <c r="I277" t="s">
        <v>682</v>
      </c>
      <c r="J277" t="s">
        <v>2833</v>
      </c>
      <c r="K277" t="s">
        <v>730</v>
      </c>
      <c r="O277">
        <v>0</v>
      </c>
      <c r="R277" t="s">
        <v>3142</v>
      </c>
      <c r="S277" t="s">
        <v>3238</v>
      </c>
      <c r="T277" t="s">
        <v>3475</v>
      </c>
      <c r="U277">
        <v>0</v>
      </c>
      <c r="X277">
        <v>0</v>
      </c>
      <c r="Y277">
        <v>1</v>
      </c>
      <c r="Z277">
        <v>0</v>
      </c>
      <c r="AA277">
        <v>76.86</v>
      </c>
      <c r="AD277" t="s">
        <v>1122</v>
      </c>
      <c r="AE277">
        <v>9600</v>
      </c>
      <c r="AK277">
        <v>1.75</v>
      </c>
      <c r="AL277" t="s">
        <v>1206</v>
      </c>
      <c r="AM277" t="s">
        <v>77</v>
      </c>
      <c r="AN277" t="s">
        <v>1234</v>
      </c>
      <c r="AO277" t="s">
        <v>1236</v>
      </c>
      <c r="AP277" t="s">
        <v>1197</v>
      </c>
      <c r="AR277" t="s">
        <v>683</v>
      </c>
      <c r="AT277" t="s">
        <v>3589</v>
      </c>
      <c r="AU277" t="s">
        <v>684</v>
      </c>
      <c r="AW277" t="s">
        <v>1282</v>
      </c>
    </row>
    <row r="278" spans="1:49">
      <c r="A278" s="1">
        <f>HYPERLINK("https://lsnyc.legalserver.org/matter/dynamic-profile/view/1900559","19-1900559")</f>
        <v>0</v>
      </c>
      <c r="B278" t="s">
        <v>94</v>
      </c>
      <c r="C278" t="s">
        <v>1965</v>
      </c>
      <c r="D278" t="s">
        <v>2196</v>
      </c>
      <c r="E278" t="s">
        <v>2473</v>
      </c>
      <c r="F278" t="s">
        <v>2584</v>
      </c>
      <c r="G278" t="s">
        <v>677</v>
      </c>
      <c r="H278">
        <v>10462</v>
      </c>
      <c r="I278" t="s">
        <v>682</v>
      </c>
      <c r="J278" t="s">
        <v>2834</v>
      </c>
      <c r="K278" t="s">
        <v>730</v>
      </c>
      <c r="O278">
        <v>1470</v>
      </c>
      <c r="R278" t="s">
        <v>3143</v>
      </c>
      <c r="S278" t="s">
        <v>3239</v>
      </c>
      <c r="T278" t="s">
        <v>3476</v>
      </c>
      <c r="U278">
        <v>0</v>
      </c>
      <c r="X278">
        <v>0</v>
      </c>
      <c r="Y278">
        <v>1</v>
      </c>
      <c r="Z278">
        <v>0</v>
      </c>
      <c r="AA278">
        <v>72.06</v>
      </c>
      <c r="AD278" t="s">
        <v>1122</v>
      </c>
      <c r="AE278">
        <v>9000</v>
      </c>
      <c r="AK278">
        <v>3.5</v>
      </c>
      <c r="AL278" t="s">
        <v>1158</v>
      </c>
      <c r="AM278" t="s">
        <v>77</v>
      </c>
      <c r="AN278" t="s">
        <v>1234</v>
      </c>
      <c r="AO278" t="s">
        <v>1236</v>
      </c>
      <c r="AP278" t="s">
        <v>1238</v>
      </c>
      <c r="AR278" t="s">
        <v>683</v>
      </c>
      <c r="AT278" t="s">
        <v>3589</v>
      </c>
      <c r="AU278" t="s">
        <v>684</v>
      </c>
      <c r="AW278" t="s">
        <v>1282</v>
      </c>
    </row>
    <row r="279" spans="1:49">
      <c r="A279" s="1">
        <f>HYPERLINK("https://lsnyc.legalserver.org/matter/dynamic-profile/view/1901306","19-1901306")</f>
        <v>0</v>
      </c>
      <c r="B279" t="s">
        <v>79</v>
      </c>
      <c r="C279" t="s">
        <v>1966</v>
      </c>
      <c r="D279" t="s">
        <v>2197</v>
      </c>
      <c r="E279" t="s">
        <v>2474</v>
      </c>
      <c r="F279" t="s">
        <v>600</v>
      </c>
      <c r="G279" t="s">
        <v>677</v>
      </c>
      <c r="H279">
        <v>10468</v>
      </c>
      <c r="I279" t="s">
        <v>682</v>
      </c>
      <c r="J279" t="s">
        <v>2835</v>
      </c>
      <c r="K279" t="s">
        <v>730</v>
      </c>
      <c r="M279" t="s">
        <v>744</v>
      </c>
      <c r="O279">
        <v>325.22</v>
      </c>
      <c r="R279" t="s">
        <v>3144</v>
      </c>
      <c r="T279" t="s">
        <v>3477</v>
      </c>
      <c r="U279">
        <v>20</v>
      </c>
      <c r="V279" t="s">
        <v>1102</v>
      </c>
      <c r="X279">
        <v>47</v>
      </c>
      <c r="Y279">
        <v>1</v>
      </c>
      <c r="Z279">
        <v>0</v>
      </c>
      <c r="AA279">
        <v>127.01</v>
      </c>
      <c r="AD279" t="s">
        <v>1122</v>
      </c>
      <c r="AE279">
        <v>15864</v>
      </c>
      <c r="AK279">
        <v>0.5</v>
      </c>
      <c r="AL279" t="s">
        <v>1166</v>
      </c>
      <c r="AM279" t="s">
        <v>77</v>
      </c>
      <c r="AN279" t="s">
        <v>1233</v>
      </c>
      <c r="AO279" t="s">
        <v>1236</v>
      </c>
      <c r="AP279" t="s">
        <v>1189</v>
      </c>
      <c r="AR279" t="s">
        <v>683</v>
      </c>
      <c r="AT279" t="s">
        <v>3589</v>
      </c>
      <c r="AU279" t="s">
        <v>684</v>
      </c>
      <c r="AW279" t="s">
        <v>1282</v>
      </c>
    </row>
    <row r="280" spans="1:49">
      <c r="A280" s="1">
        <f>HYPERLINK("https://lsnyc.legalserver.org/matter/dynamic-profile/view/1905906","19-1905906")</f>
        <v>0</v>
      </c>
      <c r="B280" t="s">
        <v>88</v>
      </c>
      <c r="C280" t="s">
        <v>209</v>
      </c>
      <c r="D280" t="s">
        <v>2198</v>
      </c>
      <c r="E280" t="s">
        <v>2468</v>
      </c>
      <c r="F280">
        <v>1</v>
      </c>
      <c r="G280" t="s">
        <v>677</v>
      </c>
      <c r="H280">
        <v>10457</v>
      </c>
      <c r="I280" t="s">
        <v>682</v>
      </c>
      <c r="J280" t="s">
        <v>2829</v>
      </c>
      <c r="K280" t="s">
        <v>730</v>
      </c>
      <c r="O280">
        <v>0</v>
      </c>
      <c r="R280" t="s">
        <v>3145</v>
      </c>
      <c r="T280" t="s">
        <v>3478</v>
      </c>
      <c r="U280">
        <v>3</v>
      </c>
      <c r="X280">
        <v>6</v>
      </c>
      <c r="Y280">
        <v>1</v>
      </c>
      <c r="Z280">
        <v>0</v>
      </c>
      <c r="AA280">
        <v>208.17</v>
      </c>
      <c r="AD280" t="s">
        <v>1122</v>
      </c>
      <c r="AE280">
        <v>26000</v>
      </c>
      <c r="AK280">
        <v>0</v>
      </c>
      <c r="AM280" t="s">
        <v>77</v>
      </c>
      <c r="AN280" t="s">
        <v>1233</v>
      </c>
      <c r="AO280" t="s">
        <v>1236</v>
      </c>
      <c r="AP280" t="s">
        <v>1179</v>
      </c>
      <c r="AR280" t="s">
        <v>683</v>
      </c>
      <c r="AT280" t="s">
        <v>3589</v>
      </c>
      <c r="AU280" t="s">
        <v>684</v>
      </c>
      <c r="AW280" t="s">
        <v>1282</v>
      </c>
    </row>
    <row r="281" spans="1:49">
      <c r="A281" s="1">
        <f>HYPERLINK("https://lsnyc.legalserver.org/matter/dynamic-profile/view/1900502","19-1900502")</f>
        <v>0</v>
      </c>
      <c r="B281" t="s">
        <v>79</v>
      </c>
      <c r="C281" t="s">
        <v>1967</v>
      </c>
      <c r="D281" t="s">
        <v>2199</v>
      </c>
      <c r="E281" t="s">
        <v>2475</v>
      </c>
      <c r="F281" t="s">
        <v>2585</v>
      </c>
      <c r="G281" t="s">
        <v>677</v>
      </c>
      <c r="H281">
        <v>10457</v>
      </c>
      <c r="I281" t="s">
        <v>682</v>
      </c>
      <c r="J281" t="s">
        <v>2836</v>
      </c>
      <c r="K281" t="s">
        <v>730</v>
      </c>
      <c r="O281">
        <v>1213.21</v>
      </c>
      <c r="P281" t="s">
        <v>757</v>
      </c>
      <c r="R281" t="s">
        <v>3146</v>
      </c>
      <c r="T281" t="s">
        <v>3479</v>
      </c>
      <c r="U281">
        <v>89</v>
      </c>
      <c r="V281" t="s">
        <v>1105</v>
      </c>
      <c r="W281" t="s">
        <v>1116</v>
      </c>
      <c r="X281">
        <v>0</v>
      </c>
      <c r="Y281">
        <v>2</v>
      </c>
      <c r="Z281">
        <v>1</v>
      </c>
      <c r="AA281">
        <v>73.14</v>
      </c>
      <c r="AD281" t="s">
        <v>1122</v>
      </c>
      <c r="AE281">
        <v>15600</v>
      </c>
      <c r="AK281">
        <v>7</v>
      </c>
      <c r="AL281" t="s">
        <v>1163</v>
      </c>
      <c r="AM281" t="s">
        <v>1229</v>
      </c>
      <c r="AN281" t="s">
        <v>1233</v>
      </c>
      <c r="AO281" t="s">
        <v>1236</v>
      </c>
      <c r="AP281" t="s">
        <v>1213</v>
      </c>
      <c r="AR281" t="s">
        <v>683</v>
      </c>
      <c r="AT281" t="s">
        <v>3589</v>
      </c>
      <c r="AU281" t="s">
        <v>684</v>
      </c>
      <c r="AW281" t="s">
        <v>1282</v>
      </c>
    </row>
    <row r="282" spans="1:49">
      <c r="A282" s="1">
        <f>HYPERLINK("https://lsnyc.legalserver.org/matter/dynamic-profile/view/1905551","19-1905551")</f>
        <v>0</v>
      </c>
      <c r="B282" t="s">
        <v>94</v>
      </c>
      <c r="C282" t="s">
        <v>1968</v>
      </c>
      <c r="D282" t="s">
        <v>2200</v>
      </c>
      <c r="E282" t="s">
        <v>2476</v>
      </c>
      <c r="F282">
        <v>21</v>
      </c>
      <c r="G282" t="s">
        <v>677</v>
      </c>
      <c r="H282">
        <v>10468</v>
      </c>
      <c r="I282" t="s">
        <v>682</v>
      </c>
      <c r="J282" t="s">
        <v>2837</v>
      </c>
      <c r="K282" t="s">
        <v>730</v>
      </c>
      <c r="O282">
        <v>1125</v>
      </c>
      <c r="R282" t="s">
        <v>3147</v>
      </c>
      <c r="T282" t="s">
        <v>3480</v>
      </c>
      <c r="U282">
        <v>30</v>
      </c>
      <c r="W282" t="s">
        <v>1115</v>
      </c>
      <c r="X282">
        <v>2</v>
      </c>
      <c r="Y282">
        <v>1</v>
      </c>
      <c r="Z282">
        <v>0</v>
      </c>
      <c r="AA282">
        <v>145.72</v>
      </c>
      <c r="AE282">
        <v>18200</v>
      </c>
      <c r="AK282">
        <v>0</v>
      </c>
      <c r="AM282" t="s">
        <v>77</v>
      </c>
      <c r="AN282" t="s">
        <v>1233</v>
      </c>
      <c r="AO282" t="s">
        <v>1236</v>
      </c>
      <c r="AP282" t="s">
        <v>1175</v>
      </c>
      <c r="AR282" t="s">
        <v>683</v>
      </c>
      <c r="AT282" t="s">
        <v>3589</v>
      </c>
      <c r="AU282" t="s">
        <v>684</v>
      </c>
      <c r="AW282" t="s">
        <v>1282</v>
      </c>
    </row>
    <row r="283" spans="1:49">
      <c r="A283" s="1">
        <f>HYPERLINK("https://lsnyc.legalserver.org/matter/dynamic-profile/view/1898456","19-1898456")</f>
        <v>0</v>
      </c>
      <c r="B283" t="s">
        <v>66</v>
      </c>
      <c r="C283" t="s">
        <v>1969</v>
      </c>
      <c r="D283" t="s">
        <v>2201</v>
      </c>
      <c r="E283" t="s">
        <v>2477</v>
      </c>
      <c r="F283" t="s">
        <v>2586</v>
      </c>
      <c r="G283" t="s">
        <v>677</v>
      </c>
      <c r="H283">
        <v>10468</v>
      </c>
      <c r="I283" t="s">
        <v>682</v>
      </c>
      <c r="J283" t="s">
        <v>2838</v>
      </c>
      <c r="K283" t="s">
        <v>730</v>
      </c>
      <c r="O283">
        <v>615</v>
      </c>
      <c r="R283" t="s">
        <v>3148</v>
      </c>
      <c r="S283" t="s">
        <v>3240</v>
      </c>
      <c r="U283">
        <v>0</v>
      </c>
      <c r="X283">
        <v>6</v>
      </c>
      <c r="Y283">
        <v>1</v>
      </c>
      <c r="Z283">
        <v>0</v>
      </c>
      <c r="AA283">
        <v>17.58</v>
      </c>
      <c r="AD283" t="s">
        <v>1123</v>
      </c>
      <c r="AE283">
        <v>2196</v>
      </c>
      <c r="AF283" t="s">
        <v>3565</v>
      </c>
      <c r="AK283">
        <v>1.5</v>
      </c>
      <c r="AL283" t="s">
        <v>1204</v>
      </c>
      <c r="AM283" t="s">
        <v>3583</v>
      </c>
      <c r="AN283" t="s">
        <v>1234</v>
      </c>
      <c r="AO283" t="s">
        <v>1236</v>
      </c>
      <c r="AP283" t="s">
        <v>1245</v>
      </c>
      <c r="AR283" t="s">
        <v>682</v>
      </c>
      <c r="AT283" t="s">
        <v>3589</v>
      </c>
      <c r="AW283" t="s">
        <v>1282</v>
      </c>
    </row>
    <row r="284" spans="1:49">
      <c r="A284" s="1">
        <f>HYPERLINK("https://lsnyc.legalserver.org/matter/dynamic-profile/view/1905992","19-1905992")</f>
        <v>0</v>
      </c>
      <c r="B284" t="s">
        <v>89</v>
      </c>
      <c r="C284" t="s">
        <v>1970</v>
      </c>
      <c r="D284" t="s">
        <v>2202</v>
      </c>
      <c r="E284" t="s">
        <v>2478</v>
      </c>
      <c r="G284" t="s">
        <v>677</v>
      </c>
      <c r="H284">
        <v>10457</v>
      </c>
      <c r="I284" t="s">
        <v>682</v>
      </c>
      <c r="J284" t="s">
        <v>2839</v>
      </c>
      <c r="K284" t="s">
        <v>730</v>
      </c>
      <c r="O284">
        <v>1200</v>
      </c>
      <c r="R284" t="s">
        <v>3149</v>
      </c>
      <c r="U284">
        <v>0</v>
      </c>
      <c r="X284">
        <v>3</v>
      </c>
      <c r="Y284">
        <v>2</v>
      </c>
      <c r="Z284">
        <v>1</v>
      </c>
      <c r="AA284">
        <v>51.76</v>
      </c>
      <c r="AD284" t="s">
        <v>1123</v>
      </c>
      <c r="AE284">
        <v>11040</v>
      </c>
      <c r="AK284">
        <v>0</v>
      </c>
      <c r="AM284" t="s">
        <v>77</v>
      </c>
      <c r="AN284" t="s">
        <v>1233</v>
      </c>
      <c r="AO284" t="s">
        <v>1236</v>
      </c>
      <c r="AP284" t="s">
        <v>1211</v>
      </c>
      <c r="AR284" t="s">
        <v>683</v>
      </c>
      <c r="AT284" t="s">
        <v>3589</v>
      </c>
      <c r="AW284" t="s">
        <v>1282</v>
      </c>
    </row>
    <row r="285" spans="1:49">
      <c r="A285" s="1">
        <f>HYPERLINK("https://lsnyc.legalserver.org/matter/dynamic-profile/view/1903982","19-1903982")</f>
        <v>0</v>
      </c>
      <c r="B285" t="s">
        <v>79</v>
      </c>
      <c r="C285" t="s">
        <v>1338</v>
      </c>
      <c r="D285" t="s">
        <v>2203</v>
      </c>
      <c r="E285" t="s">
        <v>2479</v>
      </c>
      <c r="F285" t="s">
        <v>2540</v>
      </c>
      <c r="G285" t="s">
        <v>677</v>
      </c>
      <c r="H285">
        <v>10468</v>
      </c>
      <c r="I285" t="s">
        <v>682</v>
      </c>
      <c r="J285" t="s">
        <v>2840</v>
      </c>
      <c r="K285" t="s">
        <v>732</v>
      </c>
      <c r="O285">
        <v>1390.15</v>
      </c>
      <c r="P285" t="s">
        <v>757</v>
      </c>
      <c r="R285" t="s">
        <v>3150</v>
      </c>
      <c r="T285" t="s">
        <v>3481</v>
      </c>
      <c r="U285">
        <v>82</v>
      </c>
      <c r="V285" t="s">
        <v>1102</v>
      </c>
      <c r="W285" t="s">
        <v>1116</v>
      </c>
      <c r="X285">
        <v>30</v>
      </c>
      <c r="Y285">
        <v>2</v>
      </c>
      <c r="Z285">
        <v>0</v>
      </c>
      <c r="AA285">
        <v>384.39</v>
      </c>
      <c r="AD285" t="s">
        <v>1122</v>
      </c>
      <c r="AE285">
        <v>65000</v>
      </c>
      <c r="AK285">
        <v>2</v>
      </c>
      <c r="AL285" t="s">
        <v>1158</v>
      </c>
      <c r="AM285" t="s">
        <v>1229</v>
      </c>
      <c r="AN285" t="s">
        <v>1233</v>
      </c>
      <c r="AO285" t="s">
        <v>1236</v>
      </c>
      <c r="AP285" t="s">
        <v>1193</v>
      </c>
      <c r="AR285" t="s">
        <v>683</v>
      </c>
      <c r="AT285" t="s">
        <v>3589</v>
      </c>
      <c r="AU285" t="s">
        <v>684</v>
      </c>
      <c r="AW285" t="s">
        <v>1282</v>
      </c>
    </row>
    <row r="286" spans="1:49">
      <c r="A286" s="1">
        <f>HYPERLINK("https://lsnyc.legalserver.org/matter/dynamic-profile/view/1904811","19-1904811")</f>
        <v>0</v>
      </c>
      <c r="B286" t="s">
        <v>1757</v>
      </c>
      <c r="C286" t="s">
        <v>1971</v>
      </c>
      <c r="D286" t="s">
        <v>2204</v>
      </c>
      <c r="E286" t="s">
        <v>2480</v>
      </c>
      <c r="F286" t="s">
        <v>1522</v>
      </c>
      <c r="G286" t="s">
        <v>677</v>
      </c>
      <c r="H286">
        <v>10467</v>
      </c>
      <c r="I286" t="s">
        <v>682</v>
      </c>
      <c r="J286" t="s">
        <v>2841</v>
      </c>
      <c r="K286" t="s">
        <v>732</v>
      </c>
      <c r="O286">
        <v>1560</v>
      </c>
      <c r="P286" t="s">
        <v>757</v>
      </c>
      <c r="R286" t="s">
        <v>3151</v>
      </c>
      <c r="T286" t="s">
        <v>3482</v>
      </c>
      <c r="U286">
        <v>0</v>
      </c>
      <c r="V286" t="s">
        <v>1104</v>
      </c>
      <c r="W286" t="s">
        <v>1115</v>
      </c>
      <c r="X286">
        <v>1</v>
      </c>
      <c r="Y286">
        <v>1</v>
      </c>
      <c r="Z286">
        <v>1</v>
      </c>
      <c r="AA286">
        <v>165.58</v>
      </c>
      <c r="AD286" t="s">
        <v>1122</v>
      </c>
      <c r="AE286">
        <v>28000</v>
      </c>
      <c r="AK286">
        <v>2.5</v>
      </c>
      <c r="AL286" t="s">
        <v>1207</v>
      </c>
      <c r="AM286" t="s">
        <v>1215</v>
      </c>
      <c r="AN286" t="s">
        <v>1233</v>
      </c>
      <c r="AO286" t="s">
        <v>1236</v>
      </c>
      <c r="AP286" t="s">
        <v>1161</v>
      </c>
      <c r="AR286" t="s">
        <v>683</v>
      </c>
      <c r="AT286" t="s">
        <v>3589</v>
      </c>
      <c r="AU286" t="s">
        <v>684</v>
      </c>
      <c r="AW286" t="s">
        <v>1282</v>
      </c>
    </row>
    <row r="287" spans="1:49">
      <c r="A287" s="1">
        <f>HYPERLINK("https://lsnyc.legalserver.org/matter/dynamic-profile/view/1905695","19-1905695")</f>
        <v>0</v>
      </c>
      <c r="B287" t="s">
        <v>66</v>
      </c>
      <c r="C287" t="s">
        <v>1972</v>
      </c>
      <c r="D287" t="s">
        <v>2205</v>
      </c>
      <c r="E287" t="s">
        <v>2481</v>
      </c>
      <c r="F287" t="s">
        <v>2579</v>
      </c>
      <c r="G287" t="s">
        <v>677</v>
      </c>
      <c r="H287">
        <v>10468</v>
      </c>
      <c r="I287" t="s">
        <v>682</v>
      </c>
      <c r="J287" t="s">
        <v>2842</v>
      </c>
      <c r="K287" t="s">
        <v>732</v>
      </c>
      <c r="O287">
        <v>1541.18</v>
      </c>
      <c r="P287" t="s">
        <v>757</v>
      </c>
      <c r="R287" t="s">
        <v>3152</v>
      </c>
      <c r="T287" t="s">
        <v>3483</v>
      </c>
      <c r="U287">
        <v>0</v>
      </c>
      <c r="V287" t="s">
        <v>1102</v>
      </c>
      <c r="W287" t="s">
        <v>1116</v>
      </c>
      <c r="X287">
        <v>7</v>
      </c>
      <c r="Y287">
        <v>1</v>
      </c>
      <c r="Z287">
        <v>0</v>
      </c>
      <c r="AA287">
        <v>0</v>
      </c>
      <c r="AD287" t="s">
        <v>1122</v>
      </c>
      <c r="AE287">
        <v>0</v>
      </c>
      <c r="AK287">
        <v>0.5</v>
      </c>
      <c r="AL287" t="s">
        <v>1165</v>
      </c>
      <c r="AM287" t="s">
        <v>1215</v>
      </c>
      <c r="AN287" t="s">
        <v>1233</v>
      </c>
      <c r="AO287" t="s">
        <v>1236</v>
      </c>
      <c r="AP287" t="s">
        <v>1165</v>
      </c>
      <c r="AR287" t="s">
        <v>683</v>
      </c>
      <c r="AT287" t="s">
        <v>3589</v>
      </c>
      <c r="AU287" t="s">
        <v>684</v>
      </c>
      <c r="AW287" t="s">
        <v>1282</v>
      </c>
    </row>
    <row r="288" spans="1:49">
      <c r="A288" s="1">
        <f>HYPERLINK("https://lsnyc.legalserver.org/matter/dynamic-profile/view/1904063","19-1904063")</f>
        <v>0</v>
      </c>
      <c r="B288" t="s">
        <v>1751</v>
      </c>
      <c r="C288" t="s">
        <v>1355</v>
      </c>
      <c r="D288" t="s">
        <v>293</v>
      </c>
      <c r="E288" t="s">
        <v>2482</v>
      </c>
      <c r="F288" t="s">
        <v>2587</v>
      </c>
      <c r="G288" t="s">
        <v>677</v>
      </c>
      <c r="H288">
        <v>10457</v>
      </c>
      <c r="I288" t="s">
        <v>682</v>
      </c>
      <c r="J288" t="s">
        <v>2843</v>
      </c>
      <c r="K288" t="s">
        <v>732</v>
      </c>
      <c r="O288">
        <v>1053.93</v>
      </c>
      <c r="R288" t="s">
        <v>3153</v>
      </c>
      <c r="T288" t="s">
        <v>3484</v>
      </c>
      <c r="U288">
        <v>118</v>
      </c>
      <c r="X288">
        <v>7</v>
      </c>
      <c r="Y288">
        <v>1</v>
      </c>
      <c r="Z288">
        <v>1</v>
      </c>
      <c r="AA288">
        <v>92.25</v>
      </c>
      <c r="AD288" t="s">
        <v>1122</v>
      </c>
      <c r="AE288">
        <v>15600</v>
      </c>
      <c r="AK288">
        <v>1.75</v>
      </c>
      <c r="AL288" t="s">
        <v>1175</v>
      </c>
      <c r="AM288" t="s">
        <v>77</v>
      </c>
      <c r="AN288" t="s">
        <v>1233</v>
      </c>
      <c r="AO288" t="s">
        <v>1236</v>
      </c>
      <c r="AP288" t="s">
        <v>1214</v>
      </c>
      <c r="AR288" t="s">
        <v>683</v>
      </c>
      <c r="AT288" t="s">
        <v>3589</v>
      </c>
      <c r="AU288" t="s">
        <v>684</v>
      </c>
      <c r="AW288" t="s">
        <v>1282</v>
      </c>
    </row>
    <row r="289" spans="1:49">
      <c r="A289" s="1">
        <f>HYPERLINK("https://lsnyc.legalserver.org/matter/dynamic-profile/view/1903930","19-1903930")</f>
        <v>0</v>
      </c>
      <c r="B289" t="s">
        <v>104</v>
      </c>
      <c r="C289" t="s">
        <v>1973</v>
      </c>
      <c r="D289" t="s">
        <v>2206</v>
      </c>
      <c r="E289" t="s">
        <v>2483</v>
      </c>
      <c r="F289">
        <v>314</v>
      </c>
      <c r="G289" t="s">
        <v>677</v>
      </c>
      <c r="H289">
        <v>10457</v>
      </c>
      <c r="I289" t="s">
        <v>682</v>
      </c>
      <c r="J289" t="s">
        <v>2844</v>
      </c>
      <c r="K289" t="s">
        <v>732</v>
      </c>
      <c r="O289">
        <v>1038</v>
      </c>
      <c r="R289" t="s">
        <v>3154</v>
      </c>
      <c r="T289" t="s">
        <v>3485</v>
      </c>
      <c r="U289">
        <v>0</v>
      </c>
      <c r="X289">
        <v>1</v>
      </c>
      <c r="Y289">
        <v>1</v>
      </c>
      <c r="Z289">
        <v>1</v>
      </c>
      <c r="AA289">
        <v>177.41</v>
      </c>
      <c r="AD289" t="s">
        <v>1122</v>
      </c>
      <c r="AE289">
        <v>30000</v>
      </c>
      <c r="AK289">
        <v>1.2</v>
      </c>
      <c r="AL289" t="s">
        <v>1166</v>
      </c>
      <c r="AM289" t="s">
        <v>77</v>
      </c>
      <c r="AN289" t="s">
        <v>1233</v>
      </c>
      <c r="AO289" t="s">
        <v>1236</v>
      </c>
      <c r="AP289" t="s">
        <v>1172</v>
      </c>
      <c r="AR289" t="s">
        <v>683</v>
      </c>
      <c r="AT289" t="s">
        <v>3589</v>
      </c>
      <c r="AU289" t="s">
        <v>684</v>
      </c>
      <c r="AW289" t="s">
        <v>1282</v>
      </c>
    </row>
    <row r="290" spans="1:49">
      <c r="A290" s="1">
        <f>HYPERLINK("https://lsnyc.legalserver.org/matter/dynamic-profile/view/1901247","19-1901247")</f>
        <v>0</v>
      </c>
      <c r="B290" t="s">
        <v>96</v>
      </c>
      <c r="C290" t="s">
        <v>1974</v>
      </c>
      <c r="D290" t="s">
        <v>2207</v>
      </c>
      <c r="E290" t="s">
        <v>2484</v>
      </c>
      <c r="F290" t="s">
        <v>2539</v>
      </c>
      <c r="G290" t="s">
        <v>677</v>
      </c>
      <c r="H290">
        <v>10462</v>
      </c>
      <c r="I290" t="s">
        <v>682</v>
      </c>
      <c r="J290" t="s">
        <v>2845</v>
      </c>
      <c r="K290" t="s">
        <v>732</v>
      </c>
      <c r="O290">
        <v>1444</v>
      </c>
      <c r="P290" t="s">
        <v>753</v>
      </c>
      <c r="R290" t="s">
        <v>3155</v>
      </c>
      <c r="S290" t="s">
        <v>3241</v>
      </c>
      <c r="T290" t="s">
        <v>3486</v>
      </c>
      <c r="U290">
        <v>90</v>
      </c>
      <c r="V290" t="s">
        <v>1106</v>
      </c>
      <c r="W290" t="s">
        <v>1115</v>
      </c>
      <c r="X290">
        <v>17</v>
      </c>
      <c r="Y290">
        <v>1</v>
      </c>
      <c r="Z290">
        <v>0</v>
      </c>
      <c r="AA290">
        <v>124.89</v>
      </c>
      <c r="AD290" t="s">
        <v>1122</v>
      </c>
      <c r="AE290">
        <v>15598.7</v>
      </c>
      <c r="AK290">
        <v>12</v>
      </c>
      <c r="AL290" t="s">
        <v>1211</v>
      </c>
      <c r="AM290" t="s">
        <v>1744</v>
      </c>
      <c r="AN290" t="s">
        <v>1234</v>
      </c>
      <c r="AO290" t="s">
        <v>1236</v>
      </c>
      <c r="AP290" t="s">
        <v>1201</v>
      </c>
      <c r="AR290" t="s">
        <v>683</v>
      </c>
      <c r="AT290" t="s">
        <v>3589</v>
      </c>
      <c r="AU290" t="s">
        <v>684</v>
      </c>
      <c r="AW290" t="s">
        <v>1282</v>
      </c>
    </row>
    <row r="291" spans="1:49">
      <c r="A291" s="1">
        <f>HYPERLINK("https://lsnyc.legalserver.org/matter/dynamic-profile/view/1905424","19-1905424")</f>
        <v>0</v>
      </c>
      <c r="B291" t="s">
        <v>96</v>
      </c>
      <c r="C291" t="s">
        <v>1975</v>
      </c>
      <c r="D291" t="s">
        <v>2208</v>
      </c>
      <c r="E291" t="s">
        <v>2485</v>
      </c>
      <c r="F291">
        <v>406</v>
      </c>
      <c r="G291" t="s">
        <v>677</v>
      </c>
      <c r="H291">
        <v>10457</v>
      </c>
      <c r="I291" t="s">
        <v>682</v>
      </c>
      <c r="J291" t="s">
        <v>2846</v>
      </c>
      <c r="K291" t="s">
        <v>732</v>
      </c>
      <c r="O291">
        <v>1053</v>
      </c>
      <c r="R291" t="s">
        <v>3156</v>
      </c>
      <c r="T291" t="s">
        <v>3487</v>
      </c>
      <c r="U291">
        <v>0</v>
      </c>
      <c r="X291">
        <v>9</v>
      </c>
      <c r="Y291">
        <v>1</v>
      </c>
      <c r="Z291">
        <v>0</v>
      </c>
      <c r="AA291">
        <v>70.14</v>
      </c>
      <c r="AD291" t="s">
        <v>1122</v>
      </c>
      <c r="AE291">
        <v>8760</v>
      </c>
      <c r="AK291">
        <v>3</v>
      </c>
      <c r="AL291" t="s">
        <v>1170</v>
      </c>
      <c r="AM291" t="s">
        <v>77</v>
      </c>
      <c r="AN291" t="s">
        <v>1233</v>
      </c>
      <c r="AO291" t="s">
        <v>1236</v>
      </c>
      <c r="AP291" t="s">
        <v>1169</v>
      </c>
      <c r="AR291" t="s">
        <v>683</v>
      </c>
      <c r="AT291" t="s">
        <v>3589</v>
      </c>
      <c r="AW291" t="s">
        <v>1282</v>
      </c>
    </row>
    <row r="292" spans="1:49">
      <c r="A292" s="1">
        <f>HYPERLINK("https://lsnyc.legalserver.org/matter/dynamic-profile/view/1904054","19-1904054")</f>
        <v>0</v>
      </c>
      <c r="B292" t="s">
        <v>66</v>
      </c>
      <c r="C292" t="s">
        <v>1327</v>
      </c>
      <c r="D292" t="s">
        <v>2209</v>
      </c>
      <c r="E292" t="s">
        <v>2486</v>
      </c>
      <c r="F292" t="s">
        <v>650</v>
      </c>
      <c r="G292" t="s">
        <v>677</v>
      </c>
      <c r="H292">
        <v>10468</v>
      </c>
      <c r="I292" t="s">
        <v>682</v>
      </c>
      <c r="J292" t="s">
        <v>2847</v>
      </c>
      <c r="K292" t="s">
        <v>732</v>
      </c>
      <c r="O292">
        <v>887</v>
      </c>
      <c r="R292" t="s">
        <v>3157</v>
      </c>
      <c r="T292" t="s">
        <v>3488</v>
      </c>
      <c r="U292">
        <v>0</v>
      </c>
      <c r="X292">
        <v>16</v>
      </c>
      <c r="Y292">
        <v>1</v>
      </c>
      <c r="Z292">
        <v>0</v>
      </c>
      <c r="AA292">
        <v>204.64</v>
      </c>
      <c r="AD292" t="s">
        <v>1123</v>
      </c>
      <c r="AE292">
        <v>25560</v>
      </c>
      <c r="AF292" t="s">
        <v>3562</v>
      </c>
      <c r="AK292">
        <v>2</v>
      </c>
      <c r="AL292" t="s">
        <v>1158</v>
      </c>
      <c r="AM292" t="s">
        <v>77</v>
      </c>
      <c r="AN292" t="s">
        <v>1233</v>
      </c>
      <c r="AO292" t="s">
        <v>1236</v>
      </c>
      <c r="AP292" t="s">
        <v>1214</v>
      </c>
      <c r="AR292" t="s">
        <v>683</v>
      </c>
      <c r="AT292" t="s">
        <v>3589</v>
      </c>
      <c r="AU292" t="s">
        <v>684</v>
      </c>
      <c r="AW292" t="s">
        <v>1282</v>
      </c>
    </row>
    <row r="293" spans="1:49">
      <c r="A293" s="1">
        <f>HYPERLINK("https://lsnyc.legalserver.org/matter/dynamic-profile/view/1900694","19-1900694")</f>
        <v>0</v>
      </c>
      <c r="B293" t="s">
        <v>1753</v>
      </c>
      <c r="C293" t="s">
        <v>174</v>
      </c>
      <c r="D293" t="s">
        <v>2210</v>
      </c>
      <c r="E293" t="s">
        <v>2487</v>
      </c>
      <c r="F293">
        <v>1</v>
      </c>
      <c r="G293" t="s">
        <v>677</v>
      </c>
      <c r="H293">
        <v>10467</v>
      </c>
      <c r="I293" t="s">
        <v>682</v>
      </c>
      <c r="J293" t="s">
        <v>2848</v>
      </c>
      <c r="K293" t="s">
        <v>732</v>
      </c>
      <c r="O293">
        <v>2500</v>
      </c>
      <c r="P293" t="s">
        <v>757</v>
      </c>
      <c r="R293" t="s">
        <v>3158</v>
      </c>
      <c r="T293" t="s">
        <v>3489</v>
      </c>
      <c r="U293">
        <v>2</v>
      </c>
      <c r="V293" t="s">
        <v>1113</v>
      </c>
      <c r="W293" t="s">
        <v>1116</v>
      </c>
      <c r="X293">
        <v>1</v>
      </c>
      <c r="Y293">
        <v>2</v>
      </c>
      <c r="Z293">
        <v>0</v>
      </c>
      <c r="AA293">
        <v>92.25</v>
      </c>
      <c r="AD293" t="s">
        <v>1123</v>
      </c>
      <c r="AE293">
        <v>15600</v>
      </c>
      <c r="AK293">
        <v>6.85</v>
      </c>
      <c r="AL293" t="s">
        <v>1211</v>
      </c>
      <c r="AM293" t="s">
        <v>1229</v>
      </c>
      <c r="AN293" t="s">
        <v>1233</v>
      </c>
      <c r="AO293" t="s">
        <v>1236</v>
      </c>
      <c r="AP293" t="s">
        <v>1210</v>
      </c>
      <c r="AR293" t="s">
        <v>683</v>
      </c>
      <c r="AT293" t="s">
        <v>3589</v>
      </c>
      <c r="AU293" t="s">
        <v>684</v>
      </c>
      <c r="AW293" t="s">
        <v>1282</v>
      </c>
    </row>
    <row r="294" spans="1:49">
      <c r="A294" s="1">
        <f>HYPERLINK("https://lsnyc.legalserver.org/matter/dynamic-profile/view/1902441","19-1902441")</f>
        <v>0</v>
      </c>
      <c r="B294" t="s">
        <v>96</v>
      </c>
      <c r="C294" t="s">
        <v>1976</v>
      </c>
      <c r="D294" t="s">
        <v>2032</v>
      </c>
      <c r="E294" t="s">
        <v>2488</v>
      </c>
      <c r="F294" t="s">
        <v>2588</v>
      </c>
      <c r="G294" t="s">
        <v>677</v>
      </c>
      <c r="H294">
        <v>10467</v>
      </c>
      <c r="I294" t="s">
        <v>682</v>
      </c>
      <c r="J294" t="s">
        <v>2849</v>
      </c>
      <c r="K294" t="s">
        <v>732</v>
      </c>
      <c r="O294">
        <v>1200</v>
      </c>
      <c r="R294" t="s">
        <v>3159</v>
      </c>
      <c r="S294" t="s">
        <v>3242</v>
      </c>
      <c r="T294" t="s">
        <v>3490</v>
      </c>
      <c r="U294">
        <v>0</v>
      </c>
      <c r="V294" t="s">
        <v>1102</v>
      </c>
      <c r="X294">
        <v>2</v>
      </c>
      <c r="Y294">
        <v>2</v>
      </c>
      <c r="Z294">
        <v>0</v>
      </c>
      <c r="AA294">
        <v>0</v>
      </c>
      <c r="AD294" t="s">
        <v>1122</v>
      </c>
      <c r="AE294">
        <v>0</v>
      </c>
      <c r="AK294">
        <v>1</v>
      </c>
      <c r="AL294" t="s">
        <v>1178</v>
      </c>
      <c r="AM294" t="s">
        <v>77</v>
      </c>
      <c r="AN294" t="s">
        <v>1234</v>
      </c>
      <c r="AO294" t="s">
        <v>1236</v>
      </c>
      <c r="AP294" t="s">
        <v>3581</v>
      </c>
      <c r="AR294" t="s">
        <v>683</v>
      </c>
      <c r="AT294" t="s">
        <v>3589</v>
      </c>
      <c r="AU294" t="s">
        <v>684</v>
      </c>
      <c r="AW294" t="s">
        <v>1282</v>
      </c>
    </row>
    <row r="295" spans="1:49">
      <c r="A295" s="1">
        <f>HYPERLINK("https://lsnyc.legalserver.org/matter/dynamic-profile/view/1905279","19-1905279")</f>
        <v>0</v>
      </c>
      <c r="B295" t="s">
        <v>96</v>
      </c>
      <c r="C295" t="s">
        <v>1977</v>
      </c>
      <c r="D295" t="s">
        <v>2211</v>
      </c>
      <c r="E295" t="s">
        <v>2383</v>
      </c>
      <c r="F295" t="s">
        <v>641</v>
      </c>
      <c r="G295" t="s">
        <v>677</v>
      </c>
      <c r="H295">
        <v>10467</v>
      </c>
      <c r="I295" t="s">
        <v>682</v>
      </c>
      <c r="J295" t="s">
        <v>2850</v>
      </c>
      <c r="K295" t="s">
        <v>732</v>
      </c>
      <c r="O295">
        <v>712</v>
      </c>
      <c r="P295" t="s">
        <v>757</v>
      </c>
      <c r="R295" t="s">
        <v>3160</v>
      </c>
      <c r="T295" t="s">
        <v>3491</v>
      </c>
      <c r="U295">
        <v>0</v>
      </c>
      <c r="V295" t="s">
        <v>1112</v>
      </c>
      <c r="W295" t="s">
        <v>1116</v>
      </c>
      <c r="X295">
        <v>1</v>
      </c>
      <c r="Y295">
        <v>1</v>
      </c>
      <c r="Z295">
        <v>1</v>
      </c>
      <c r="AA295">
        <v>161.44</v>
      </c>
      <c r="AD295" t="s">
        <v>1123</v>
      </c>
      <c r="AE295">
        <v>27300</v>
      </c>
      <c r="AK295">
        <v>7</v>
      </c>
      <c r="AL295" t="s">
        <v>1170</v>
      </c>
      <c r="AM295" t="s">
        <v>1215</v>
      </c>
      <c r="AN295" t="s">
        <v>1233</v>
      </c>
      <c r="AO295" t="s">
        <v>1236</v>
      </c>
      <c r="AP295" t="s">
        <v>1166</v>
      </c>
      <c r="AR295" t="s">
        <v>683</v>
      </c>
      <c r="AT295" t="s">
        <v>3589</v>
      </c>
      <c r="AU295" t="s">
        <v>684</v>
      </c>
      <c r="AW295" t="s">
        <v>1282</v>
      </c>
    </row>
    <row r="296" spans="1:49">
      <c r="A296" s="1">
        <f>HYPERLINK("https://lsnyc.legalserver.org/matter/dynamic-profile/view/1904104","19-1904104")</f>
        <v>0</v>
      </c>
      <c r="B296" t="s">
        <v>96</v>
      </c>
      <c r="C296" t="s">
        <v>1978</v>
      </c>
      <c r="D296" t="s">
        <v>1389</v>
      </c>
      <c r="E296" t="s">
        <v>2419</v>
      </c>
      <c r="F296" t="s">
        <v>1515</v>
      </c>
      <c r="G296" t="s">
        <v>677</v>
      </c>
      <c r="H296">
        <v>10467</v>
      </c>
      <c r="I296" t="s">
        <v>682</v>
      </c>
      <c r="J296" t="s">
        <v>2772</v>
      </c>
      <c r="K296" t="s">
        <v>732</v>
      </c>
      <c r="O296">
        <v>1500</v>
      </c>
      <c r="R296" t="s">
        <v>3161</v>
      </c>
      <c r="T296" t="s">
        <v>3492</v>
      </c>
      <c r="U296">
        <v>0</v>
      </c>
      <c r="V296" t="s">
        <v>1102</v>
      </c>
      <c r="X296">
        <v>1</v>
      </c>
      <c r="Y296">
        <v>1</v>
      </c>
      <c r="Z296">
        <v>0</v>
      </c>
      <c r="AA296">
        <v>0</v>
      </c>
      <c r="AD296" t="s">
        <v>1122</v>
      </c>
      <c r="AE296">
        <v>0</v>
      </c>
      <c r="AK296">
        <v>0</v>
      </c>
      <c r="AM296" t="s">
        <v>77</v>
      </c>
      <c r="AN296" t="s">
        <v>1233</v>
      </c>
      <c r="AO296" t="s">
        <v>1236</v>
      </c>
      <c r="AP296" t="s">
        <v>1214</v>
      </c>
      <c r="AR296" t="s">
        <v>683</v>
      </c>
      <c r="AT296" t="s">
        <v>3589</v>
      </c>
      <c r="AU296" t="s">
        <v>684</v>
      </c>
      <c r="AW296" t="s">
        <v>1282</v>
      </c>
    </row>
    <row r="297" spans="1:49">
      <c r="A297" s="1">
        <f>HYPERLINK("https://lsnyc.legalserver.org/matter/dynamic-profile/view/1905624","19-1905624")</f>
        <v>0</v>
      </c>
      <c r="B297" t="s">
        <v>1751</v>
      </c>
      <c r="C297" t="s">
        <v>191</v>
      </c>
      <c r="D297" t="s">
        <v>352</v>
      </c>
      <c r="E297" t="s">
        <v>2489</v>
      </c>
      <c r="F297" t="s">
        <v>1499</v>
      </c>
      <c r="G297" t="s">
        <v>677</v>
      </c>
      <c r="H297">
        <v>10455</v>
      </c>
      <c r="I297" t="s">
        <v>682</v>
      </c>
      <c r="J297" t="s">
        <v>2851</v>
      </c>
      <c r="K297" t="s">
        <v>732</v>
      </c>
      <c r="O297">
        <v>1468</v>
      </c>
      <c r="R297" t="s">
        <v>3162</v>
      </c>
      <c r="T297" t="s">
        <v>3493</v>
      </c>
      <c r="U297">
        <v>0</v>
      </c>
      <c r="X297">
        <v>13</v>
      </c>
      <c r="Y297">
        <v>2</v>
      </c>
      <c r="Z297">
        <v>0</v>
      </c>
      <c r="AA297">
        <v>236.55</v>
      </c>
      <c r="AD297" t="s">
        <v>1123</v>
      </c>
      <c r="AE297">
        <v>40000</v>
      </c>
      <c r="AK297">
        <v>0</v>
      </c>
      <c r="AM297" t="s">
        <v>77</v>
      </c>
      <c r="AN297" t="s">
        <v>1233</v>
      </c>
      <c r="AO297" t="s">
        <v>1236</v>
      </c>
      <c r="AP297" t="s">
        <v>1175</v>
      </c>
      <c r="AR297" t="s">
        <v>683</v>
      </c>
      <c r="AT297" t="s">
        <v>3589</v>
      </c>
      <c r="AU297" t="s">
        <v>684</v>
      </c>
      <c r="AW297" t="s">
        <v>1282</v>
      </c>
    </row>
    <row r="298" spans="1:49">
      <c r="A298" s="1">
        <f>HYPERLINK("https://lsnyc.legalserver.org/matter/dynamic-profile/view/1903875","19-1903875")</f>
        <v>0</v>
      </c>
      <c r="B298" t="s">
        <v>94</v>
      </c>
      <c r="C298" t="s">
        <v>1979</v>
      </c>
      <c r="D298" t="s">
        <v>2212</v>
      </c>
      <c r="E298" t="s">
        <v>2490</v>
      </c>
      <c r="F298" t="s">
        <v>601</v>
      </c>
      <c r="G298" t="s">
        <v>677</v>
      </c>
      <c r="H298">
        <v>10467</v>
      </c>
      <c r="I298" t="s">
        <v>682</v>
      </c>
      <c r="J298" t="s">
        <v>2852</v>
      </c>
      <c r="K298" t="s">
        <v>732</v>
      </c>
      <c r="O298">
        <v>1235</v>
      </c>
      <c r="R298" t="s">
        <v>3163</v>
      </c>
      <c r="S298" t="s">
        <v>3243</v>
      </c>
      <c r="T298" t="s">
        <v>3494</v>
      </c>
      <c r="U298">
        <v>48</v>
      </c>
      <c r="X298">
        <v>3</v>
      </c>
      <c r="Y298">
        <v>1</v>
      </c>
      <c r="Z298">
        <v>0</v>
      </c>
      <c r="AA298">
        <v>45.86</v>
      </c>
      <c r="AE298">
        <v>5728</v>
      </c>
      <c r="AK298">
        <v>1</v>
      </c>
      <c r="AL298" t="s">
        <v>1198</v>
      </c>
      <c r="AM298" t="s">
        <v>77</v>
      </c>
      <c r="AN298" t="s">
        <v>1234</v>
      </c>
      <c r="AO298" t="s">
        <v>1236</v>
      </c>
      <c r="AP298" t="s">
        <v>1172</v>
      </c>
      <c r="AR298" t="s">
        <v>683</v>
      </c>
      <c r="AT298" t="s">
        <v>3589</v>
      </c>
      <c r="AU298" t="s">
        <v>684</v>
      </c>
      <c r="AW298" t="s">
        <v>1282</v>
      </c>
    </row>
    <row r="299" spans="1:49">
      <c r="A299" s="1">
        <f>HYPERLINK("https://lsnyc.legalserver.org/matter/dynamic-profile/view/1905309","19-1905309")</f>
        <v>0</v>
      </c>
      <c r="B299" t="s">
        <v>85</v>
      </c>
      <c r="C299" t="s">
        <v>1942</v>
      </c>
      <c r="D299" t="s">
        <v>2213</v>
      </c>
      <c r="E299" t="s">
        <v>2491</v>
      </c>
      <c r="F299" t="s">
        <v>641</v>
      </c>
      <c r="G299" t="s">
        <v>677</v>
      </c>
      <c r="H299">
        <v>10457</v>
      </c>
      <c r="I299" t="s">
        <v>682</v>
      </c>
      <c r="J299" t="s">
        <v>2853</v>
      </c>
      <c r="K299" t="s">
        <v>732</v>
      </c>
      <c r="O299">
        <v>1250</v>
      </c>
      <c r="R299" t="s">
        <v>3164</v>
      </c>
      <c r="T299" t="s">
        <v>3495</v>
      </c>
      <c r="U299">
        <v>21</v>
      </c>
      <c r="X299">
        <v>0</v>
      </c>
      <c r="Y299">
        <v>3</v>
      </c>
      <c r="Z299">
        <v>3</v>
      </c>
      <c r="AA299">
        <v>184.39</v>
      </c>
      <c r="AE299">
        <v>63780</v>
      </c>
      <c r="AK299">
        <v>1.7</v>
      </c>
      <c r="AL299" t="s">
        <v>1170</v>
      </c>
      <c r="AM299" t="s">
        <v>77</v>
      </c>
      <c r="AN299" t="s">
        <v>1233</v>
      </c>
      <c r="AO299" t="s">
        <v>1236</v>
      </c>
      <c r="AP299" t="s">
        <v>1166</v>
      </c>
      <c r="AR299" t="s">
        <v>683</v>
      </c>
      <c r="AT299" t="s">
        <v>3589</v>
      </c>
      <c r="AU299" t="s">
        <v>684</v>
      </c>
      <c r="AW299" t="s">
        <v>1282</v>
      </c>
    </row>
    <row r="300" spans="1:49">
      <c r="A300" s="1">
        <f>HYPERLINK("https://lsnyc.legalserver.org/matter/dynamic-profile/view/1898018","19-1898018")</f>
        <v>0</v>
      </c>
      <c r="B300" t="s">
        <v>79</v>
      </c>
      <c r="C300" t="s">
        <v>1864</v>
      </c>
      <c r="D300" t="s">
        <v>290</v>
      </c>
      <c r="E300" t="s">
        <v>2492</v>
      </c>
      <c r="F300" t="s">
        <v>641</v>
      </c>
      <c r="G300" t="s">
        <v>677</v>
      </c>
      <c r="H300">
        <v>10467</v>
      </c>
      <c r="I300" t="s">
        <v>682</v>
      </c>
      <c r="J300" t="s">
        <v>2854</v>
      </c>
      <c r="K300" t="s">
        <v>732</v>
      </c>
      <c r="O300">
        <v>1681</v>
      </c>
      <c r="P300" t="s">
        <v>757</v>
      </c>
      <c r="R300" t="s">
        <v>3165</v>
      </c>
      <c r="S300" t="s">
        <v>3244</v>
      </c>
      <c r="T300" t="s">
        <v>3496</v>
      </c>
      <c r="U300">
        <v>50</v>
      </c>
      <c r="W300" t="s">
        <v>1116</v>
      </c>
      <c r="X300">
        <v>3</v>
      </c>
      <c r="Y300">
        <v>1</v>
      </c>
      <c r="Z300">
        <v>1</v>
      </c>
      <c r="AA300">
        <v>153.76</v>
      </c>
      <c r="AD300" t="s">
        <v>1122</v>
      </c>
      <c r="AE300">
        <v>26000</v>
      </c>
      <c r="AK300">
        <v>9.5</v>
      </c>
      <c r="AL300" t="s">
        <v>1209</v>
      </c>
      <c r="AM300" t="s">
        <v>1229</v>
      </c>
      <c r="AN300" t="s">
        <v>1233</v>
      </c>
      <c r="AO300" t="s">
        <v>1236</v>
      </c>
      <c r="AP300" t="s">
        <v>3579</v>
      </c>
      <c r="AR300" t="s">
        <v>682</v>
      </c>
      <c r="AT300" t="s">
        <v>3589</v>
      </c>
      <c r="AU300" t="s">
        <v>684</v>
      </c>
      <c r="AW300" t="s">
        <v>1282</v>
      </c>
    </row>
    <row r="301" spans="1:49">
      <c r="A301" s="1">
        <f>HYPERLINK("https://lsnyc.legalserver.org/matter/dynamic-profile/view/1901768","19-1901768")</f>
        <v>0</v>
      </c>
      <c r="B301" t="s">
        <v>88</v>
      </c>
      <c r="C301" t="s">
        <v>1980</v>
      </c>
      <c r="D301" t="s">
        <v>2214</v>
      </c>
      <c r="E301" t="s">
        <v>2493</v>
      </c>
      <c r="F301" t="s">
        <v>600</v>
      </c>
      <c r="G301" t="s">
        <v>677</v>
      </c>
      <c r="H301">
        <v>10457</v>
      </c>
      <c r="I301" t="s">
        <v>682</v>
      </c>
      <c r="J301" t="s">
        <v>2855</v>
      </c>
      <c r="K301" t="s">
        <v>732</v>
      </c>
      <c r="O301">
        <v>912.1799999999999</v>
      </c>
      <c r="R301" t="s">
        <v>3166</v>
      </c>
      <c r="T301" t="s">
        <v>3497</v>
      </c>
      <c r="U301">
        <v>0</v>
      </c>
      <c r="X301">
        <v>0</v>
      </c>
      <c r="Y301">
        <v>3</v>
      </c>
      <c r="Z301">
        <v>5</v>
      </c>
      <c r="AA301">
        <v>0</v>
      </c>
      <c r="AD301" t="s">
        <v>1123</v>
      </c>
      <c r="AE301">
        <v>0</v>
      </c>
      <c r="AK301">
        <v>1</v>
      </c>
      <c r="AL301" t="s">
        <v>1162</v>
      </c>
      <c r="AM301" t="s">
        <v>77</v>
      </c>
      <c r="AN301" t="s">
        <v>1233</v>
      </c>
      <c r="AO301" t="s">
        <v>1236</v>
      </c>
      <c r="AP301" t="s">
        <v>1177</v>
      </c>
      <c r="AR301" t="s">
        <v>683</v>
      </c>
      <c r="AT301" t="s">
        <v>3589</v>
      </c>
      <c r="AU301" t="s">
        <v>684</v>
      </c>
      <c r="AW301" t="s">
        <v>1282</v>
      </c>
    </row>
    <row r="302" spans="1:49">
      <c r="A302" s="1">
        <f>HYPERLINK("https://lsnyc.legalserver.org/matter/dynamic-profile/view/1906332","19-1906332")</f>
        <v>0</v>
      </c>
      <c r="B302" t="s">
        <v>94</v>
      </c>
      <c r="C302" t="s">
        <v>120</v>
      </c>
      <c r="D302" t="s">
        <v>2215</v>
      </c>
      <c r="E302" t="s">
        <v>2494</v>
      </c>
      <c r="F302" t="s">
        <v>2589</v>
      </c>
      <c r="G302" t="s">
        <v>677</v>
      </c>
      <c r="H302">
        <v>10457</v>
      </c>
      <c r="I302" t="s">
        <v>682</v>
      </c>
      <c r="J302" t="s">
        <v>2856</v>
      </c>
      <c r="K302" t="s">
        <v>732</v>
      </c>
      <c r="O302">
        <v>543</v>
      </c>
      <c r="R302" t="s">
        <v>3167</v>
      </c>
      <c r="T302" t="s">
        <v>3498</v>
      </c>
      <c r="U302">
        <v>49</v>
      </c>
      <c r="W302" t="s">
        <v>1117</v>
      </c>
      <c r="X302">
        <v>43</v>
      </c>
      <c r="Y302">
        <v>2</v>
      </c>
      <c r="Z302">
        <v>0</v>
      </c>
      <c r="AA302">
        <v>138.73</v>
      </c>
      <c r="AE302">
        <v>23460</v>
      </c>
      <c r="AK302">
        <v>0</v>
      </c>
      <c r="AM302" t="s">
        <v>77</v>
      </c>
      <c r="AN302" t="s">
        <v>1233</v>
      </c>
      <c r="AO302" t="s">
        <v>1236</v>
      </c>
      <c r="AP302" t="s">
        <v>1170</v>
      </c>
      <c r="AR302" t="s">
        <v>683</v>
      </c>
      <c r="AT302" t="s">
        <v>3589</v>
      </c>
      <c r="AW302" t="s">
        <v>1282</v>
      </c>
    </row>
    <row r="303" spans="1:49">
      <c r="A303" s="1">
        <f>HYPERLINK("https://lsnyc.legalserver.org/matter/dynamic-profile/view/1903575","19-1903575")</f>
        <v>0</v>
      </c>
      <c r="B303" t="s">
        <v>94</v>
      </c>
      <c r="C303" t="s">
        <v>1981</v>
      </c>
      <c r="D303" t="s">
        <v>2044</v>
      </c>
      <c r="E303" t="s">
        <v>2495</v>
      </c>
      <c r="F303" t="s">
        <v>2583</v>
      </c>
      <c r="G303" t="s">
        <v>677</v>
      </c>
      <c r="H303">
        <v>10468</v>
      </c>
      <c r="I303" t="s">
        <v>682</v>
      </c>
      <c r="J303" t="s">
        <v>2857</v>
      </c>
      <c r="K303" t="s">
        <v>732</v>
      </c>
      <c r="O303">
        <v>800</v>
      </c>
      <c r="R303" t="s">
        <v>3168</v>
      </c>
      <c r="T303" t="s">
        <v>3499</v>
      </c>
      <c r="U303">
        <v>120</v>
      </c>
      <c r="X303">
        <v>4</v>
      </c>
      <c r="Y303">
        <v>1</v>
      </c>
      <c r="Z303">
        <v>2</v>
      </c>
      <c r="AA303">
        <v>90.01000000000001</v>
      </c>
      <c r="AE303">
        <v>19200</v>
      </c>
      <c r="AK303">
        <v>1</v>
      </c>
      <c r="AL303" t="s">
        <v>1179</v>
      </c>
      <c r="AM303" t="s">
        <v>77</v>
      </c>
      <c r="AN303" t="s">
        <v>1233</v>
      </c>
      <c r="AO303" t="s">
        <v>1236</v>
      </c>
      <c r="AP303" t="s">
        <v>1199</v>
      </c>
      <c r="AR303" t="s">
        <v>683</v>
      </c>
      <c r="AT303" t="s">
        <v>3589</v>
      </c>
      <c r="AU303" t="s">
        <v>684</v>
      </c>
      <c r="AW303" t="s">
        <v>1282</v>
      </c>
    </row>
    <row r="304" spans="1:49">
      <c r="A304" s="1">
        <f>HYPERLINK("https://lsnyc.legalserver.org/matter/dynamic-profile/view/1903351","19-1903351")</f>
        <v>0</v>
      </c>
      <c r="B304" t="s">
        <v>92</v>
      </c>
      <c r="C304" t="s">
        <v>1982</v>
      </c>
      <c r="D304" t="s">
        <v>2216</v>
      </c>
      <c r="E304" t="s">
        <v>2496</v>
      </c>
      <c r="F304" t="s">
        <v>2590</v>
      </c>
      <c r="G304" t="s">
        <v>677</v>
      </c>
      <c r="H304">
        <v>10457</v>
      </c>
      <c r="I304" t="s">
        <v>682</v>
      </c>
      <c r="J304" t="s">
        <v>2858</v>
      </c>
      <c r="K304" t="s">
        <v>732</v>
      </c>
      <c r="O304">
        <v>2100</v>
      </c>
      <c r="R304" t="s">
        <v>2934</v>
      </c>
      <c r="S304" t="s">
        <v>3245</v>
      </c>
      <c r="T304" t="s">
        <v>3500</v>
      </c>
      <c r="U304">
        <v>21</v>
      </c>
      <c r="W304" t="s">
        <v>748</v>
      </c>
      <c r="X304">
        <v>1</v>
      </c>
      <c r="Y304">
        <v>1</v>
      </c>
      <c r="Z304">
        <v>1</v>
      </c>
      <c r="AA304">
        <v>75.84999999999999</v>
      </c>
      <c r="AD304" t="s">
        <v>1122</v>
      </c>
      <c r="AE304">
        <v>12826</v>
      </c>
      <c r="AK304">
        <v>0</v>
      </c>
      <c r="AM304" t="s">
        <v>77</v>
      </c>
      <c r="AN304" t="s">
        <v>1234</v>
      </c>
      <c r="AO304" t="s">
        <v>1236</v>
      </c>
      <c r="AP304" t="s">
        <v>1196</v>
      </c>
      <c r="AR304" t="s">
        <v>683</v>
      </c>
      <c r="AT304" t="s">
        <v>3589</v>
      </c>
      <c r="AU304" t="s">
        <v>684</v>
      </c>
      <c r="AW304" t="s">
        <v>1282</v>
      </c>
    </row>
    <row r="305" spans="1:49">
      <c r="A305" s="1">
        <f>HYPERLINK("https://lsnyc.legalserver.org/matter/dynamic-profile/view/1902999","19-1902999")</f>
        <v>0</v>
      </c>
      <c r="B305" t="s">
        <v>1756</v>
      </c>
      <c r="C305" t="s">
        <v>1347</v>
      </c>
      <c r="D305" t="s">
        <v>2068</v>
      </c>
      <c r="E305" t="s">
        <v>2497</v>
      </c>
      <c r="F305" t="s">
        <v>2591</v>
      </c>
      <c r="G305" t="s">
        <v>677</v>
      </c>
      <c r="H305">
        <v>10462</v>
      </c>
      <c r="I305" t="s">
        <v>682</v>
      </c>
      <c r="J305" t="s">
        <v>2859</v>
      </c>
      <c r="K305" t="s">
        <v>732</v>
      </c>
      <c r="O305">
        <v>959</v>
      </c>
      <c r="R305" t="s">
        <v>3169</v>
      </c>
      <c r="T305" t="s">
        <v>3501</v>
      </c>
      <c r="U305">
        <v>85</v>
      </c>
      <c r="X305">
        <v>30</v>
      </c>
      <c r="Y305">
        <v>2</v>
      </c>
      <c r="Z305">
        <v>0</v>
      </c>
      <c r="AA305">
        <v>74.87</v>
      </c>
      <c r="AD305" t="s">
        <v>1122</v>
      </c>
      <c r="AE305">
        <v>12660</v>
      </c>
      <c r="AK305">
        <v>3</v>
      </c>
      <c r="AL305" t="s">
        <v>1162</v>
      </c>
      <c r="AM305" t="s">
        <v>77</v>
      </c>
      <c r="AN305" t="s">
        <v>1233</v>
      </c>
      <c r="AO305" t="s">
        <v>1236</v>
      </c>
      <c r="AP305" t="s">
        <v>1746</v>
      </c>
      <c r="AR305" t="s">
        <v>683</v>
      </c>
      <c r="AT305" t="s">
        <v>3589</v>
      </c>
      <c r="AU305" t="s">
        <v>684</v>
      </c>
      <c r="AW305" t="s">
        <v>1282</v>
      </c>
    </row>
    <row r="306" spans="1:49">
      <c r="A306" s="1">
        <f>HYPERLINK("https://lsnyc.legalserver.org/matter/dynamic-profile/view/1901255","19-1901255")</f>
        <v>0</v>
      </c>
      <c r="B306" t="s">
        <v>79</v>
      </c>
      <c r="C306" t="s">
        <v>1983</v>
      </c>
      <c r="D306" t="s">
        <v>2217</v>
      </c>
      <c r="E306" t="s">
        <v>2498</v>
      </c>
      <c r="F306" t="s">
        <v>2550</v>
      </c>
      <c r="G306" t="s">
        <v>677</v>
      </c>
      <c r="H306">
        <v>10462</v>
      </c>
      <c r="I306" t="s">
        <v>682</v>
      </c>
      <c r="J306" t="s">
        <v>2860</v>
      </c>
      <c r="K306" t="s">
        <v>732</v>
      </c>
      <c r="O306">
        <v>1336.1</v>
      </c>
      <c r="R306" t="s">
        <v>3170</v>
      </c>
      <c r="T306" t="s">
        <v>3502</v>
      </c>
      <c r="U306">
        <v>0</v>
      </c>
      <c r="V306" t="s">
        <v>1102</v>
      </c>
      <c r="X306">
        <v>0</v>
      </c>
      <c r="Y306">
        <v>1</v>
      </c>
      <c r="Z306">
        <v>0</v>
      </c>
      <c r="AA306">
        <v>232.11</v>
      </c>
      <c r="AD306" t="s">
        <v>1122</v>
      </c>
      <c r="AE306">
        <v>28990</v>
      </c>
      <c r="AF306" t="s">
        <v>3566</v>
      </c>
      <c r="AK306">
        <v>2</v>
      </c>
      <c r="AL306" t="s">
        <v>1162</v>
      </c>
      <c r="AM306" t="s">
        <v>77</v>
      </c>
      <c r="AN306" t="s">
        <v>1233</v>
      </c>
      <c r="AO306" t="s">
        <v>1236</v>
      </c>
      <c r="AP306" t="s">
        <v>1205</v>
      </c>
      <c r="AR306" t="s">
        <v>683</v>
      </c>
      <c r="AT306" t="s">
        <v>3589</v>
      </c>
      <c r="AU306" t="s">
        <v>684</v>
      </c>
      <c r="AW306" t="s">
        <v>1282</v>
      </c>
    </row>
    <row r="307" spans="1:49">
      <c r="A307" s="1">
        <f>HYPERLINK("https://lsnyc.legalserver.org/matter/dynamic-profile/view/1905761","19-1905761")</f>
        <v>0</v>
      </c>
      <c r="B307" t="s">
        <v>58</v>
      </c>
      <c r="C307" t="s">
        <v>1984</v>
      </c>
      <c r="D307" t="s">
        <v>2218</v>
      </c>
      <c r="E307" t="s">
        <v>2499</v>
      </c>
      <c r="F307">
        <v>2</v>
      </c>
      <c r="G307" t="s">
        <v>677</v>
      </c>
      <c r="H307">
        <v>10462</v>
      </c>
      <c r="I307" t="s">
        <v>682</v>
      </c>
      <c r="J307" t="s">
        <v>2861</v>
      </c>
      <c r="K307" t="s">
        <v>732</v>
      </c>
      <c r="O307">
        <v>1900</v>
      </c>
      <c r="R307" t="s">
        <v>3171</v>
      </c>
      <c r="T307" t="s">
        <v>3503</v>
      </c>
      <c r="U307">
        <v>2</v>
      </c>
      <c r="X307">
        <v>1</v>
      </c>
      <c r="Y307">
        <v>1</v>
      </c>
      <c r="Z307">
        <v>3</v>
      </c>
      <c r="AA307">
        <v>170.64</v>
      </c>
      <c r="AE307">
        <v>43940</v>
      </c>
      <c r="AK307">
        <v>0</v>
      </c>
      <c r="AM307" t="s">
        <v>77</v>
      </c>
      <c r="AN307" t="s">
        <v>1233</v>
      </c>
      <c r="AO307" t="s">
        <v>1236</v>
      </c>
      <c r="AP307" t="s">
        <v>1165</v>
      </c>
      <c r="AR307" t="s">
        <v>683</v>
      </c>
      <c r="AT307" t="s">
        <v>3589</v>
      </c>
      <c r="AW307" t="s">
        <v>1282</v>
      </c>
    </row>
    <row r="308" spans="1:49">
      <c r="A308" s="1">
        <f>HYPERLINK("https://lsnyc.legalserver.org/matter/dynamic-profile/view/1904677","19-1904677")</f>
        <v>0</v>
      </c>
      <c r="B308" t="s">
        <v>1758</v>
      </c>
      <c r="C308" t="s">
        <v>171</v>
      </c>
      <c r="D308" t="s">
        <v>1371</v>
      </c>
      <c r="E308" t="s">
        <v>2500</v>
      </c>
      <c r="F308">
        <v>802</v>
      </c>
      <c r="G308" t="s">
        <v>677</v>
      </c>
      <c r="H308">
        <v>10468</v>
      </c>
      <c r="I308" t="s">
        <v>682</v>
      </c>
      <c r="J308" t="s">
        <v>2862</v>
      </c>
      <c r="K308" t="s">
        <v>732</v>
      </c>
      <c r="O308">
        <v>0</v>
      </c>
      <c r="P308" t="s">
        <v>753</v>
      </c>
      <c r="R308" t="s">
        <v>3172</v>
      </c>
      <c r="T308" t="s">
        <v>3504</v>
      </c>
      <c r="U308">
        <v>0</v>
      </c>
      <c r="V308" t="s">
        <v>1105</v>
      </c>
      <c r="W308" t="s">
        <v>1115</v>
      </c>
      <c r="X308">
        <v>3</v>
      </c>
      <c r="Y308">
        <v>1</v>
      </c>
      <c r="Z308">
        <v>0</v>
      </c>
      <c r="AA308">
        <v>80.42</v>
      </c>
      <c r="AD308" t="s">
        <v>1122</v>
      </c>
      <c r="AE308">
        <v>10044</v>
      </c>
      <c r="AK308">
        <v>0</v>
      </c>
      <c r="AM308" t="s">
        <v>1231</v>
      </c>
      <c r="AN308" t="s">
        <v>1233</v>
      </c>
      <c r="AO308" t="s">
        <v>1236</v>
      </c>
      <c r="AP308" t="s">
        <v>1173</v>
      </c>
      <c r="AR308" t="s">
        <v>683</v>
      </c>
      <c r="AT308" t="s">
        <v>3589</v>
      </c>
      <c r="AU308" t="s">
        <v>684</v>
      </c>
      <c r="AW308" t="s">
        <v>1282</v>
      </c>
    </row>
    <row r="309" spans="1:49">
      <c r="A309" s="1">
        <f>HYPERLINK("https://lsnyc.legalserver.org/matter/dynamic-profile/view/1905970","19-1905970")</f>
        <v>0</v>
      </c>
      <c r="B309" t="s">
        <v>1755</v>
      </c>
      <c r="C309" t="s">
        <v>1985</v>
      </c>
      <c r="D309" t="s">
        <v>2219</v>
      </c>
      <c r="E309" t="s">
        <v>2501</v>
      </c>
      <c r="F309">
        <v>3</v>
      </c>
      <c r="G309" t="s">
        <v>677</v>
      </c>
      <c r="H309">
        <v>10457</v>
      </c>
      <c r="I309" t="s">
        <v>682</v>
      </c>
      <c r="J309" t="s">
        <v>2863</v>
      </c>
      <c r="K309" t="s">
        <v>732</v>
      </c>
      <c r="O309">
        <v>2200</v>
      </c>
      <c r="P309" t="s">
        <v>753</v>
      </c>
      <c r="R309" t="s">
        <v>3173</v>
      </c>
      <c r="S309">
        <v>5816238</v>
      </c>
      <c r="T309" t="s">
        <v>3505</v>
      </c>
      <c r="U309">
        <v>3</v>
      </c>
      <c r="V309" t="s">
        <v>1104</v>
      </c>
      <c r="W309" t="s">
        <v>1116</v>
      </c>
      <c r="X309">
        <v>2</v>
      </c>
      <c r="Y309">
        <v>2</v>
      </c>
      <c r="Z309">
        <v>5</v>
      </c>
      <c r="AA309">
        <v>42.73</v>
      </c>
      <c r="AD309" t="s">
        <v>1122</v>
      </c>
      <c r="AE309">
        <v>16668</v>
      </c>
      <c r="AK309">
        <v>1.25</v>
      </c>
      <c r="AL309" t="s">
        <v>1206</v>
      </c>
      <c r="AM309" t="s">
        <v>1231</v>
      </c>
      <c r="AO309" t="s">
        <v>1236</v>
      </c>
      <c r="AP309" t="s">
        <v>1211</v>
      </c>
      <c r="AR309" t="s">
        <v>683</v>
      </c>
      <c r="AT309" t="s">
        <v>3589</v>
      </c>
      <c r="AU309" t="s">
        <v>684</v>
      </c>
      <c r="AW309" t="s">
        <v>1282</v>
      </c>
    </row>
    <row r="310" spans="1:49">
      <c r="A310" s="1">
        <f>HYPERLINK("https://lsnyc.legalserver.org/matter/dynamic-profile/view/1904882","19-1904882")</f>
        <v>0</v>
      </c>
      <c r="B310" t="s">
        <v>1757</v>
      </c>
      <c r="C310" t="s">
        <v>1986</v>
      </c>
      <c r="D310" t="s">
        <v>2220</v>
      </c>
      <c r="E310" t="s">
        <v>2480</v>
      </c>
      <c r="F310" t="s">
        <v>2592</v>
      </c>
      <c r="G310" t="s">
        <v>677</v>
      </c>
      <c r="H310">
        <v>10467</v>
      </c>
      <c r="I310" t="s">
        <v>682</v>
      </c>
      <c r="J310" t="s">
        <v>2864</v>
      </c>
      <c r="K310" t="s">
        <v>732</v>
      </c>
      <c r="O310">
        <v>550</v>
      </c>
      <c r="P310" t="s">
        <v>752</v>
      </c>
      <c r="R310" t="s">
        <v>3174</v>
      </c>
      <c r="T310" t="s">
        <v>3506</v>
      </c>
      <c r="U310">
        <v>0</v>
      </c>
      <c r="V310" t="s">
        <v>1112</v>
      </c>
      <c r="W310" t="s">
        <v>1115</v>
      </c>
      <c r="X310">
        <v>13</v>
      </c>
      <c r="Y310">
        <v>1</v>
      </c>
      <c r="Z310">
        <v>0</v>
      </c>
      <c r="AA310">
        <v>77.02</v>
      </c>
      <c r="AD310" t="s">
        <v>1122</v>
      </c>
      <c r="AE310">
        <v>9620</v>
      </c>
      <c r="AK310">
        <v>0.5</v>
      </c>
      <c r="AL310" t="s">
        <v>1161</v>
      </c>
      <c r="AM310" t="s">
        <v>1215</v>
      </c>
      <c r="AN310" t="s">
        <v>1233</v>
      </c>
      <c r="AO310" t="s">
        <v>1236</v>
      </c>
      <c r="AP310" t="s">
        <v>1161</v>
      </c>
      <c r="AR310" t="s">
        <v>683</v>
      </c>
      <c r="AT310" t="s">
        <v>3589</v>
      </c>
      <c r="AU310" t="s">
        <v>684</v>
      </c>
      <c r="AW310" t="s">
        <v>1282</v>
      </c>
    </row>
    <row r="311" spans="1:49">
      <c r="A311" s="1">
        <f>HYPERLINK("https://lsnyc.legalserver.org/matter/dynamic-profile/view/1902842","19-1902842")</f>
        <v>0</v>
      </c>
      <c r="B311" t="s">
        <v>1751</v>
      </c>
      <c r="C311" t="s">
        <v>1987</v>
      </c>
      <c r="D311" t="s">
        <v>2221</v>
      </c>
      <c r="E311" t="s">
        <v>2502</v>
      </c>
      <c r="F311" t="s">
        <v>2593</v>
      </c>
      <c r="G311" t="s">
        <v>677</v>
      </c>
      <c r="H311">
        <v>10467</v>
      </c>
      <c r="I311" t="s">
        <v>682</v>
      </c>
      <c r="J311" t="s">
        <v>2865</v>
      </c>
      <c r="K311" t="s">
        <v>732</v>
      </c>
      <c r="M311" t="s">
        <v>744</v>
      </c>
      <c r="O311">
        <v>1300</v>
      </c>
      <c r="R311" t="s">
        <v>3175</v>
      </c>
      <c r="T311" t="s">
        <v>3507</v>
      </c>
      <c r="U311">
        <v>94</v>
      </c>
      <c r="X311">
        <v>1</v>
      </c>
      <c r="Y311">
        <v>1</v>
      </c>
      <c r="Z311">
        <v>1</v>
      </c>
      <c r="AA311">
        <v>150.68</v>
      </c>
      <c r="AD311" t="s">
        <v>1122</v>
      </c>
      <c r="AE311">
        <v>25480</v>
      </c>
      <c r="AK311">
        <v>5</v>
      </c>
      <c r="AL311" t="s">
        <v>1166</v>
      </c>
      <c r="AM311" t="s">
        <v>77</v>
      </c>
      <c r="AN311" t="s">
        <v>1233</v>
      </c>
      <c r="AO311" t="s">
        <v>1236</v>
      </c>
      <c r="AP311" t="s">
        <v>1178</v>
      </c>
      <c r="AR311" t="s">
        <v>683</v>
      </c>
      <c r="AT311" t="s">
        <v>3589</v>
      </c>
      <c r="AU311" t="s">
        <v>684</v>
      </c>
      <c r="AW311" t="s">
        <v>1282</v>
      </c>
    </row>
    <row r="312" spans="1:49">
      <c r="A312" s="1">
        <f>HYPERLINK("https://lsnyc.legalserver.org/matter/dynamic-profile/view/1904119","19-1904119")</f>
        <v>0</v>
      </c>
      <c r="B312" t="s">
        <v>94</v>
      </c>
      <c r="C312" t="s">
        <v>1988</v>
      </c>
      <c r="D312" t="s">
        <v>2222</v>
      </c>
      <c r="E312" t="s">
        <v>2503</v>
      </c>
      <c r="F312" t="s">
        <v>1499</v>
      </c>
      <c r="G312" t="s">
        <v>677</v>
      </c>
      <c r="H312">
        <v>10456</v>
      </c>
      <c r="I312" t="s">
        <v>682</v>
      </c>
      <c r="J312" t="s">
        <v>2866</v>
      </c>
      <c r="K312" t="s">
        <v>732</v>
      </c>
      <c r="O312">
        <v>0</v>
      </c>
      <c r="R312" t="s">
        <v>3176</v>
      </c>
      <c r="S312" t="s">
        <v>3246</v>
      </c>
      <c r="T312" t="s">
        <v>3508</v>
      </c>
      <c r="U312">
        <v>0</v>
      </c>
      <c r="V312" t="s">
        <v>1102</v>
      </c>
      <c r="X312">
        <v>15</v>
      </c>
      <c r="Y312">
        <v>2</v>
      </c>
      <c r="Z312">
        <v>1</v>
      </c>
      <c r="AA312">
        <v>100.44</v>
      </c>
      <c r="AD312" t="s">
        <v>1122</v>
      </c>
      <c r="AE312">
        <v>21424</v>
      </c>
      <c r="AK312">
        <v>1.5</v>
      </c>
      <c r="AL312" t="s">
        <v>1175</v>
      </c>
      <c r="AM312" t="s">
        <v>77</v>
      </c>
      <c r="AN312" t="s">
        <v>1234</v>
      </c>
      <c r="AO312" t="s">
        <v>1236</v>
      </c>
      <c r="AP312" t="s">
        <v>1214</v>
      </c>
      <c r="AR312" t="s">
        <v>683</v>
      </c>
      <c r="AT312" t="s">
        <v>3589</v>
      </c>
      <c r="AU312" t="s">
        <v>684</v>
      </c>
      <c r="AW312" t="s">
        <v>1282</v>
      </c>
    </row>
    <row r="313" spans="1:49">
      <c r="A313" s="1">
        <f>HYPERLINK("https://lsnyc.legalserver.org/matter/dynamic-profile/view/1905648","19-1905648")</f>
        <v>0</v>
      </c>
      <c r="B313" t="s">
        <v>66</v>
      </c>
      <c r="C313" t="s">
        <v>174</v>
      </c>
      <c r="D313" t="s">
        <v>2223</v>
      </c>
      <c r="E313" t="s">
        <v>2504</v>
      </c>
      <c r="F313" t="s">
        <v>646</v>
      </c>
      <c r="G313" t="s">
        <v>677</v>
      </c>
      <c r="H313">
        <v>10457</v>
      </c>
      <c r="I313" t="s">
        <v>682</v>
      </c>
      <c r="J313" t="s">
        <v>2867</v>
      </c>
      <c r="K313" t="s">
        <v>732</v>
      </c>
      <c r="O313">
        <v>1800</v>
      </c>
      <c r="P313" t="s">
        <v>752</v>
      </c>
      <c r="R313" t="s">
        <v>3177</v>
      </c>
      <c r="T313" t="s">
        <v>3509</v>
      </c>
      <c r="U313">
        <v>0</v>
      </c>
      <c r="V313" t="s">
        <v>1105</v>
      </c>
      <c r="W313" t="s">
        <v>1116</v>
      </c>
      <c r="X313">
        <v>5</v>
      </c>
      <c r="Y313">
        <v>1</v>
      </c>
      <c r="Z313">
        <v>0</v>
      </c>
      <c r="AA313">
        <v>48.04</v>
      </c>
      <c r="AD313" t="s">
        <v>1122</v>
      </c>
      <c r="AE313">
        <v>6000</v>
      </c>
      <c r="AK313">
        <v>0.5</v>
      </c>
      <c r="AL313" t="s">
        <v>1165</v>
      </c>
      <c r="AM313" t="s">
        <v>1215</v>
      </c>
      <c r="AN313" t="s">
        <v>1233</v>
      </c>
      <c r="AO313" t="s">
        <v>1236</v>
      </c>
      <c r="AP313" t="s">
        <v>1165</v>
      </c>
      <c r="AR313" t="s">
        <v>683</v>
      </c>
      <c r="AT313" t="s">
        <v>3589</v>
      </c>
      <c r="AU313" t="s">
        <v>684</v>
      </c>
      <c r="AW313" t="s">
        <v>1282</v>
      </c>
    </row>
    <row r="314" spans="1:49">
      <c r="A314" s="1">
        <f>HYPERLINK("https://lsnyc.legalserver.org/matter/dynamic-profile/view/1903551","19-1903551")</f>
        <v>0</v>
      </c>
      <c r="B314" t="s">
        <v>85</v>
      </c>
      <c r="C314" t="s">
        <v>1989</v>
      </c>
      <c r="D314" t="s">
        <v>2224</v>
      </c>
      <c r="E314" t="s">
        <v>2505</v>
      </c>
      <c r="F314" t="s">
        <v>1510</v>
      </c>
      <c r="G314" t="s">
        <v>677</v>
      </c>
      <c r="H314">
        <v>10457</v>
      </c>
      <c r="I314" t="s">
        <v>682</v>
      </c>
      <c r="J314" t="s">
        <v>2868</v>
      </c>
      <c r="K314" t="s">
        <v>732</v>
      </c>
      <c r="M314" t="s">
        <v>744</v>
      </c>
      <c r="O314">
        <v>1400</v>
      </c>
      <c r="R314" t="s">
        <v>3178</v>
      </c>
      <c r="S314" t="s">
        <v>3247</v>
      </c>
      <c r="T314" t="s">
        <v>3510</v>
      </c>
      <c r="U314">
        <v>30</v>
      </c>
      <c r="V314" t="s">
        <v>1102</v>
      </c>
      <c r="W314" t="s">
        <v>1116</v>
      </c>
      <c r="X314">
        <v>6</v>
      </c>
      <c r="Y314">
        <v>2</v>
      </c>
      <c r="Z314">
        <v>1</v>
      </c>
      <c r="AA314">
        <v>34.09</v>
      </c>
      <c r="AD314" t="s">
        <v>1123</v>
      </c>
      <c r="AE314">
        <v>7272</v>
      </c>
      <c r="AK314">
        <v>8.75</v>
      </c>
      <c r="AL314" t="s">
        <v>1170</v>
      </c>
      <c r="AM314" t="s">
        <v>77</v>
      </c>
      <c r="AN314" t="s">
        <v>1233</v>
      </c>
      <c r="AO314" t="s">
        <v>1236</v>
      </c>
      <c r="AP314" t="s">
        <v>1199</v>
      </c>
      <c r="AR314" t="s">
        <v>683</v>
      </c>
      <c r="AT314" t="s">
        <v>3589</v>
      </c>
      <c r="AU314" t="s">
        <v>684</v>
      </c>
      <c r="AW314" t="s">
        <v>1282</v>
      </c>
    </row>
    <row r="315" spans="1:49">
      <c r="A315" s="1">
        <f>HYPERLINK("https://lsnyc.legalserver.org/matter/dynamic-profile/view/1904085","19-1904085")</f>
        <v>0</v>
      </c>
      <c r="B315" t="s">
        <v>66</v>
      </c>
      <c r="C315" t="s">
        <v>1990</v>
      </c>
      <c r="D315" t="s">
        <v>2225</v>
      </c>
      <c r="E315" t="s">
        <v>2506</v>
      </c>
      <c r="F315" t="s">
        <v>659</v>
      </c>
      <c r="G315" t="s">
        <v>677</v>
      </c>
      <c r="H315">
        <v>10468</v>
      </c>
      <c r="I315" t="s">
        <v>682</v>
      </c>
      <c r="J315" t="s">
        <v>2869</v>
      </c>
      <c r="K315" t="s">
        <v>732</v>
      </c>
      <c r="O315">
        <v>1705</v>
      </c>
      <c r="R315" t="s">
        <v>3179</v>
      </c>
      <c r="T315" t="s">
        <v>3511</v>
      </c>
      <c r="U315">
        <v>0</v>
      </c>
      <c r="X315">
        <v>2</v>
      </c>
      <c r="Y315">
        <v>2</v>
      </c>
      <c r="Z315">
        <v>2</v>
      </c>
      <c r="AA315">
        <v>136.31</v>
      </c>
      <c r="AD315" t="s">
        <v>1123</v>
      </c>
      <c r="AE315">
        <v>35100</v>
      </c>
      <c r="AK315">
        <v>1.5</v>
      </c>
      <c r="AL315" t="s">
        <v>1158</v>
      </c>
      <c r="AM315" t="s">
        <v>77</v>
      </c>
      <c r="AN315" t="s">
        <v>1233</v>
      </c>
      <c r="AO315" t="s">
        <v>1236</v>
      </c>
      <c r="AP315" t="s">
        <v>1214</v>
      </c>
      <c r="AR315" t="s">
        <v>683</v>
      </c>
      <c r="AT315" t="s">
        <v>3589</v>
      </c>
      <c r="AW315" t="s">
        <v>1282</v>
      </c>
    </row>
    <row r="316" spans="1:49">
      <c r="A316" s="1">
        <f>HYPERLINK("https://lsnyc.legalserver.org/matter/dynamic-profile/view/1906351","19-1906351")</f>
        <v>0</v>
      </c>
      <c r="B316" t="s">
        <v>77</v>
      </c>
      <c r="C316" t="s">
        <v>1991</v>
      </c>
      <c r="D316" t="s">
        <v>2165</v>
      </c>
      <c r="E316" t="s">
        <v>2507</v>
      </c>
      <c r="F316" t="s">
        <v>2594</v>
      </c>
      <c r="G316" t="s">
        <v>677</v>
      </c>
      <c r="H316">
        <v>10468</v>
      </c>
      <c r="I316" t="s">
        <v>684</v>
      </c>
      <c r="J316" t="s">
        <v>2870</v>
      </c>
      <c r="K316" t="s">
        <v>732</v>
      </c>
      <c r="O316">
        <v>1300</v>
      </c>
      <c r="R316" t="s">
        <v>3180</v>
      </c>
      <c r="U316">
        <v>72</v>
      </c>
      <c r="X316">
        <v>3</v>
      </c>
      <c r="Y316">
        <v>1</v>
      </c>
      <c r="Z316">
        <v>0</v>
      </c>
      <c r="AA316">
        <v>480.38</v>
      </c>
      <c r="AD316" t="s">
        <v>1122</v>
      </c>
      <c r="AE316">
        <v>60000</v>
      </c>
      <c r="AK316">
        <v>0</v>
      </c>
      <c r="AM316" t="s">
        <v>77</v>
      </c>
      <c r="AO316" t="s">
        <v>1236</v>
      </c>
      <c r="AP316" t="s">
        <v>1170</v>
      </c>
      <c r="AR316" t="s">
        <v>683</v>
      </c>
      <c r="AT316" t="s">
        <v>3589</v>
      </c>
      <c r="AU316" t="s">
        <v>684</v>
      </c>
      <c r="AW316" t="s">
        <v>1282</v>
      </c>
    </row>
    <row r="317" spans="1:49">
      <c r="A317" s="1">
        <f>HYPERLINK("https://lsnyc.legalserver.org/matter/dynamic-profile/view/1899952","19-1899952")</f>
        <v>0</v>
      </c>
      <c r="B317" t="s">
        <v>93</v>
      </c>
      <c r="C317" t="s">
        <v>1992</v>
      </c>
      <c r="D317" t="s">
        <v>2226</v>
      </c>
      <c r="E317" t="s">
        <v>2442</v>
      </c>
      <c r="F317" t="s">
        <v>636</v>
      </c>
      <c r="G317" t="s">
        <v>677</v>
      </c>
      <c r="H317">
        <v>10457</v>
      </c>
      <c r="I317" t="s">
        <v>684</v>
      </c>
      <c r="J317" t="s">
        <v>2871</v>
      </c>
      <c r="K317" t="s">
        <v>732</v>
      </c>
      <c r="O317">
        <v>1151.46</v>
      </c>
      <c r="R317" t="s">
        <v>3181</v>
      </c>
      <c r="U317">
        <v>0</v>
      </c>
      <c r="X317">
        <v>6</v>
      </c>
      <c r="Y317">
        <v>1</v>
      </c>
      <c r="Z317">
        <v>0</v>
      </c>
      <c r="AA317">
        <v>0</v>
      </c>
      <c r="AD317" t="s">
        <v>1122</v>
      </c>
      <c r="AE317">
        <v>0</v>
      </c>
      <c r="AF317" t="s">
        <v>3567</v>
      </c>
      <c r="AK317">
        <v>3.4</v>
      </c>
      <c r="AL317" t="s">
        <v>1169</v>
      </c>
      <c r="AM317" t="s">
        <v>77</v>
      </c>
      <c r="AN317" t="s">
        <v>1233</v>
      </c>
      <c r="AO317" t="s">
        <v>1236</v>
      </c>
      <c r="AP317" t="s">
        <v>1183</v>
      </c>
      <c r="AR317" t="s">
        <v>683</v>
      </c>
      <c r="AT317" t="s">
        <v>3589</v>
      </c>
      <c r="AW317" t="s">
        <v>1282</v>
      </c>
    </row>
    <row r="318" spans="1:49">
      <c r="A318" s="1">
        <f>HYPERLINK("https://lsnyc.legalserver.org/matter/dynamic-profile/view/1902058","19-1902058")</f>
        <v>0</v>
      </c>
      <c r="B318" t="s">
        <v>94</v>
      </c>
      <c r="C318" t="s">
        <v>1993</v>
      </c>
      <c r="D318" t="s">
        <v>2227</v>
      </c>
      <c r="E318" t="s">
        <v>2508</v>
      </c>
      <c r="F318" t="s">
        <v>2595</v>
      </c>
      <c r="G318" t="s">
        <v>677</v>
      </c>
      <c r="H318">
        <v>10468</v>
      </c>
      <c r="I318" t="s">
        <v>682</v>
      </c>
      <c r="J318" t="s">
        <v>2872</v>
      </c>
      <c r="K318" t="s">
        <v>732</v>
      </c>
      <c r="O318">
        <v>1518</v>
      </c>
      <c r="R318" t="s">
        <v>3182</v>
      </c>
      <c r="U318">
        <v>0</v>
      </c>
      <c r="W318" t="s">
        <v>1115</v>
      </c>
      <c r="X318">
        <v>14</v>
      </c>
      <c r="Y318">
        <v>1</v>
      </c>
      <c r="Z318">
        <v>0</v>
      </c>
      <c r="AA318">
        <v>73.02</v>
      </c>
      <c r="AD318" t="s">
        <v>1122</v>
      </c>
      <c r="AE318">
        <v>9120</v>
      </c>
      <c r="AK318">
        <v>1.5</v>
      </c>
      <c r="AL318" t="s">
        <v>1214</v>
      </c>
      <c r="AM318" t="s">
        <v>77</v>
      </c>
      <c r="AN318" t="s">
        <v>1233</v>
      </c>
      <c r="AO318" t="s">
        <v>1236</v>
      </c>
      <c r="AP318" t="s">
        <v>1197</v>
      </c>
      <c r="AR318" t="s">
        <v>683</v>
      </c>
      <c r="AT318" t="s">
        <v>3589</v>
      </c>
      <c r="AU318" t="s">
        <v>684</v>
      </c>
      <c r="AW318" t="s">
        <v>1282</v>
      </c>
    </row>
    <row r="319" spans="1:49">
      <c r="A319" s="1">
        <f>HYPERLINK("https://lsnyc.legalserver.org/matter/dynamic-profile/view/1899046","19-1899046")</f>
        <v>0</v>
      </c>
      <c r="B319" t="s">
        <v>1757</v>
      </c>
      <c r="C319" t="s">
        <v>1994</v>
      </c>
      <c r="D319" t="s">
        <v>332</v>
      </c>
      <c r="E319" t="s">
        <v>2509</v>
      </c>
      <c r="F319" t="s">
        <v>2596</v>
      </c>
      <c r="G319" t="s">
        <v>677</v>
      </c>
      <c r="H319">
        <v>10457</v>
      </c>
      <c r="I319" t="s">
        <v>682</v>
      </c>
      <c r="J319" t="s">
        <v>2873</v>
      </c>
      <c r="K319" t="s">
        <v>732</v>
      </c>
      <c r="O319">
        <v>0</v>
      </c>
      <c r="P319" t="s">
        <v>757</v>
      </c>
      <c r="R319" t="s">
        <v>3183</v>
      </c>
      <c r="U319">
        <v>0</v>
      </c>
      <c r="W319" t="s">
        <v>1115</v>
      </c>
      <c r="X319">
        <v>0</v>
      </c>
      <c r="Y319">
        <v>1</v>
      </c>
      <c r="Z319">
        <v>1</v>
      </c>
      <c r="AA319">
        <v>88.7</v>
      </c>
      <c r="AD319" t="s">
        <v>1122</v>
      </c>
      <c r="AE319">
        <v>15000</v>
      </c>
      <c r="AK319">
        <v>0.75</v>
      </c>
      <c r="AL319" t="s">
        <v>1178</v>
      </c>
      <c r="AM319" t="s">
        <v>1215</v>
      </c>
      <c r="AN319" t="s">
        <v>1233</v>
      </c>
      <c r="AO319" t="s">
        <v>1236</v>
      </c>
      <c r="AP319" t="s">
        <v>1247</v>
      </c>
      <c r="AR319" t="s">
        <v>683</v>
      </c>
      <c r="AT319" t="s">
        <v>3589</v>
      </c>
      <c r="AU319" t="s">
        <v>684</v>
      </c>
      <c r="AW319" t="s">
        <v>1282</v>
      </c>
    </row>
    <row r="320" spans="1:49">
      <c r="A320" s="1">
        <f>HYPERLINK("https://lsnyc.legalserver.org/matter/dynamic-profile/view/1905320","19-1905320")</f>
        <v>0</v>
      </c>
      <c r="B320" t="s">
        <v>1757</v>
      </c>
      <c r="C320" t="s">
        <v>1967</v>
      </c>
      <c r="D320" t="s">
        <v>331</v>
      </c>
      <c r="E320" t="s">
        <v>2510</v>
      </c>
      <c r="F320" t="s">
        <v>1534</v>
      </c>
      <c r="G320" t="s">
        <v>677</v>
      </c>
      <c r="H320">
        <v>10467</v>
      </c>
      <c r="I320" t="s">
        <v>682</v>
      </c>
      <c r="J320" t="s">
        <v>2874</v>
      </c>
      <c r="K320" t="s">
        <v>732</v>
      </c>
      <c r="O320">
        <v>1201.06</v>
      </c>
      <c r="R320" t="s">
        <v>3184</v>
      </c>
      <c r="U320">
        <v>54</v>
      </c>
      <c r="X320">
        <v>0</v>
      </c>
      <c r="Y320">
        <v>1</v>
      </c>
      <c r="Z320">
        <v>0</v>
      </c>
      <c r="AA320">
        <v>76.86</v>
      </c>
      <c r="AD320" t="s">
        <v>1122</v>
      </c>
      <c r="AE320">
        <v>9600</v>
      </c>
      <c r="AK320">
        <v>0</v>
      </c>
      <c r="AM320" t="s">
        <v>77</v>
      </c>
      <c r="AN320" t="s">
        <v>1233</v>
      </c>
      <c r="AO320" t="s">
        <v>1236</v>
      </c>
      <c r="AP320" t="s">
        <v>1166</v>
      </c>
      <c r="AR320" t="s">
        <v>683</v>
      </c>
      <c r="AT320" t="s">
        <v>3589</v>
      </c>
      <c r="AU320" t="s">
        <v>684</v>
      </c>
      <c r="AW320" t="s">
        <v>1282</v>
      </c>
    </row>
    <row r="321" spans="1:49">
      <c r="A321" s="1">
        <f>HYPERLINK("https://lsnyc.legalserver.org/matter/dynamic-profile/view/1902314","19-1902314")</f>
        <v>0</v>
      </c>
      <c r="B321" t="s">
        <v>66</v>
      </c>
      <c r="C321" t="s">
        <v>1995</v>
      </c>
      <c r="D321" t="s">
        <v>2228</v>
      </c>
      <c r="E321" t="s">
        <v>2511</v>
      </c>
      <c r="F321" t="s">
        <v>641</v>
      </c>
      <c r="G321" t="s">
        <v>677</v>
      </c>
      <c r="H321">
        <v>10457</v>
      </c>
      <c r="I321" t="s">
        <v>682</v>
      </c>
      <c r="J321" t="s">
        <v>2875</v>
      </c>
      <c r="K321" t="s">
        <v>732</v>
      </c>
      <c r="O321">
        <v>1683</v>
      </c>
      <c r="R321" t="s">
        <v>3185</v>
      </c>
      <c r="U321">
        <v>0</v>
      </c>
      <c r="X321">
        <v>0</v>
      </c>
      <c r="Y321">
        <v>3</v>
      </c>
      <c r="Z321">
        <v>0</v>
      </c>
      <c r="AA321">
        <v>250.07</v>
      </c>
      <c r="AD321" t="s">
        <v>1122</v>
      </c>
      <c r="AE321">
        <v>53339</v>
      </c>
      <c r="AK321">
        <v>9</v>
      </c>
      <c r="AL321" t="s">
        <v>1157</v>
      </c>
      <c r="AM321" t="s">
        <v>77</v>
      </c>
      <c r="AN321" t="s">
        <v>1233</v>
      </c>
      <c r="AO321" t="s">
        <v>1236</v>
      </c>
      <c r="AP321" t="s">
        <v>1194</v>
      </c>
      <c r="AR321" t="s">
        <v>683</v>
      </c>
      <c r="AT321" t="s">
        <v>3589</v>
      </c>
      <c r="AU321" t="s">
        <v>684</v>
      </c>
      <c r="AW321" t="s">
        <v>1282</v>
      </c>
    </row>
    <row r="322" spans="1:49">
      <c r="A322" s="1">
        <f>HYPERLINK("https://lsnyc.legalserver.org/matter/dynamic-profile/view/1901971","19-1901971")</f>
        <v>0</v>
      </c>
      <c r="B322" t="s">
        <v>79</v>
      </c>
      <c r="C322" t="s">
        <v>1292</v>
      </c>
      <c r="D322" t="s">
        <v>2229</v>
      </c>
      <c r="E322" t="s">
        <v>2512</v>
      </c>
      <c r="F322" t="s">
        <v>1499</v>
      </c>
      <c r="G322" t="s">
        <v>677</v>
      </c>
      <c r="H322">
        <v>10467</v>
      </c>
      <c r="I322" t="s">
        <v>683</v>
      </c>
      <c r="J322" t="s">
        <v>2876</v>
      </c>
      <c r="K322" t="s">
        <v>732</v>
      </c>
      <c r="O322">
        <v>1285</v>
      </c>
      <c r="P322" t="s">
        <v>753</v>
      </c>
      <c r="R322" t="s">
        <v>3186</v>
      </c>
      <c r="U322">
        <v>0</v>
      </c>
      <c r="W322" t="s">
        <v>1116</v>
      </c>
      <c r="X322">
        <v>3</v>
      </c>
      <c r="Y322">
        <v>1</v>
      </c>
      <c r="Z322">
        <v>4</v>
      </c>
      <c r="AA322">
        <v>23.86</v>
      </c>
      <c r="AD322" t="s">
        <v>1123</v>
      </c>
      <c r="AE322">
        <v>7200</v>
      </c>
      <c r="AK322">
        <v>5.5</v>
      </c>
      <c r="AL322" t="s">
        <v>1172</v>
      </c>
      <c r="AM322" t="s">
        <v>1231</v>
      </c>
      <c r="AO322" t="s">
        <v>1236</v>
      </c>
      <c r="AP322" t="s">
        <v>1197</v>
      </c>
      <c r="AR322" t="s">
        <v>683</v>
      </c>
      <c r="AT322" t="s">
        <v>3589</v>
      </c>
      <c r="AU322" t="s">
        <v>684</v>
      </c>
      <c r="AW322" t="s">
        <v>1282</v>
      </c>
    </row>
    <row r="323" spans="1:49">
      <c r="A323" s="1">
        <f>HYPERLINK("https://lsnyc.legalserver.org/matter/dynamic-profile/view/1904108","19-1904108")</f>
        <v>0</v>
      </c>
      <c r="B323" t="s">
        <v>1756</v>
      </c>
      <c r="C323" t="s">
        <v>1996</v>
      </c>
      <c r="D323" t="s">
        <v>2007</v>
      </c>
      <c r="E323" t="s">
        <v>2513</v>
      </c>
      <c r="F323" t="s">
        <v>659</v>
      </c>
      <c r="G323" t="s">
        <v>677</v>
      </c>
      <c r="H323">
        <v>10468</v>
      </c>
      <c r="I323" t="s">
        <v>682</v>
      </c>
      <c r="J323" t="s">
        <v>2877</v>
      </c>
      <c r="K323" t="s">
        <v>732</v>
      </c>
      <c r="O323">
        <v>1807</v>
      </c>
      <c r="R323" t="s">
        <v>3187</v>
      </c>
      <c r="U323">
        <v>0</v>
      </c>
      <c r="X323">
        <v>0</v>
      </c>
      <c r="Y323">
        <v>2</v>
      </c>
      <c r="Z323">
        <v>3</v>
      </c>
      <c r="AA323">
        <v>110.31</v>
      </c>
      <c r="AD323" t="s">
        <v>1123</v>
      </c>
      <c r="AE323">
        <v>33280</v>
      </c>
      <c r="AK323">
        <v>1</v>
      </c>
      <c r="AL323" t="s">
        <v>1161</v>
      </c>
      <c r="AM323" t="s">
        <v>77</v>
      </c>
      <c r="AN323" t="s">
        <v>1233</v>
      </c>
      <c r="AO323" t="s">
        <v>1236</v>
      </c>
      <c r="AP323" t="s">
        <v>1214</v>
      </c>
      <c r="AR323" t="s">
        <v>683</v>
      </c>
      <c r="AT323" t="s">
        <v>3589</v>
      </c>
      <c r="AU323" t="s">
        <v>684</v>
      </c>
      <c r="AW323" t="s">
        <v>1282</v>
      </c>
    </row>
    <row r="324" spans="1:49">
      <c r="A324" s="1">
        <f>HYPERLINK("https://lsnyc.legalserver.org/matter/dynamic-profile/view/1901293","19-1901293")</f>
        <v>0</v>
      </c>
      <c r="B324" t="s">
        <v>93</v>
      </c>
      <c r="C324" t="s">
        <v>1358</v>
      </c>
      <c r="D324" t="s">
        <v>2230</v>
      </c>
      <c r="E324" t="s">
        <v>2445</v>
      </c>
      <c r="F324" t="s">
        <v>1531</v>
      </c>
      <c r="G324" t="s">
        <v>677</v>
      </c>
      <c r="H324">
        <v>10457</v>
      </c>
      <c r="I324" t="s">
        <v>682</v>
      </c>
      <c r="J324" t="s">
        <v>2878</v>
      </c>
      <c r="O324">
        <v>2175</v>
      </c>
      <c r="R324" t="s">
        <v>3188</v>
      </c>
      <c r="T324" t="s">
        <v>3512</v>
      </c>
      <c r="U324">
        <v>0</v>
      </c>
      <c r="X324">
        <v>7</v>
      </c>
      <c r="Y324">
        <v>3</v>
      </c>
      <c r="Z324">
        <v>3</v>
      </c>
      <c r="AA324">
        <v>85.76000000000001</v>
      </c>
      <c r="AD324" t="s">
        <v>1122</v>
      </c>
      <c r="AE324">
        <v>29666</v>
      </c>
      <c r="AK324">
        <v>2.5</v>
      </c>
      <c r="AL324" t="s">
        <v>1175</v>
      </c>
      <c r="AM324" t="s">
        <v>77</v>
      </c>
      <c r="AN324" t="s">
        <v>1233</v>
      </c>
      <c r="AO324" t="s">
        <v>1236</v>
      </c>
      <c r="AP324" t="s">
        <v>1205</v>
      </c>
      <c r="AR324" t="s">
        <v>683</v>
      </c>
      <c r="AT324" t="s">
        <v>3589</v>
      </c>
      <c r="AW324" t="s">
        <v>1282</v>
      </c>
    </row>
    <row r="325" spans="1:49">
      <c r="A325" s="1">
        <f>HYPERLINK("https://lsnyc.legalserver.org/matter/dynamic-profile/view/1900241","19-1900241")</f>
        <v>0</v>
      </c>
      <c r="B325" t="s">
        <v>1756</v>
      </c>
      <c r="C325" t="s">
        <v>1997</v>
      </c>
      <c r="D325" t="s">
        <v>2231</v>
      </c>
      <c r="E325" t="s">
        <v>2399</v>
      </c>
      <c r="F325" t="s">
        <v>651</v>
      </c>
      <c r="G325" t="s">
        <v>677</v>
      </c>
      <c r="H325">
        <v>10467</v>
      </c>
      <c r="I325" t="s">
        <v>682</v>
      </c>
      <c r="O325">
        <v>0</v>
      </c>
      <c r="R325" t="s">
        <v>3189</v>
      </c>
      <c r="S325" t="s">
        <v>3248</v>
      </c>
      <c r="T325" t="s">
        <v>3513</v>
      </c>
      <c r="U325">
        <v>0</v>
      </c>
      <c r="X325">
        <v>0</v>
      </c>
      <c r="Y325">
        <v>1</v>
      </c>
      <c r="Z325">
        <v>1</v>
      </c>
      <c r="AA325">
        <v>59.04</v>
      </c>
      <c r="AD325" t="s">
        <v>1122</v>
      </c>
      <c r="AE325">
        <v>9984</v>
      </c>
      <c r="AK325">
        <v>0.5</v>
      </c>
      <c r="AL325" t="s">
        <v>1242</v>
      </c>
      <c r="AM325" t="s">
        <v>77</v>
      </c>
      <c r="AN325" t="s">
        <v>1234</v>
      </c>
      <c r="AO325" t="s">
        <v>1236</v>
      </c>
      <c r="AP325" t="s">
        <v>1164</v>
      </c>
      <c r="AR325" t="s">
        <v>683</v>
      </c>
      <c r="AT325" t="s">
        <v>3589</v>
      </c>
      <c r="AW325" t="s">
        <v>1282</v>
      </c>
    </row>
    <row r="326" spans="1:49">
      <c r="A326" s="1">
        <f>HYPERLINK("https://lsnyc.legalserver.org/matter/dynamic-profile/view/1901542","19-1901542")</f>
        <v>0</v>
      </c>
      <c r="B326" t="s">
        <v>1758</v>
      </c>
      <c r="C326" t="s">
        <v>1998</v>
      </c>
      <c r="D326" t="s">
        <v>2232</v>
      </c>
      <c r="E326" t="s">
        <v>2514</v>
      </c>
      <c r="F326" t="s">
        <v>2597</v>
      </c>
      <c r="G326" t="s">
        <v>677</v>
      </c>
      <c r="H326">
        <v>10467</v>
      </c>
      <c r="I326" t="s">
        <v>682</v>
      </c>
      <c r="J326" t="s">
        <v>2879</v>
      </c>
      <c r="O326">
        <v>1178</v>
      </c>
      <c r="P326" t="s">
        <v>752</v>
      </c>
      <c r="R326" t="s">
        <v>3190</v>
      </c>
      <c r="T326" t="s">
        <v>3514</v>
      </c>
      <c r="U326">
        <v>10</v>
      </c>
      <c r="V326" t="s">
        <v>1102</v>
      </c>
      <c r="W326" t="s">
        <v>1116</v>
      </c>
      <c r="X326">
        <v>19</v>
      </c>
      <c r="Y326">
        <v>1</v>
      </c>
      <c r="Z326">
        <v>0</v>
      </c>
      <c r="AA326">
        <v>0</v>
      </c>
      <c r="AD326" t="s">
        <v>1122</v>
      </c>
      <c r="AE326">
        <v>0</v>
      </c>
      <c r="AK326">
        <v>6.95</v>
      </c>
      <c r="AL326" t="s">
        <v>1248</v>
      </c>
      <c r="AM326" t="s">
        <v>1225</v>
      </c>
      <c r="AN326" t="s">
        <v>1233</v>
      </c>
      <c r="AO326" t="s">
        <v>1236</v>
      </c>
      <c r="AP326" t="s">
        <v>1246</v>
      </c>
      <c r="AR326" t="s">
        <v>683</v>
      </c>
      <c r="AT326" t="s">
        <v>3589</v>
      </c>
      <c r="AU326" t="s">
        <v>684</v>
      </c>
      <c r="AW326" t="s">
        <v>1282</v>
      </c>
    </row>
    <row r="327" spans="1:49">
      <c r="A327" s="1">
        <f>HYPERLINK("https://lsnyc.legalserver.org/matter/dynamic-profile/view/1901418","19-1901418")</f>
        <v>0</v>
      </c>
      <c r="B327" t="s">
        <v>85</v>
      </c>
      <c r="C327" t="s">
        <v>1999</v>
      </c>
      <c r="D327" t="s">
        <v>2233</v>
      </c>
      <c r="E327" t="s">
        <v>2515</v>
      </c>
      <c r="F327">
        <v>3</v>
      </c>
      <c r="G327" t="s">
        <v>677</v>
      </c>
      <c r="H327">
        <v>10457</v>
      </c>
      <c r="I327" t="s">
        <v>682</v>
      </c>
      <c r="O327">
        <v>2000</v>
      </c>
      <c r="P327" t="s">
        <v>753</v>
      </c>
      <c r="R327" t="s">
        <v>2913</v>
      </c>
      <c r="S327" t="s">
        <v>3249</v>
      </c>
      <c r="T327" t="s">
        <v>3515</v>
      </c>
      <c r="U327">
        <v>3</v>
      </c>
      <c r="V327" t="s">
        <v>1105</v>
      </c>
      <c r="W327" t="s">
        <v>1119</v>
      </c>
      <c r="X327">
        <v>19</v>
      </c>
      <c r="Y327">
        <v>2</v>
      </c>
      <c r="Z327">
        <v>3</v>
      </c>
      <c r="AA327">
        <v>30.98</v>
      </c>
      <c r="AD327" t="s">
        <v>1122</v>
      </c>
      <c r="AE327">
        <v>9348</v>
      </c>
      <c r="AK327">
        <v>4</v>
      </c>
      <c r="AL327" t="s">
        <v>1163</v>
      </c>
      <c r="AM327" t="s">
        <v>1225</v>
      </c>
      <c r="AN327" t="s">
        <v>1233</v>
      </c>
      <c r="AO327" t="s">
        <v>1236</v>
      </c>
      <c r="AP327" t="s">
        <v>1246</v>
      </c>
      <c r="AR327" t="s">
        <v>683</v>
      </c>
      <c r="AT327" t="s">
        <v>3589</v>
      </c>
      <c r="AU327" t="s">
        <v>684</v>
      </c>
      <c r="AW327" t="s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style="1" customWidth="1"/>
  </cols>
  <sheetData>
    <row r="1" spans="1:2">
      <c r="A1" s="2" t="s">
        <v>3590</v>
      </c>
      <c r="B1" s="2" t="s">
        <v>3591</v>
      </c>
    </row>
    <row r="3" spans="1:2">
      <c r="B3" t="s">
        <v>3592</v>
      </c>
    </row>
    <row r="4" spans="1:2">
      <c r="B4" t="s">
        <v>3593</v>
      </c>
    </row>
    <row r="5" spans="1:2">
      <c r="B5" t="s">
        <v>3594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other housing</vt:lpstr>
      <vt:lpstr>TRC</vt:lpstr>
      <vt:lpstr>HPLP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2019-08-01T19:48:38Z</dcterms:created>
  <dcterms:modified xsi:type="dcterms:W3CDTF">2019-08-01T19:48:38Z</dcterms:modified>
</cp:coreProperties>
</file>