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latbush " sheetId="1" r:id="rId1"/>
    <sheet name="Brownville " sheetId="2" r:id="rId2"/>
    <sheet name="Others " sheetId="3" r:id="rId3"/>
  </sheets>
  <calcPr calcId="124519" fullCalcOnLoad="1"/>
</workbook>
</file>

<file path=xl/sharedStrings.xml><?xml version="1.0" encoding="utf-8"?>
<sst xmlns="http://schemas.openxmlformats.org/spreadsheetml/2006/main" count="10662" uniqueCount="2994">
  <si>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</si>
  <si>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</si>
  <si>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</si>
  <si>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</si>
  <si>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</si>
  <si>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</si>
  <si>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</si>
  <si>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</si>
  <si>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</si>
  <si>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Zip Code</t>
  </si>
  <si>
    <t>HRA Release?</t>
  </si>
  <si>
    <t>Housing Signed DHCI Form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</si>
  <si>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</si>
  <si>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</si>
  <si>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</si>
  <si>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</si>
  <si>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</si>
  <si>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</si>
  <si>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</si>
  <si>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</si>
  <si>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</si>
  <si>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</si>
  <si>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</si>
  <si>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</si>
  <si>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</si>
  <si>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</si>
  <si>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</si>
  <si>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</si>
  <si>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</si>
  <si>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</si>
  <si>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</si>
  <si>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</si>
  <si>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</si>
  <si>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</si>
  <si>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</si>
  <si>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</si>
  <si>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</si>
  <si>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</si>
  <si>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</si>
  <si>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</si>
  <si>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</si>
  <si>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</si>
  <si>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</si>
  <si>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</si>
  <si>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</si>
  <si>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</si>
  <si>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</si>
  <si>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</si>
  <si>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Housing Income Verification</t>
  </si>
  <si>
    <t>Frizell, Catherine</t>
  </si>
  <si>
    <t>Ross, Jasmine</t>
  </si>
  <si>
    <t>Schiff, Logan</t>
  </si>
  <si>
    <t>Watson, Michael</t>
  </si>
  <si>
    <t>Pepe, Lailah</t>
  </si>
  <si>
    <t>Closed</t>
  </si>
  <si>
    <t>Open</t>
  </si>
  <si>
    <t>06/25/2019</t>
  </si>
  <si>
    <t>10/31/2018</t>
  </si>
  <si>
    <t>05/28/2019</t>
  </si>
  <si>
    <t>12/12/2017</t>
  </si>
  <si>
    <t>02/15/2018</t>
  </si>
  <si>
    <t>09/04/2018</t>
  </si>
  <si>
    <t>01/07/2019</t>
  </si>
  <si>
    <t>06/13/2018</t>
  </si>
  <si>
    <t>03/12/2018</t>
  </si>
  <si>
    <t>06/19/2018</t>
  </si>
  <si>
    <t>09/12/2018</t>
  </si>
  <si>
    <t>11/19/2018</t>
  </si>
  <si>
    <t>11/28/2018</t>
  </si>
  <si>
    <t>12/06/2018</t>
  </si>
  <si>
    <t>05/08/2018</t>
  </si>
  <si>
    <t>06/15/2018</t>
  </si>
  <si>
    <t>12/07/2018</t>
  </si>
  <si>
    <t>05/04/2018</t>
  </si>
  <si>
    <t>05/24/2018</t>
  </si>
  <si>
    <t>06/07/2018</t>
  </si>
  <si>
    <t>02/13/2019</t>
  </si>
  <si>
    <t>09/18/2018</t>
  </si>
  <si>
    <t>10/29/2018</t>
  </si>
  <si>
    <t>03/06/2018</t>
  </si>
  <si>
    <t>02/07/2018</t>
  </si>
  <si>
    <t>02/06/2018</t>
  </si>
  <si>
    <t>12/27/2018</t>
  </si>
  <si>
    <t>05/14/2019</t>
  </si>
  <si>
    <t>06/25/2018</t>
  </si>
  <si>
    <t>11/26/2018</t>
  </si>
  <si>
    <t>01/08/2019</t>
  </si>
  <si>
    <t>05/20/2019</t>
  </si>
  <si>
    <t>03/07/2019</t>
  </si>
  <si>
    <t>07/17/2018</t>
  </si>
  <si>
    <t>11/13/2018</t>
  </si>
  <si>
    <t>04/02/2019</t>
  </si>
  <si>
    <t>06/03/2019</t>
  </si>
  <si>
    <t>11/16/2018</t>
  </si>
  <si>
    <t>08/14/2018</t>
  </si>
  <si>
    <t>08/01/2018</t>
  </si>
  <si>
    <t>11/09/2018</t>
  </si>
  <si>
    <t>11/14/2018</t>
  </si>
  <si>
    <t>11/01/2018</t>
  </si>
  <si>
    <t>09/14/2018</t>
  </si>
  <si>
    <t>03/02/2018</t>
  </si>
  <si>
    <t>07/03/2018</t>
  </si>
  <si>
    <t>05/16/2019</t>
  </si>
  <si>
    <t>08/16/2018</t>
  </si>
  <si>
    <t>06/17/2019</t>
  </si>
  <si>
    <t>11/07/2018</t>
  </si>
  <si>
    <t>07/02/2018</t>
  </si>
  <si>
    <t>11/08/2018</t>
  </si>
  <si>
    <t>04/08/2019</t>
  </si>
  <si>
    <t>06/06/2017</t>
  </si>
  <si>
    <t>04/04/2017</t>
  </si>
  <si>
    <t>03/26/2018</t>
  </si>
  <si>
    <t>04/05/2018</t>
  </si>
  <si>
    <t>07/09/2018</t>
  </si>
  <si>
    <t>05/17/2019</t>
  </si>
  <si>
    <t>06/04/2019</t>
  </si>
  <si>
    <t>02/27/2018</t>
  </si>
  <si>
    <t>08/07/2018</t>
  </si>
  <si>
    <t>05/18/2018</t>
  </si>
  <si>
    <t>07/10/2018</t>
  </si>
  <si>
    <t>06/06/2019</t>
  </si>
  <si>
    <t>12/03/2018</t>
  </si>
  <si>
    <t>07/08/2019</t>
  </si>
  <si>
    <t>04/29/2019</t>
  </si>
  <si>
    <t>02/26/2019</t>
  </si>
  <si>
    <t>05/07/2019</t>
  </si>
  <si>
    <t>02/27/2019</t>
  </si>
  <si>
    <t>05/15/2019</t>
  </si>
  <si>
    <t>12/05/2018</t>
  </si>
  <si>
    <t>05/03/2019</t>
  </si>
  <si>
    <t>12/14/2018</t>
  </si>
  <si>
    <t>02/14/2019</t>
  </si>
  <si>
    <t>09/28/2018</t>
  </si>
  <si>
    <t>04/23/2019</t>
  </si>
  <si>
    <t>04/24/2019</t>
  </si>
  <si>
    <t>12/04/2018</t>
  </si>
  <si>
    <t>02/22/2019</t>
  </si>
  <si>
    <t>06/20/2019</t>
  </si>
  <si>
    <t>04/25/2019</t>
  </si>
  <si>
    <t>02/15/2019</t>
  </si>
  <si>
    <t>01/23/2019</t>
  </si>
  <si>
    <t>10/18/2018</t>
  </si>
  <si>
    <t>10/23/2018</t>
  </si>
  <si>
    <t>01/22/2019</t>
  </si>
  <si>
    <t>10/22/2018</t>
  </si>
  <si>
    <t>James</t>
  </si>
  <si>
    <t>Alexandra</t>
  </si>
  <si>
    <t>Thomas</t>
  </si>
  <si>
    <t>Cassandra</t>
  </si>
  <si>
    <t>Marujah</t>
  </si>
  <si>
    <t>Georgette</t>
  </si>
  <si>
    <t>David</t>
  </si>
  <si>
    <t>Giselle</t>
  </si>
  <si>
    <t>Redoneva</t>
  </si>
  <si>
    <t>Sonia</t>
  </si>
  <si>
    <t>Ephemie</t>
  </si>
  <si>
    <t>Evelyn</t>
  </si>
  <si>
    <t>Jennifer</t>
  </si>
  <si>
    <t>Zipporah</t>
  </si>
  <si>
    <t>Lorraine</t>
  </si>
  <si>
    <t>Damary</t>
  </si>
  <si>
    <t>Chava</t>
  </si>
  <si>
    <t>Elizabeth</t>
  </si>
  <si>
    <t>Justin</t>
  </si>
  <si>
    <t>Jose</t>
  </si>
  <si>
    <t>Noelle</t>
  </si>
  <si>
    <t>Robert</t>
  </si>
  <si>
    <t>Patricia</t>
  </si>
  <si>
    <t>Ida</t>
  </si>
  <si>
    <t>Natesha</t>
  </si>
  <si>
    <t>Takora</t>
  </si>
  <si>
    <t>Nikima</t>
  </si>
  <si>
    <t>Shelly</t>
  </si>
  <si>
    <t>Tracy</t>
  </si>
  <si>
    <t>Kevin</t>
  </si>
  <si>
    <t>Marie</t>
  </si>
  <si>
    <t>Salina</t>
  </si>
  <si>
    <t>Rosaria</t>
  </si>
  <si>
    <t>Lucinda</t>
  </si>
  <si>
    <t>Hazel-Ann</t>
  </si>
  <si>
    <t>Jean</t>
  </si>
  <si>
    <t>Nancy</t>
  </si>
  <si>
    <t>Carol</t>
  </si>
  <si>
    <t>Louise</t>
  </si>
  <si>
    <t>Betty</t>
  </si>
  <si>
    <t>Mark</t>
  </si>
  <si>
    <t>Laroi</t>
  </si>
  <si>
    <t>Cairong</t>
  </si>
  <si>
    <t>Suzie</t>
  </si>
  <si>
    <t>Yisroel</t>
  </si>
  <si>
    <t>Gail</t>
  </si>
  <si>
    <t>Zuelnoun</t>
  </si>
  <si>
    <t>Hermilyn</t>
  </si>
  <si>
    <t>Kyle</t>
  </si>
  <si>
    <t>Diana</t>
  </si>
  <si>
    <t>Scharlene</t>
  </si>
  <si>
    <t>Joseph</t>
  </si>
  <si>
    <t>Carine</t>
  </si>
  <si>
    <t>Janelle</t>
  </si>
  <si>
    <t>Tanya</t>
  </si>
  <si>
    <t>Dorian</t>
  </si>
  <si>
    <t>Bola</t>
  </si>
  <si>
    <t>Mary</t>
  </si>
  <si>
    <t>Ricardo</t>
  </si>
  <si>
    <t>Anthony</t>
  </si>
  <si>
    <t>Wilmer</t>
  </si>
  <si>
    <t>Jaquonne</t>
  </si>
  <si>
    <t>Ronald</t>
  </si>
  <si>
    <t>Katherine</t>
  </si>
  <si>
    <t>Ramsey</t>
  </si>
  <si>
    <t>Paulette</t>
  </si>
  <si>
    <t>Charlene</t>
  </si>
  <si>
    <t>Lilith</t>
  </si>
  <si>
    <t>Clarence</t>
  </si>
  <si>
    <t>Charmaine</t>
  </si>
  <si>
    <t>Andrea</t>
  </si>
  <si>
    <t>Colleen</t>
  </si>
  <si>
    <t>Samuel</t>
  </si>
  <si>
    <t>Angelita</t>
  </si>
  <si>
    <t>Vera</t>
  </si>
  <si>
    <t>Damien</t>
  </si>
  <si>
    <t>Dinh</t>
  </si>
  <si>
    <t>Garcia</t>
  </si>
  <si>
    <t>Rush</t>
  </si>
  <si>
    <t>Cousin</t>
  </si>
  <si>
    <t>St. Fort</t>
  </si>
  <si>
    <t>Mitchell</t>
  </si>
  <si>
    <t>Medina</t>
  </si>
  <si>
    <t>Fritz</t>
  </si>
  <si>
    <t>Palminteri</t>
  </si>
  <si>
    <t>Andrews</t>
  </si>
  <si>
    <t>Robinson</t>
  </si>
  <si>
    <t>Bourjonny</t>
  </si>
  <si>
    <t>Mason</t>
  </si>
  <si>
    <t>Evans Joseph</t>
  </si>
  <si>
    <t>Figaro</t>
  </si>
  <si>
    <t>Holston</t>
  </si>
  <si>
    <t>Gonzalez</t>
  </si>
  <si>
    <t>Weisberger</t>
  </si>
  <si>
    <t>Nazario</t>
  </si>
  <si>
    <t>Boswell</t>
  </si>
  <si>
    <t>Negron</t>
  </si>
  <si>
    <t>Roland</t>
  </si>
  <si>
    <t>Kahan</t>
  </si>
  <si>
    <t>Greene</t>
  </si>
  <si>
    <t>Otero</t>
  </si>
  <si>
    <t>Burton</t>
  </si>
  <si>
    <t>Faison</t>
  </si>
  <si>
    <t>Smith</t>
  </si>
  <si>
    <t>Khan</t>
  </si>
  <si>
    <t>Dudley</t>
  </si>
  <si>
    <t>Clark</t>
  </si>
  <si>
    <t>Dubreuil</t>
  </si>
  <si>
    <t>Saab</t>
  </si>
  <si>
    <t>Lopez</t>
  </si>
  <si>
    <t>Quince</t>
  </si>
  <si>
    <t>Baker</t>
  </si>
  <si>
    <t>Clerveau</t>
  </si>
  <si>
    <t>Mestizo</t>
  </si>
  <si>
    <t>Randolph</t>
  </si>
  <si>
    <t>Walton</t>
  </si>
  <si>
    <t>Belton</t>
  </si>
  <si>
    <t>Zeng</t>
  </si>
  <si>
    <t>Edeltuch</t>
  </si>
  <si>
    <t>Gray</t>
  </si>
  <si>
    <t>Ahmed</t>
  </si>
  <si>
    <t>McQuilkin</t>
  </si>
  <si>
    <t>Whelan</t>
  </si>
  <si>
    <t>Blackman</t>
  </si>
  <si>
    <t>Flynn Rodriguez</t>
  </si>
  <si>
    <t>Dorfman</t>
  </si>
  <si>
    <t>Etienne</t>
  </si>
  <si>
    <t>Edwards</t>
  </si>
  <si>
    <t>Slowe</t>
  </si>
  <si>
    <t>Wilson</t>
  </si>
  <si>
    <t>Alade</t>
  </si>
  <si>
    <t>Heagney</t>
  </si>
  <si>
    <t>Matheson</t>
  </si>
  <si>
    <t>Michel</t>
  </si>
  <si>
    <t>Yacolino</t>
  </si>
  <si>
    <t>Roche</t>
  </si>
  <si>
    <t>Slove</t>
  </si>
  <si>
    <t>Cooper</t>
  </si>
  <si>
    <t>Josephs</t>
  </si>
  <si>
    <t>Kusiak Carey</t>
  </si>
  <si>
    <t>Russell</t>
  </si>
  <si>
    <t>Durham</t>
  </si>
  <si>
    <t>Sheppard</t>
  </si>
  <si>
    <t>Bookman</t>
  </si>
  <si>
    <t>Thompson</t>
  </si>
  <si>
    <t>Campbell</t>
  </si>
  <si>
    <t>Birchette</t>
  </si>
  <si>
    <t>Lubin</t>
  </si>
  <si>
    <t>Smalls</t>
  </si>
  <si>
    <t>Burnett</t>
  </si>
  <si>
    <t>Hayes</t>
  </si>
  <si>
    <t>305 13th St</t>
  </si>
  <si>
    <t>173 Starr St</t>
  </si>
  <si>
    <t>358 Knickerbocker Ave</t>
  </si>
  <si>
    <t>1940 Pacific st</t>
  </si>
  <si>
    <t>1975 Union St</t>
  </si>
  <si>
    <t>15 B Dwight Street</t>
  </si>
  <si>
    <t>46 Sullivan St</t>
  </si>
  <si>
    <t>1169 Ocean Ave</t>
  </si>
  <si>
    <t>2102 E 15th St</t>
  </si>
  <si>
    <t>125 Lenox Rd</t>
  </si>
  <si>
    <t>1620 Caton Ave</t>
  </si>
  <si>
    <t>120 E 19th St</t>
  </si>
  <si>
    <t>201 E 18th St</t>
  </si>
  <si>
    <t>2505 Bedford Ave</t>
  </si>
  <si>
    <t>149 Sterling St</t>
  </si>
  <si>
    <t>452 53rd St</t>
  </si>
  <si>
    <t>1319 50th St</t>
  </si>
  <si>
    <t>38 6th Ave</t>
  </si>
  <si>
    <t>250 12th St</t>
  </si>
  <si>
    <t>140 17th St</t>
  </si>
  <si>
    <t>138 7th Ave</t>
  </si>
  <si>
    <t>485 12th St</t>
  </si>
  <si>
    <t>345 Thatford Ave</t>
  </si>
  <si>
    <t>9325 Fort Hamilton Pkwy</t>
  </si>
  <si>
    <t>179 Milford St</t>
  </si>
  <si>
    <t>588 Wyona St</t>
  </si>
  <si>
    <t>161 Boerum St</t>
  </si>
  <si>
    <t>114 Troutman Street</t>
  </si>
  <si>
    <t>854 Myrtle Ave</t>
  </si>
  <si>
    <t>100 Pulaski St</t>
  </si>
  <si>
    <t>712 E 27th St</t>
  </si>
  <si>
    <t>359 9th St</t>
  </si>
  <si>
    <t>468 Gates Ave</t>
  </si>
  <si>
    <t>35 Saint Felix St</t>
  </si>
  <si>
    <t>811 Saint Johns Pl</t>
  </si>
  <si>
    <t>67a Lewis Ave</t>
  </si>
  <si>
    <t>207 Park Pl</t>
  </si>
  <si>
    <t>65 E 19th St</t>
  </si>
  <si>
    <t>1432 Pacific St</t>
  </si>
  <si>
    <t>770 Saint Marks Ave</t>
  </si>
  <si>
    <t>553 McDonald Ave</t>
  </si>
  <si>
    <t>668 Brooklyn Ave</t>
  </si>
  <si>
    <t>781 E 5th St</t>
  </si>
  <si>
    <t>1798 Bedford Ave</t>
  </si>
  <si>
    <t>10 Forrest St</t>
  </si>
  <si>
    <t>485 Pacific St</t>
  </si>
  <si>
    <t>95 Linden Blvd</t>
  </si>
  <si>
    <t>115 E 21st St</t>
  </si>
  <si>
    <t>2215 Newkirk Ave</t>
  </si>
  <si>
    <t>1552 Benson Ave</t>
  </si>
  <si>
    <t>1558 E 19th St</t>
  </si>
  <si>
    <t>116 E 57th St</t>
  </si>
  <si>
    <t>2010 Newkirk Ave</t>
  </si>
  <si>
    <t>1001 Avenue H</t>
  </si>
  <si>
    <t>1077 New York Ave</t>
  </si>
  <si>
    <t>50 E 18th St</t>
  </si>
  <si>
    <t>211 Brighton 15th St</t>
  </si>
  <si>
    <t>297 Lenox Rd</t>
  </si>
  <si>
    <t>114 E 31st St</t>
  </si>
  <si>
    <t>2192 Dean St</t>
  </si>
  <si>
    <t>356 Arlington Ave</t>
  </si>
  <si>
    <t>9411 Shore Rd</t>
  </si>
  <si>
    <t>495 Sterling Pl</t>
  </si>
  <si>
    <t>1 Saint Pauls Ct</t>
  </si>
  <si>
    <t>198 Clarkson Ave</t>
  </si>
  <si>
    <t>1030 Carroll St</t>
  </si>
  <si>
    <t>435 GRAND AVE</t>
  </si>
  <si>
    <t>90 Downing St</t>
  </si>
  <si>
    <t>721 Willoughby Ave</t>
  </si>
  <si>
    <t>341 E 19th St</t>
  </si>
  <si>
    <t>425 Grand Ave</t>
  </si>
  <si>
    <t>2504 Clarendon Rd</t>
  </si>
  <si>
    <t>777 New Jersey Ave</t>
  </si>
  <si>
    <t>130 Lefferts Pl</t>
  </si>
  <si>
    <t>1176 President St</t>
  </si>
  <si>
    <t>3B</t>
  </si>
  <si>
    <t>3L</t>
  </si>
  <si>
    <t>B</t>
  </si>
  <si>
    <t>15B</t>
  </si>
  <si>
    <t>2C</t>
  </si>
  <si>
    <t>5D</t>
  </si>
  <si>
    <t>4E</t>
  </si>
  <si>
    <t>C8</t>
  </si>
  <si>
    <t>2-C</t>
  </si>
  <si>
    <t>5E</t>
  </si>
  <si>
    <t>6G</t>
  </si>
  <si>
    <t>2E</t>
  </si>
  <si>
    <t>5F</t>
  </si>
  <si>
    <t>1B</t>
  </si>
  <si>
    <t>3C</t>
  </si>
  <si>
    <t>3-R</t>
  </si>
  <si>
    <t>4-R</t>
  </si>
  <si>
    <t>4M</t>
  </si>
  <si>
    <t>D-5C</t>
  </si>
  <si>
    <t>3 Front</t>
  </si>
  <si>
    <t>1-A</t>
  </si>
  <si>
    <t>4A</t>
  </si>
  <si>
    <t>1A</t>
  </si>
  <si>
    <t>4-B</t>
  </si>
  <si>
    <t>C 611</t>
  </si>
  <si>
    <t>F5</t>
  </si>
  <si>
    <t>1E</t>
  </si>
  <si>
    <t>4F</t>
  </si>
  <si>
    <t>A4</t>
  </si>
  <si>
    <t>5G</t>
  </si>
  <si>
    <t>1R</t>
  </si>
  <si>
    <t>2nd Fl</t>
  </si>
  <si>
    <t>A35</t>
  </si>
  <si>
    <t>4G</t>
  </si>
  <si>
    <t>21C</t>
  </si>
  <si>
    <t>6H</t>
  </si>
  <si>
    <t>F2</t>
  </si>
  <si>
    <t>basement</t>
  </si>
  <si>
    <t>3D</t>
  </si>
  <si>
    <t>2H</t>
  </si>
  <si>
    <t>B2</t>
  </si>
  <si>
    <t>B-12</t>
  </si>
  <si>
    <t>2nd Fl Rm C</t>
  </si>
  <si>
    <t>1L</t>
  </si>
  <si>
    <t>2-G</t>
  </si>
  <si>
    <t>Apt 3B</t>
  </si>
  <si>
    <t>5-G</t>
  </si>
  <si>
    <t>3-A</t>
  </si>
  <si>
    <t>3-E</t>
  </si>
  <si>
    <t>C-3</t>
  </si>
  <si>
    <t>1st floor apt 3</t>
  </si>
  <si>
    <t xml:space="preserve"> </t>
  </si>
  <si>
    <t>No</t>
  </si>
  <si>
    <t>Yes</t>
  </si>
  <si>
    <t>LT-082773-18/KI</t>
  </si>
  <si>
    <t>LT-086257-18/KI</t>
  </si>
  <si>
    <t>LT-58694-17/KI</t>
  </si>
  <si>
    <t>LT-082210-16/ki</t>
  </si>
  <si>
    <t>FR 210111 S</t>
  </si>
  <si>
    <t>3453/18</t>
  </si>
  <si>
    <t>GX210004NC</t>
  </si>
  <si>
    <t>LT-099157-17/KI</t>
  </si>
  <si>
    <t>LT-73624-18/KI</t>
  </si>
  <si>
    <t>Holdover</t>
  </si>
  <si>
    <t>No Case</t>
  </si>
  <si>
    <t>HP Action</t>
  </si>
  <si>
    <t>Non-payment</t>
  </si>
  <si>
    <t>PA Issue: Other</t>
  </si>
  <si>
    <t>DHCR Proceeding</t>
  </si>
  <si>
    <t>DHCR Administrative Action</t>
  </si>
  <si>
    <t>Advice</t>
  </si>
  <si>
    <t>Out-of-Court Advocacy</t>
  </si>
  <si>
    <t>Brief Service</t>
  </si>
  <si>
    <t>Hold For Review</t>
  </si>
  <si>
    <t>Representation - State Court</t>
  </si>
  <si>
    <t>Representation - Admin. Agency</t>
  </si>
  <si>
    <t>A - Counsel and Advice</t>
  </si>
  <si>
    <t>B - Limited Action (Brief Service)</t>
  </si>
  <si>
    <t>L - Extensive Service (not resulting in Settlement of Court or Administrative Action)</t>
  </si>
  <si>
    <t>3018 Tenant Rights Coalition (TRC)</t>
  </si>
  <si>
    <t>3311 Anti-Eviction and SRO Legal Services (formerly "HPD")</t>
  </si>
  <si>
    <t>5556 Robin Hood-Foreclosure and Housing</t>
  </si>
  <si>
    <t>63 Private Landlord/Tenant</t>
  </si>
  <si>
    <t>71 TANF</t>
  </si>
  <si>
    <t>61 Federally Subsidized Housing</t>
  </si>
  <si>
    <t>Post-Stipulation, No Judgment</t>
  </si>
  <si>
    <t>No Stipulation; No Judgment</t>
  </si>
  <si>
    <t>Brooklyn Legal Services</t>
  </si>
  <si>
    <t>Other</t>
  </si>
  <si>
    <t>Self-referred</t>
  </si>
  <si>
    <t>Court</t>
  </si>
  <si>
    <t>Other City Agency</t>
  </si>
  <si>
    <t>Community Organization</t>
  </si>
  <si>
    <t>3-1-1</t>
  </si>
  <si>
    <t>HRA</t>
  </si>
  <si>
    <t>HRA ELS Part F Brooklyn</t>
  </si>
  <si>
    <t>Returning Client</t>
  </si>
  <si>
    <t>In-House</t>
  </si>
  <si>
    <t>Outreach</t>
  </si>
  <si>
    <t>6014-Obtained advice and counsel on a Housing matter</t>
  </si>
  <si>
    <t>7001-Obtained, preserved or increased public assistance, TANF or other welfare benefit/right</t>
  </si>
  <si>
    <t>7012-Obtained advice and counsel  on an Income Maintenance matter</t>
  </si>
  <si>
    <t>6015-Obtained non-litgation advocacy services on a Housing  matter</t>
  </si>
  <si>
    <t>6017-Obtained other benefit on a Housing matter</t>
  </si>
  <si>
    <t>6002-Prevented eviction from private housing</t>
  </si>
  <si>
    <t>6018-Prevented eviction from subsidized housing</t>
  </si>
  <si>
    <t>02/03/1988</t>
  </si>
  <si>
    <t>04/16/1985</t>
  </si>
  <si>
    <t>04/20/1983</t>
  </si>
  <si>
    <t>02/08/1967</t>
  </si>
  <si>
    <t>07/07/1965</t>
  </si>
  <si>
    <t>03/22/1972</t>
  </si>
  <si>
    <t>08/20/1994</t>
  </si>
  <si>
    <t>09/17/1966</t>
  </si>
  <si>
    <t>12/13/1969</t>
  </si>
  <si>
    <t>04/14/1967</t>
  </si>
  <si>
    <t>10/27/1959</t>
  </si>
  <si>
    <t>12/19/1958</t>
  </si>
  <si>
    <t>12/22/1943</t>
  </si>
  <si>
    <t>05/07/1959</t>
  </si>
  <si>
    <t>07/15/1980</t>
  </si>
  <si>
    <t>01/25/1969</t>
  </si>
  <si>
    <t>09/08/1960</t>
  </si>
  <si>
    <t>09/17/1982</t>
  </si>
  <si>
    <t>03/02/1974</t>
  </si>
  <si>
    <t>05/21/1988</t>
  </si>
  <si>
    <t>03/31/1985</t>
  </si>
  <si>
    <t>01/08/1981</t>
  </si>
  <si>
    <t>03/21/1954</t>
  </si>
  <si>
    <t>05/21/1964</t>
  </si>
  <si>
    <t>08/31/1969</t>
  </si>
  <si>
    <t>07/08/1982</t>
  </si>
  <si>
    <t>01/13/1982</t>
  </si>
  <si>
    <t>03/28/1981</t>
  </si>
  <si>
    <t>07/30/1979</t>
  </si>
  <si>
    <t>02/25/1977</t>
  </si>
  <si>
    <t>01/05/1963</t>
  </si>
  <si>
    <t>06/02/1978</t>
  </si>
  <si>
    <t>08/20/1955</t>
  </si>
  <si>
    <t>12/04/1952</t>
  </si>
  <si>
    <t>04/24/1968</t>
  </si>
  <si>
    <t>10/02/1970</t>
  </si>
  <si>
    <t>04/10/1951</t>
  </si>
  <si>
    <t>01/24/1974</t>
  </si>
  <si>
    <t>01/01/1955</t>
  </si>
  <si>
    <t>12/26/1938</t>
  </si>
  <si>
    <t>02/27/1960</t>
  </si>
  <si>
    <t>01/18/1969</t>
  </si>
  <si>
    <t>04/26/1959</t>
  </si>
  <si>
    <t>02/20/1984</t>
  </si>
  <si>
    <t>11/01/1982</t>
  </si>
  <si>
    <t>07/22/1971</t>
  </si>
  <si>
    <t>11/09/1977</t>
  </si>
  <si>
    <t>01/01/1982</t>
  </si>
  <si>
    <t>10/08/1964</t>
  </si>
  <si>
    <t>03/17/1950</t>
  </si>
  <si>
    <t>02/12/1983</t>
  </si>
  <si>
    <t>09/24/1941</t>
  </si>
  <si>
    <t>01/17/1969</t>
  </si>
  <si>
    <t>12/19/1963</t>
  </si>
  <si>
    <t>02/18/1968</t>
  </si>
  <si>
    <t>02/08/1992</t>
  </si>
  <si>
    <t>03/07/1983</t>
  </si>
  <si>
    <t>04/19/1988</t>
  </si>
  <si>
    <t>04/19/1951</t>
  </si>
  <si>
    <t>12/21/1935</t>
  </si>
  <si>
    <t>12/19/1952</t>
  </si>
  <si>
    <t>01/01/1984</t>
  </si>
  <si>
    <t>11/09/1953</t>
  </si>
  <si>
    <t>08/18/1967</t>
  </si>
  <si>
    <t>08/01/1969</t>
  </si>
  <si>
    <t>09/09/1987</t>
  </si>
  <si>
    <t>02/21/1961</t>
  </si>
  <si>
    <t>03/27/1989</t>
  </si>
  <si>
    <t>11/11/1981</t>
  </si>
  <si>
    <t>06/10/1947</t>
  </si>
  <si>
    <t>02/04/1967</t>
  </si>
  <si>
    <t>12/06/1966</t>
  </si>
  <si>
    <t>09/13/1955</t>
  </si>
  <si>
    <t>10/07/1966</t>
  </si>
  <si>
    <t>01/26/1971</t>
  </si>
  <si>
    <t>12/30/1944</t>
  </si>
  <si>
    <t>07/31/1963</t>
  </si>
  <si>
    <t>10/30/1929</t>
  </si>
  <si>
    <t>11/15/1975</t>
  </si>
  <si>
    <t>9279334I</t>
  </si>
  <si>
    <t>UN34332T &amp; 9487293</t>
  </si>
  <si>
    <t>21904622-E</t>
  </si>
  <si>
    <t>591-76-2045</t>
  </si>
  <si>
    <t>049-74-5433</t>
  </si>
  <si>
    <t>132-60-4074</t>
  </si>
  <si>
    <t>127-60-0446</t>
  </si>
  <si>
    <t>129-82-6632</t>
  </si>
  <si>
    <t>138-98-3110</t>
  </si>
  <si>
    <t>077-56-0502</t>
  </si>
  <si>
    <t>123-82-6213</t>
  </si>
  <si>
    <t>053-54-4972</t>
  </si>
  <si>
    <t>118-82-5273</t>
  </si>
  <si>
    <t>008-39-7973</t>
  </si>
  <si>
    <t>718-49-4818</t>
  </si>
  <si>
    <t>146-58-7345</t>
  </si>
  <si>
    <t>050-54-7894</t>
  </si>
  <si>
    <t>127-66-4001</t>
  </si>
  <si>
    <t>089-74-4100</t>
  </si>
  <si>
    <t>067-70-8458</t>
  </si>
  <si>
    <t>058-44-7384</t>
  </si>
  <si>
    <t>126-66-7191</t>
  </si>
  <si>
    <t>064-72-6490</t>
  </si>
  <si>
    <t>081-66-8033</t>
  </si>
  <si>
    <t>092-66-0388</t>
  </si>
  <si>
    <t>096-72-4556</t>
  </si>
  <si>
    <t>080-60-6024</t>
  </si>
  <si>
    <t>066-74-4931</t>
  </si>
  <si>
    <t>144-90-2762</t>
  </si>
  <si>
    <t>228-15-3714</t>
  </si>
  <si>
    <t>127-60-0651</t>
  </si>
  <si>
    <t>129-58-2381</t>
  </si>
  <si>
    <t>125-34-1139</t>
  </si>
  <si>
    <t>075-80-2680</t>
  </si>
  <si>
    <t>756-23-4953</t>
  </si>
  <si>
    <t>098-48-9591</t>
  </si>
  <si>
    <t>000-00-6890</t>
  </si>
  <si>
    <t>000-00-7391</t>
  </si>
  <si>
    <t>089-70-4744</t>
  </si>
  <si>
    <t>067-66-2321</t>
  </si>
  <si>
    <t>134-52-0306</t>
  </si>
  <si>
    <t>102-70-0809</t>
  </si>
  <si>
    <t>058-36-8259</t>
  </si>
  <si>
    <t>119-56-2079</t>
  </si>
  <si>
    <t>067-54-3316</t>
  </si>
  <si>
    <t>079-80-4071</t>
  </si>
  <si>
    <t>126-66-3201</t>
  </si>
  <si>
    <t>071-94-7454</t>
  </si>
  <si>
    <t>212-74-4678</t>
  </si>
  <si>
    <t>094-28-6895</t>
  </si>
  <si>
    <t>533-02-5177</t>
  </si>
  <si>
    <t>070-38-8858</t>
  </si>
  <si>
    <t>072-58-6750</t>
  </si>
  <si>
    <t>096-48-3350</t>
  </si>
  <si>
    <t>073-92-8368</t>
  </si>
  <si>
    <t>006-88-6307</t>
  </si>
  <si>
    <t>129-36-3367</t>
  </si>
  <si>
    <t>060-02-3665</t>
  </si>
  <si>
    <t>097-46-4066</t>
  </si>
  <si>
    <t>133-96-8598</t>
  </si>
  <si>
    <t>561-42-2590</t>
  </si>
  <si>
    <t>377-44-5253</t>
  </si>
  <si>
    <t>103-72-7948</t>
  </si>
  <si>
    <t>070-60-1058</t>
  </si>
  <si>
    <t>247-65-3776</t>
  </si>
  <si>
    <t>Unknown</t>
  </si>
  <si>
    <t>Rent Stabilized</t>
  </si>
  <si>
    <t>Unregulated</t>
  </si>
  <si>
    <t>HASA</t>
  </si>
  <si>
    <t>None</t>
  </si>
  <si>
    <t>Section 8</t>
  </si>
  <si>
    <t>DRIE/SCRIE</t>
  </si>
  <si>
    <t>HOMETBRA</t>
  </si>
  <si>
    <t>English</t>
  </si>
  <si>
    <t>Creole</t>
  </si>
  <si>
    <t>Spanish</t>
  </si>
  <si>
    <t>French Creole</t>
  </si>
  <si>
    <t>no forms yet</t>
  </si>
  <si>
    <t>LAS on case; not taking</t>
  </si>
  <si>
    <t>not taking case</t>
  </si>
  <si>
    <t>phone advice so far</t>
  </si>
  <si>
    <t>brief phone advice</t>
  </si>
  <si>
    <t>overincome but will be part of group loft law case once bill is passed</t>
  </si>
  <si>
    <t>do not enter eligibility date - income support matter related to Nonpay case</t>
  </si>
  <si>
    <t>no clear advice so no eligibility date</t>
  </si>
  <si>
    <t>06/05/2019</t>
  </si>
  <si>
    <t>03/08/2019</t>
  </si>
  <si>
    <t>12/19/2018</t>
  </si>
  <si>
    <t>12/28/2018</t>
  </si>
  <si>
    <t>11/21/2018</t>
  </si>
  <si>
    <t>08/09/2018</t>
  </si>
  <si>
    <t>01/30/2019</t>
  </si>
  <si>
    <t>03/01/2019</t>
  </si>
  <si>
    <t>05/23/2019</t>
  </si>
  <si>
    <t>03/13/2019</t>
  </si>
  <si>
    <t>04/16/2019</t>
  </si>
  <si>
    <t>04/30/2019</t>
  </si>
  <si>
    <t>06/28/2019</t>
  </si>
  <si>
    <t>07/03/2019</t>
  </si>
  <si>
    <t>06/20/2018</t>
  </si>
  <si>
    <t>06/19/2019</t>
  </si>
  <si>
    <t>07/31/2018</t>
  </si>
  <si>
    <t>07/12/2018</t>
  </si>
  <si>
    <t>12/12/2018</t>
  </si>
  <si>
    <t>Belhomme, Wilesca</t>
  </si>
  <si>
    <t>Pujols, Isabel</t>
  </si>
  <si>
    <t>Djourab, Atteib</t>
  </si>
  <si>
    <t>Pierre, Haenley</t>
  </si>
  <si>
    <t>Amponsah, Oheneba</t>
  </si>
  <si>
    <t>Hernandez, Marisol</t>
  </si>
  <si>
    <t>St. Louis, Bianca</t>
  </si>
  <si>
    <t>Moss, Julieta</t>
  </si>
  <si>
    <t>Ortega, Luis</t>
  </si>
  <si>
    <t>Wilson-Wieland, Cherille</t>
  </si>
  <si>
    <t>Escobar, Sarah</t>
  </si>
  <si>
    <t>DHCI Form</t>
  </si>
  <si>
    <t>Bailey, Michael</t>
  </si>
  <si>
    <t>Catuira, Rochelle</t>
  </si>
  <si>
    <t>Cisneros, Marisol</t>
  </si>
  <si>
    <t>Corsaro, Veronica</t>
  </si>
  <si>
    <t>Costa, Stephanie</t>
  </si>
  <si>
    <t>Crisona, Kathryn</t>
  </si>
  <si>
    <t>DeLong, Sarah</t>
  </si>
  <si>
    <t>Farrell, Emily</t>
  </si>
  <si>
    <t>Goncharov-Cruickshnk, Natalie</t>
  </si>
  <si>
    <t>Gonzalez, Gabriela</t>
  </si>
  <si>
    <t>Hardy, Le`Shera</t>
  </si>
  <si>
    <t>Haynes, Tralane</t>
  </si>
  <si>
    <t>Hecht-Felella, Laura</t>
  </si>
  <si>
    <t>Henriquez, Luis</t>
  </si>
  <si>
    <t>Katnani, Samar</t>
  </si>
  <si>
    <t>Kelly, Dawn</t>
  </si>
  <si>
    <t>Landry-Reyes, Jane</t>
  </si>
  <si>
    <t>McCormick, James</t>
  </si>
  <si>
    <t>McCowen, Tamella</t>
  </si>
  <si>
    <t>Patel, Mona</t>
  </si>
  <si>
    <t>Pongnon, Miouly</t>
  </si>
  <si>
    <t>Reardon, Elizabeth</t>
  </si>
  <si>
    <t>Roman, Melissa</t>
  </si>
  <si>
    <t>Rubin, Jenn</t>
  </si>
  <si>
    <t>Wong, Humbert</t>
  </si>
  <si>
    <t>Xie, Vivian</t>
  </si>
  <si>
    <t>01/09/2019</t>
  </si>
  <si>
    <t>06/18/2019</t>
  </si>
  <si>
    <t>03/26/2019</t>
  </si>
  <si>
    <t>03/20/2018</t>
  </si>
  <si>
    <t>12/05/2017</t>
  </si>
  <si>
    <t>03/06/2019</t>
  </si>
  <si>
    <t>01/16/2019</t>
  </si>
  <si>
    <t>10/26/2018</t>
  </si>
  <si>
    <t>05/21/2019</t>
  </si>
  <si>
    <t>12/20/2018</t>
  </si>
  <si>
    <t>01/02/2019</t>
  </si>
  <si>
    <t>06/26/2019</t>
  </si>
  <si>
    <t>12/18/2018</t>
  </si>
  <si>
    <t>01/28/2019</t>
  </si>
  <si>
    <t>04/01/2019</t>
  </si>
  <si>
    <t>10/19/2018</t>
  </si>
  <si>
    <t>05/22/2019</t>
  </si>
  <si>
    <t>10/17/2018</t>
  </si>
  <si>
    <t>12/21/2018</t>
  </si>
  <si>
    <t>08/20/2018</t>
  </si>
  <si>
    <t>06/12/2019</t>
  </si>
  <si>
    <t>06/21/2019</t>
  </si>
  <si>
    <t>03/21/2019</t>
  </si>
  <si>
    <t>05/02/2019</t>
  </si>
  <si>
    <t>11/20/2018</t>
  </si>
  <si>
    <t>02/20/2019</t>
  </si>
  <si>
    <t>03/11/2019</t>
  </si>
  <si>
    <t>06/10/2019</t>
  </si>
  <si>
    <t>06/24/2019</t>
  </si>
  <si>
    <t>07/06/2018</t>
  </si>
  <si>
    <t>04/12/2019</t>
  </si>
  <si>
    <t>12/12/2016</t>
  </si>
  <si>
    <t>01/11/2019</t>
  </si>
  <si>
    <t>04/10/2018</t>
  </si>
  <si>
    <t>10/03/2018</t>
  </si>
  <si>
    <t>08/10/2018</t>
  </si>
  <si>
    <t>04/26/2018</t>
  </si>
  <si>
    <t>05/11/2018</t>
  </si>
  <si>
    <t>09/10/2018</t>
  </si>
  <si>
    <t>07/25/2018</t>
  </si>
  <si>
    <t>06/18/2018</t>
  </si>
  <si>
    <t>03/29/2019</t>
  </si>
  <si>
    <t>08/21/2018</t>
  </si>
  <si>
    <t>03/27/2017</t>
  </si>
  <si>
    <t>01/24/2017</t>
  </si>
  <si>
    <t>10/19/2017</t>
  </si>
  <si>
    <t>04/17/2017</t>
  </si>
  <si>
    <t>08/22/2018</t>
  </si>
  <si>
    <t>10/16/2018</t>
  </si>
  <si>
    <t>04/17/2018</t>
  </si>
  <si>
    <t>05/29/2015</t>
  </si>
  <si>
    <t>06/01/2015</t>
  </si>
  <si>
    <t>07/13/2015</t>
  </si>
  <si>
    <t>10/02/2018</t>
  </si>
  <si>
    <t>11/29/2018</t>
  </si>
  <si>
    <t>11/27/2018</t>
  </si>
  <si>
    <t>08/15/2018</t>
  </si>
  <si>
    <t>07/18/2018</t>
  </si>
  <si>
    <t>07/20/2018</t>
  </si>
  <si>
    <t>09/05/2018</t>
  </si>
  <si>
    <t>09/26/2018</t>
  </si>
  <si>
    <t>02/01/2019</t>
  </si>
  <si>
    <t>02/08/2019</t>
  </si>
  <si>
    <t>08/23/2018</t>
  </si>
  <si>
    <t>11/15/2018</t>
  </si>
  <si>
    <t>03/28/2018</t>
  </si>
  <si>
    <t>09/20/2018</t>
  </si>
  <si>
    <t>06/13/2019</t>
  </si>
  <si>
    <t>12/28/2017</t>
  </si>
  <si>
    <t>03/27/2018</t>
  </si>
  <si>
    <t>08/13/2018</t>
  </si>
  <si>
    <t>01/03/2019</t>
  </si>
  <si>
    <t>06/12/2018</t>
  </si>
  <si>
    <t>06/27/2019</t>
  </si>
  <si>
    <t>06/21/2018</t>
  </si>
  <si>
    <t>06/14/2018</t>
  </si>
  <si>
    <t>04/18/2019</t>
  </si>
  <si>
    <t>04/03/2018</t>
  </si>
  <si>
    <t>10/25/2018</t>
  </si>
  <si>
    <t>06/07/2019</t>
  </si>
  <si>
    <t>07/19/2018</t>
  </si>
  <si>
    <t>11/30/2018</t>
  </si>
  <si>
    <t>10/12/2018</t>
  </si>
  <si>
    <t>05/27/2017</t>
  </si>
  <si>
    <t>07/16/2018</t>
  </si>
  <si>
    <t>08/31/2018</t>
  </si>
  <si>
    <t>10/01/2018</t>
  </si>
  <si>
    <t>12/13/2018</t>
  </si>
  <si>
    <t>05/30/2019</t>
  </si>
  <si>
    <t>01/29/2019</t>
  </si>
  <si>
    <t>03/28/2019</t>
  </si>
  <si>
    <t>01/15/2019</t>
  </si>
  <si>
    <t>03/19/2019</t>
  </si>
  <si>
    <t>04/11/2019</t>
  </si>
  <si>
    <t>01/04/2019</t>
  </si>
  <si>
    <t>03/04/2019</t>
  </si>
  <si>
    <t>02/21/2019</t>
  </si>
  <si>
    <t>02/11/2019</t>
  </si>
  <si>
    <t>12/05/2016</t>
  </si>
  <si>
    <t>02/10/2017</t>
  </si>
  <si>
    <t>03/25/2019</t>
  </si>
  <si>
    <t>05/13/2019</t>
  </si>
  <si>
    <t>05/24/2019</t>
  </si>
  <si>
    <t>02/05/2018</t>
  </si>
  <si>
    <t>03/09/2018</t>
  </si>
  <si>
    <t>02/01/2017</t>
  </si>
  <si>
    <t>12/15/2018</t>
  </si>
  <si>
    <t>06/05/2018</t>
  </si>
  <si>
    <t>10/11/2018</t>
  </si>
  <si>
    <t>05/02/2018</t>
  </si>
  <si>
    <t>09/06/2018</t>
  </si>
  <si>
    <t>07/23/2018</t>
  </si>
  <si>
    <t>07/24/2018</t>
  </si>
  <si>
    <t>09/25/2018</t>
  </si>
  <si>
    <t>06/28/2018</t>
  </si>
  <si>
    <t>10/24/2018</t>
  </si>
  <si>
    <t>10/09/2018</t>
  </si>
  <si>
    <t>01/24/2019</t>
  </si>
  <si>
    <t>01/18/2019</t>
  </si>
  <si>
    <t>02/28/2019</t>
  </si>
  <si>
    <t>11/05/2018</t>
  </si>
  <si>
    <t>05/17/2018</t>
  </si>
  <si>
    <t>12/11/2018</t>
  </si>
  <si>
    <t>09/11/2018</t>
  </si>
  <si>
    <t>06/11/2018</t>
  </si>
  <si>
    <t>03/14/2019</t>
  </si>
  <si>
    <t>04/10/2019</t>
  </si>
  <si>
    <t>12/17/2018</t>
  </si>
  <si>
    <t>04/09/2019</t>
  </si>
  <si>
    <t>04/26/2019</t>
  </si>
  <si>
    <t>11/21/2017</t>
  </si>
  <si>
    <t>05/23/2018</t>
  </si>
  <si>
    <t>06/14/2019</t>
  </si>
  <si>
    <t>12/31/2018</t>
  </si>
  <si>
    <t>01/10/2019</t>
  </si>
  <si>
    <t>06/29/2019</t>
  </si>
  <si>
    <t>03/18/2019</t>
  </si>
  <si>
    <t>03/15/2019</t>
  </si>
  <si>
    <t>11/02/2018</t>
  </si>
  <si>
    <t>04/15/2019</t>
  </si>
  <si>
    <t>02/05/2019</t>
  </si>
  <si>
    <t>04/13/2019</t>
  </si>
  <si>
    <t>04/05/2019</t>
  </si>
  <si>
    <t>01/01/2019</t>
  </si>
  <si>
    <t>01/17/2019</t>
  </si>
  <si>
    <t>07/02/2019</t>
  </si>
  <si>
    <t>10/10/2018</t>
  </si>
  <si>
    <t>01/14/2019</t>
  </si>
  <si>
    <t>08/08/2018</t>
  </si>
  <si>
    <t>09/19/2018</t>
  </si>
  <si>
    <t>Petal</t>
  </si>
  <si>
    <t>Marquise</t>
  </si>
  <si>
    <t>Steven</t>
  </si>
  <si>
    <t>Phillip</t>
  </si>
  <si>
    <t>Connie</t>
  </si>
  <si>
    <t>Diasia</t>
  </si>
  <si>
    <t>Octavia</t>
  </si>
  <si>
    <t>Irma</t>
  </si>
  <si>
    <t>Paula</t>
  </si>
  <si>
    <t>Denise</t>
  </si>
  <si>
    <t>Nicole</t>
  </si>
  <si>
    <t>Ana</t>
  </si>
  <si>
    <t>Teshawna</t>
  </si>
  <si>
    <t>Bruce</t>
  </si>
  <si>
    <t>Edwin</t>
  </si>
  <si>
    <t>Debora</t>
  </si>
  <si>
    <t>Tony</t>
  </si>
  <si>
    <t>Assel</t>
  </si>
  <si>
    <t>Edilma</t>
  </si>
  <si>
    <t>Ebony</t>
  </si>
  <si>
    <t>Louis</t>
  </si>
  <si>
    <t>Franscisco</t>
  </si>
  <si>
    <t>Emily</t>
  </si>
  <si>
    <t>Maria</t>
  </si>
  <si>
    <t>Jaycee</t>
  </si>
  <si>
    <t>Eunice</t>
  </si>
  <si>
    <t>Tania</t>
  </si>
  <si>
    <t>Carmen</t>
  </si>
  <si>
    <t>Trevor</t>
  </si>
  <si>
    <t>Viela</t>
  </si>
  <si>
    <t>Maureen</t>
  </si>
  <si>
    <t>Ysmenia</t>
  </si>
  <si>
    <t>Calvin</t>
  </si>
  <si>
    <t>Margarita</t>
  </si>
  <si>
    <t>Erica</t>
  </si>
  <si>
    <t>Karen</t>
  </si>
  <si>
    <t>Michelle</t>
  </si>
  <si>
    <t>Angela</t>
  </si>
  <si>
    <t>Myra</t>
  </si>
  <si>
    <t>Tara</t>
  </si>
  <si>
    <t>Lydia</t>
  </si>
  <si>
    <t>Belkise</t>
  </si>
  <si>
    <t>Kim</t>
  </si>
  <si>
    <t>Marina</t>
  </si>
  <si>
    <t>Sabrena</t>
  </si>
  <si>
    <t>Valerine</t>
  </si>
  <si>
    <t>Bernard</t>
  </si>
  <si>
    <t>Henriette</t>
  </si>
  <si>
    <t>Taneeka</t>
  </si>
  <si>
    <t>Stephanie</t>
  </si>
  <si>
    <t>Nikeya</t>
  </si>
  <si>
    <t>Akheem</t>
  </si>
  <si>
    <t>Blondy</t>
  </si>
  <si>
    <t>Marea</t>
  </si>
  <si>
    <t>Lily</t>
  </si>
  <si>
    <t>Akemi</t>
  </si>
  <si>
    <t>Marilyn</t>
  </si>
  <si>
    <t>Natasha</t>
  </si>
  <si>
    <t>Taiwo</t>
  </si>
  <si>
    <t>Morenike</t>
  </si>
  <si>
    <t>Sondra</t>
  </si>
  <si>
    <t>Juleen</t>
  </si>
  <si>
    <t>Carlos</t>
  </si>
  <si>
    <t>Valerie</t>
  </si>
  <si>
    <t>Wendy</t>
  </si>
  <si>
    <t>Ralph</t>
  </si>
  <si>
    <t>Marcia</t>
  </si>
  <si>
    <t>Shamilia</t>
  </si>
  <si>
    <t>Donna</t>
  </si>
  <si>
    <t>Andrej</t>
  </si>
  <si>
    <t>Cindy</t>
  </si>
  <si>
    <t>Sophia</t>
  </si>
  <si>
    <t>Sharon</t>
  </si>
  <si>
    <t>Tyrone</t>
  </si>
  <si>
    <t>Kristen</t>
  </si>
  <si>
    <t>Thyias</t>
  </si>
  <si>
    <t>Josephine</t>
  </si>
  <si>
    <t>Albert</t>
  </si>
  <si>
    <t>Julio</t>
  </si>
  <si>
    <t>Teresa</t>
  </si>
  <si>
    <t>Misael</t>
  </si>
  <si>
    <t>Renison</t>
  </si>
  <si>
    <t>Jeffrey</t>
  </si>
  <si>
    <t>Cocavyah</t>
  </si>
  <si>
    <t>Sherma</t>
  </si>
  <si>
    <t>Samantha</t>
  </si>
  <si>
    <t>Sherry</t>
  </si>
  <si>
    <t>Corrine</t>
  </si>
  <si>
    <t>Tiffany</t>
  </si>
  <si>
    <t>Ivelisse</t>
  </si>
  <si>
    <t>Fredy</t>
  </si>
  <si>
    <t>Frantonya</t>
  </si>
  <si>
    <t>Metania</t>
  </si>
  <si>
    <t>Dovear</t>
  </si>
  <si>
    <t>Zakkiyah</t>
  </si>
  <si>
    <t>Hilkia</t>
  </si>
  <si>
    <t>Luz</t>
  </si>
  <si>
    <t>Eva</t>
  </si>
  <si>
    <t>Charles</t>
  </si>
  <si>
    <t>Crossley</t>
  </si>
  <si>
    <t>Yonette</t>
  </si>
  <si>
    <t>Marta</t>
  </si>
  <si>
    <t>Clyde</t>
  </si>
  <si>
    <t>Bonnie</t>
  </si>
  <si>
    <t>Adjante</t>
  </si>
  <si>
    <t>Jamel</t>
  </si>
  <si>
    <t>Marcel</t>
  </si>
  <si>
    <t>Jeannette</t>
  </si>
  <si>
    <t>Esther</t>
  </si>
  <si>
    <t>Faye</t>
  </si>
  <si>
    <t>Lakisha</t>
  </si>
  <si>
    <t>Miriam</t>
  </si>
  <si>
    <t>Caroline</t>
  </si>
  <si>
    <t>Devor</t>
  </si>
  <si>
    <t>Jamiylah</t>
  </si>
  <si>
    <t>Linessa</t>
  </si>
  <si>
    <t>Janice</t>
  </si>
  <si>
    <t>Mariana</t>
  </si>
  <si>
    <t>Chanavia</t>
  </si>
  <si>
    <t>Angellica</t>
  </si>
  <si>
    <t>Victoria</t>
  </si>
  <si>
    <t>Yuriy</t>
  </si>
  <si>
    <t>Yukie</t>
  </si>
  <si>
    <t>Christy</t>
  </si>
  <si>
    <t>Rahiem</t>
  </si>
  <si>
    <t>Fatima</t>
  </si>
  <si>
    <t>Joan</t>
  </si>
  <si>
    <t>Luis</t>
  </si>
  <si>
    <t>Robin</t>
  </si>
  <si>
    <t>Salvatore</t>
  </si>
  <si>
    <t>Chanette</t>
  </si>
  <si>
    <t>Ayodel</t>
  </si>
  <si>
    <t>Willie</t>
  </si>
  <si>
    <t>Zorro</t>
  </si>
  <si>
    <t>Madeline</t>
  </si>
  <si>
    <t>Christine</t>
  </si>
  <si>
    <t>Gwendolyn</t>
  </si>
  <si>
    <t>Bertin</t>
  </si>
  <si>
    <t>Gildania</t>
  </si>
  <si>
    <t>Lisa</t>
  </si>
  <si>
    <t>Jacqueline</t>
  </si>
  <si>
    <t>Shavarn</t>
  </si>
  <si>
    <t>Adrienne</t>
  </si>
  <si>
    <t>Matilde</t>
  </si>
  <si>
    <t>Pechla</t>
  </si>
  <si>
    <t>Manisha</t>
  </si>
  <si>
    <t>Joanne</t>
  </si>
  <si>
    <t>Kashif</t>
  </si>
  <si>
    <t>Cathleen</t>
  </si>
  <si>
    <t>Timothy</t>
  </si>
  <si>
    <t>Diedre</t>
  </si>
  <si>
    <t>Winnifred</t>
  </si>
  <si>
    <t>Destiny</t>
  </si>
  <si>
    <t>Sheniqua</t>
  </si>
  <si>
    <t>Marien</t>
  </si>
  <si>
    <t>Atiya</t>
  </si>
  <si>
    <t>Maurenee</t>
  </si>
  <si>
    <t>Curtis</t>
  </si>
  <si>
    <t>Cynthia</t>
  </si>
  <si>
    <t>John</t>
  </si>
  <si>
    <t>Al</t>
  </si>
  <si>
    <t>Terrance</t>
  </si>
  <si>
    <t>Bridges</t>
  </si>
  <si>
    <t>Dionne</t>
  </si>
  <si>
    <t>Yolanda</t>
  </si>
  <si>
    <t>Angel</t>
  </si>
  <si>
    <t>Phyllis</t>
  </si>
  <si>
    <t>Norman</t>
  </si>
  <si>
    <t>Parys</t>
  </si>
  <si>
    <t>Darrell</t>
  </si>
  <si>
    <t>Carolyn</t>
  </si>
  <si>
    <t>Julian</t>
  </si>
  <si>
    <t>Chantal</t>
  </si>
  <si>
    <t>Shamima</t>
  </si>
  <si>
    <t>Pearlina</t>
  </si>
  <si>
    <t>Nastassja</t>
  </si>
  <si>
    <t>Virginia</t>
  </si>
  <si>
    <t>Isha</t>
  </si>
  <si>
    <t>Harry</t>
  </si>
  <si>
    <t>Deonna</t>
  </si>
  <si>
    <t>Latoya</t>
  </si>
  <si>
    <t>Willy</t>
  </si>
  <si>
    <t>Venetta</t>
  </si>
  <si>
    <t>Devora-Orit</t>
  </si>
  <si>
    <t>Sherry-Ann</t>
  </si>
  <si>
    <t>Bleuberthol</t>
  </si>
  <si>
    <t>Malana</t>
  </si>
  <si>
    <t>Monique</t>
  </si>
  <si>
    <t>Kyianna</t>
  </si>
  <si>
    <t>Stefano</t>
  </si>
  <si>
    <t>Leon</t>
  </si>
  <si>
    <t>Keneeda</t>
  </si>
  <si>
    <t>Cavita</t>
  </si>
  <si>
    <t>Madge</t>
  </si>
  <si>
    <t>Tiney</t>
  </si>
  <si>
    <t>Moses</t>
  </si>
  <si>
    <t>Nikisha</t>
  </si>
  <si>
    <t>Ashley</t>
  </si>
  <si>
    <t>Marc</t>
  </si>
  <si>
    <t>Andre</t>
  </si>
  <si>
    <t>Marylin</t>
  </si>
  <si>
    <t>George</t>
  </si>
  <si>
    <t>Jenine</t>
  </si>
  <si>
    <t>Nando</t>
  </si>
  <si>
    <t>Semantha</t>
  </si>
  <si>
    <t>Curline</t>
  </si>
  <si>
    <t>Adele</t>
  </si>
  <si>
    <t>Donnie</t>
  </si>
  <si>
    <t>Darrin</t>
  </si>
  <si>
    <t>Patsy</t>
  </si>
  <si>
    <t>Deloris</t>
  </si>
  <si>
    <t>Maurice</t>
  </si>
  <si>
    <t>Barbara</t>
  </si>
  <si>
    <t>Kimberly</t>
  </si>
  <si>
    <t>Sharina</t>
  </si>
  <si>
    <t>Goug</t>
  </si>
  <si>
    <t>Ayanna</t>
  </si>
  <si>
    <t>Sherika</t>
  </si>
  <si>
    <t>Leonard</t>
  </si>
  <si>
    <t>Kaydian</t>
  </si>
  <si>
    <t>Carmel</t>
  </si>
  <si>
    <t>Ofelia</t>
  </si>
  <si>
    <t>Emerson</t>
  </si>
  <si>
    <t>Keisha</t>
  </si>
  <si>
    <t>Shirley</t>
  </si>
  <si>
    <t>Markeek</t>
  </si>
  <si>
    <t>Marjeth</t>
  </si>
  <si>
    <t>Odetta</t>
  </si>
  <si>
    <t>Gregory</t>
  </si>
  <si>
    <t>Jenaire</t>
  </si>
  <si>
    <t>Charisse</t>
  </si>
  <si>
    <t>Felia</t>
  </si>
  <si>
    <t>Karla</t>
  </si>
  <si>
    <t>Ruth</t>
  </si>
  <si>
    <t>Rosa</t>
  </si>
  <si>
    <t>Veronica</t>
  </si>
  <si>
    <t>Germaine</t>
  </si>
  <si>
    <t>Karyn</t>
  </si>
  <si>
    <t>Latrice</t>
  </si>
  <si>
    <t>Dawna</t>
  </si>
  <si>
    <t>Darlene</t>
  </si>
  <si>
    <t>Jashel</t>
  </si>
  <si>
    <t>Cummings</t>
  </si>
  <si>
    <t>Blowe</t>
  </si>
  <si>
    <t>Altman</t>
  </si>
  <si>
    <t>Duncan</t>
  </si>
  <si>
    <t>Peterson</t>
  </si>
  <si>
    <t>McWilliams</t>
  </si>
  <si>
    <t>Walker</t>
  </si>
  <si>
    <t>Arroyo</t>
  </si>
  <si>
    <t>Rodriguez</t>
  </si>
  <si>
    <t>Angus</t>
  </si>
  <si>
    <t>Decarmine</t>
  </si>
  <si>
    <t>Zaldivar</t>
  </si>
  <si>
    <t>Graham</t>
  </si>
  <si>
    <t>Asforis</t>
  </si>
  <si>
    <t>Santana</t>
  </si>
  <si>
    <t>Tillman</t>
  </si>
  <si>
    <t>Lucca</t>
  </si>
  <si>
    <t>Sampson</t>
  </si>
  <si>
    <t>Wright</t>
  </si>
  <si>
    <t>Hernandez</t>
  </si>
  <si>
    <t>Birney</t>
  </si>
  <si>
    <t>Rivera</t>
  </si>
  <si>
    <t>Lord</t>
  </si>
  <si>
    <t>Abreu</t>
  </si>
  <si>
    <t>Velez</t>
  </si>
  <si>
    <t>Servil</t>
  </si>
  <si>
    <t>Gordon</t>
  </si>
  <si>
    <t>Baez</t>
  </si>
  <si>
    <t>Lawrence</t>
  </si>
  <si>
    <t>Montero</t>
  </si>
  <si>
    <t>Morgan</t>
  </si>
  <si>
    <t>Fenton</t>
  </si>
  <si>
    <t>Linder</t>
  </si>
  <si>
    <t>Zetrenne</t>
  </si>
  <si>
    <t>Mcfadden</t>
  </si>
  <si>
    <t>Sherman</t>
  </si>
  <si>
    <t>Carrasquillo</t>
  </si>
  <si>
    <t>Diaz</t>
  </si>
  <si>
    <t>Chestnut</t>
  </si>
  <si>
    <t>Noel</t>
  </si>
  <si>
    <t>Luzon</t>
  </si>
  <si>
    <t>Mahon</t>
  </si>
  <si>
    <t>Harrison</t>
  </si>
  <si>
    <t>Ferguson</t>
  </si>
  <si>
    <t>Holmes</t>
  </si>
  <si>
    <t>Jones</t>
  </si>
  <si>
    <t>Gittens</t>
  </si>
  <si>
    <t>White</t>
  </si>
  <si>
    <t>Cruz</t>
  </si>
  <si>
    <t>Gomez</t>
  </si>
  <si>
    <t>Eberhart</t>
  </si>
  <si>
    <t>Pierre</t>
  </si>
  <si>
    <t>Moore</t>
  </si>
  <si>
    <t>Moss</t>
  </si>
  <si>
    <t>Hartridge</t>
  </si>
  <si>
    <t>Shabazz</t>
  </si>
  <si>
    <t>Pariser</t>
  </si>
  <si>
    <t>Tanzil-Onne</t>
  </si>
  <si>
    <t>Miyamoto</t>
  </si>
  <si>
    <t>Gardner</t>
  </si>
  <si>
    <t>Baptiste</t>
  </si>
  <si>
    <t>Adesina</t>
  </si>
  <si>
    <t>Lambert</t>
  </si>
  <si>
    <t>Fagen</t>
  </si>
  <si>
    <t>Alvarez</t>
  </si>
  <si>
    <t>Pressley</t>
  </si>
  <si>
    <t>Poe</t>
  </si>
  <si>
    <t>Foy</t>
  </si>
  <si>
    <t>Tranquada</t>
  </si>
  <si>
    <t>Knight</t>
  </si>
  <si>
    <t>Sterling</t>
  </si>
  <si>
    <t>McCord</t>
  </si>
  <si>
    <t>Matthews</t>
  </si>
  <si>
    <t>Cruz Lopez</t>
  </si>
  <si>
    <t>Klewicki</t>
  </si>
  <si>
    <t>Ramos</t>
  </si>
  <si>
    <t>Cole</t>
  </si>
  <si>
    <t>Gatling</t>
  </si>
  <si>
    <t>Padgett</t>
  </si>
  <si>
    <t>Taylor</t>
  </si>
  <si>
    <t>Francois</t>
  </si>
  <si>
    <t>Merritt</t>
  </si>
  <si>
    <t>Bank</t>
  </si>
  <si>
    <t>Marcano</t>
  </si>
  <si>
    <t>Hilario</t>
  </si>
  <si>
    <t>Chavarria</t>
  </si>
  <si>
    <t>Tyler</t>
  </si>
  <si>
    <t>Ruzzo</t>
  </si>
  <si>
    <t>Perez</t>
  </si>
  <si>
    <t>Christian</t>
  </si>
  <si>
    <t>Aronowitz</t>
  </si>
  <si>
    <t>Benyahmeen</t>
  </si>
  <si>
    <t>King</t>
  </si>
  <si>
    <t>Butler</t>
  </si>
  <si>
    <t>Kippins</t>
  </si>
  <si>
    <t>Tatum</t>
  </si>
  <si>
    <t>Short</t>
  </si>
  <si>
    <t>Machuca</t>
  </si>
  <si>
    <t>Vasquez</t>
  </si>
  <si>
    <t>Martinez</t>
  </si>
  <si>
    <t>Whyte</t>
  </si>
  <si>
    <t>Murray</t>
  </si>
  <si>
    <t>Calhoun</t>
  </si>
  <si>
    <t>Young</t>
  </si>
  <si>
    <t>Virella</t>
  </si>
  <si>
    <t>Gonda</t>
  </si>
  <si>
    <t>Wooden</t>
  </si>
  <si>
    <t>Lindsay</t>
  </si>
  <si>
    <t>Parris</t>
  </si>
  <si>
    <t>Tanco</t>
  </si>
  <si>
    <t>Reid</t>
  </si>
  <si>
    <t>Ruebenstahl</t>
  </si>
  <si>
    <t>Smoots</t>
  </si>
  <si>
    <t>Wint</t>
  </si>
  <si>
    <t>Joe</t>
  </si>
  <si>
    <t>Pestano</t>
  </si>
  <si>
    <t>Delgado</t>
  </si>
  <si>
    <t>Stubs</t>
  </si>
  <si>
    <t>Miller</t>
  </si>
  <si>
    <t>Dale</t>
  </si>
  <si>
    <t>Strickland</t>
  </si>
  <si>
    <t>Pearson</t>
  </si>
  <si>
    <t>Douglas</t>
  </si>
  <si>
    <t>Cardena</t>
  </si>
  <si>
    <t>Johnson</t>
  </si>
  <si>
    <t>Piedrahita</t>
  </si>
  <si>
    <t>Womble</t>
  </si>
  <si>
    <t>Lyashchenko</t>
  </si>
  <si>
    <t>Robtoy</t>
  </si>
  <si>
    <t>Davis</t>
  </si>
  <si>
    <t>Marroquin</t>
  </si>
  <si>
    <t>Florio</t>
  </si>
  <si>
    <t>Hinkson</t>
  </si>
  <si>
    <t>Chambers</t>
  </si>
  <si>
    <t>Saglembeni</t>
  </si>
  <si>
    <t>Alexander</t>
  </si>
  <si>
    <t>loadholt</t>
  </si>
  <si>
    <t>Nistor</t>
  </si>
  <si>
    <t>Mercado</t>
  </si>
  <si>
    <t>Osuala</t>
  </si>
  <si>
    <t>Willis</t>
  </si>
  <si>
    <t>Rivers</t>
  </si>
  <si>
    <t>Williams</t>
  </si>
  <si>
    <t>Garduno</t>
  </si>
  <si>
    <t>Castillo</t>
  </si>
  <si>
    <t>Canady</t>
  </si>
  <si>
    <t>Hendy-Hogan</t>
  </si>
  <si>
    <t>Torres</t>
  </si>
  <si>
    <t>Roman</t>
  </si>
  <si>
    <t>Moses-Harrison</t>
  </si>
  <si>
    <t>Collins</t>
  </si>
  <si>
    <t>Gibbs</t>
  </si>
  <si>
    <t>Ashanti</t>
  </si>
  <si>
    <t>Muller</t>
  </si>
  <si>
    <t>Shaw</t>
  </si>
  <si>
    <t>Mungin</t>
  </si>
  <si>
    <t>Simpson</t>
  </si>
  <si>
    <t>Ratley</t>
  </si>
  <si>
    <t>Weathers</t>
  </si>
  <si>
    <t>Keitt</t>
  </si>
  <si>
    <t>Padilla</t>
  </si>
  <si>
    <t>Brown</t>
  </si>
  <si>
    <t>Medrano</t>
  </si>
  <si>
    <t>Ulysse</t>
  </si>
  <si>
    <t>Dance</t>
  </si>
  <si>
    <t>Frederick</t>
  </si>
  <si>
    <t>Cousins</t>
  </si>
  <si>
    <t>Franklin</t>
  </si>
  <si>
    <t>Grant</t>
  </si>
  <si>
    <t>Richards</t>
  </si>
  <si>
    <t>Henry</t>
  </si>
  <si>
    <t>Cheeseboro</t>
  </si>
  <si>
    <t>West</t>
  </si>
  <si>
    <t>Jimenez</t>
  </si>
  <si>
    <t>Montalvo</t>
  </si>
  <si>
    <t>Winston-Orr</t>
  </si>
  <si>
    <t>Bryant</t>
  </si>
  <si>
    <t>Epps</t>
  </si>
  <si>
    <t>Grimes</t>
  </si>
  <si>
    <t>Pearsall</t>
  </si>
  <si>
    <t>Hewitt</t>
  </si>
  <si>
    <t>Carroll</t>
  </si>
  <si>
    <t>McQueen</t>
  </si>
  <si>
    <t>Borrero</t>
  </si>
  <si>
    <t>Jimenez Perez</t>
  </si>
  <si>
    <t>Dotson</t>
  </si>
  <si>
    <t>Gary</t>
  </si>
  <si>
    <t>Pagan</t>
  </si>
  <si>
    <t>Wiggins</t>
  </si>
  <si>
    <t>Vargas</t>
  </si>
  <si>
    <t>Ahfor</t>
  </si>
  <si>
    <t>Collier</t>
  </si>
  <si>
    <t>Scott</t>
  </si>
  <si>
    <t>Reese</t>
  </si>
  <si>
    <t>Ackah</t>
  </si>
  <si>
    <t>Green</t>
  </si>
  <si>
    <t>Joyce</t>
  </si>
  <si>
    <t>Ramdial</t>
  </si>
  <si>
    <t>Dawkins</t>
  </si>
  <si>
    <t>Whetstone</t>
  </si>
  <si>
    <t>Henriques</t>
  </si>
  <si>
    <t>Minott</t>
  </si>
  <si>
    <t>Bynes</t>
  </si>
  <si>
    <t>Ladson</t>
  </si>
  <si>
    <t>Mays</t>
  </si>
  <si>
    <t>Paredes</t>
  </si>
  <si>
    <t>Hopeman</t>
  </si>
  <si>
    <t>Cantrell</t>
  </si>
  <si>
    <t>Bailey</t>
  </si>
  <si>
    <t>Best</t>
  </si>
  <si>
    <t>Allen</t>
  </si>
  <si>
    <t>Small</t>
  </si>
  <si>
    <t>Anderson</t>
  </si>
  <si>
    <t>Robertson</t>
  </si>
  <si>
    <t>Lindsey</t>
  </si>
  <si>
    <t>Vandross</t>
  </si>
  <si>
    <t>Nunez</t>
  </si>
  <si>
    <t>Bourne</t>
  </si>
  <si>
    <t>Parker</t>
  </si>
  <si>
    <t>Boone</t>
  </si>
  <si>
    <t>Cohn</t>
  </si>
  <si>
    <t>Hill</t>
  </si>
  <si>
    <t>Freckleton</t>
  </si>
  <si>
    <t>Rios</t>
  </si>
  <si>
    <t>Herndon</t>
  </si>
  <si>
    <t>Leicher</t>
  </si>
  <si>
    <t>Swain</t>
  </si>
  <si>
    <t>Jackson</t>
  </si>
  <si>
    <t>Carrington</t>
  </si>
  <si>
    <t>Zolnoski</t>
  </si>
  <si>
    <t>Chery</t>
  </si>
  <si>
    <t>Prince</t>
  </si>
  <si>
    <t>Denis</t>
  </si>
  <si>
    <t>Ortiz</t>
  </si>
  <si>
    <t>McKenzie</t>
  </si>
  <si>
    <t>Azeez</t>
  </si>
  <si>
    <t>107 Somers St</t>
  </si>
  <si>
    <t>562 Bainbridge St</t>
  </si>
  <si>
    <t>13 Columbus Pl</t>
  </si>
  <si>
    <t>2573 Atlantic Ave</t>
  </si>
  <si>
    <t>2342 Atlantic Ave</t>
  </si>
  <si>
    <t>584 Logan St</t>
  </si>
  <si>
    <t>765 Lincoln Ave</t>
  </si>
  <si>
    <t>787 Linwood St</t>
  </si>
  <si>
    <t>580 Bristol St</t>
  </si>
  <si>
    <t>87 E 93rd St</t>
  </si>
  <si>
    <t>1132 Loring Ave</t>
  </si>
  <si>
    <t>44 Euclid Ave</t>
  </si>
  <si>
    <t>47 Montauk Ave</t>
  </si>
  <si>
    <t>802 Miller ave</t>
  </si>
  <si>
    <t>1036 Winthrop St</t>
  </si>
  <si>
    <t>494 Georgia Ave</t>
  </si>
  <si>
    <t>456 Autum Avenue</t>
  </si>
  <si>
    <t>81 Pilling St</t>
  </si>
  <si>
    <t>182 Riverdale Ave</t>
  </si>
  <si>
    <t>481 Lincoln Ave</t>
  </si>
  <si>
    <t>222 Sheridan Ave</t>
  </si>
  <si>
    <t>859 Belmont Ave</t>
  </si>
  <si>
    <t>790 Eldert Ln</t>
  </si>
  <si>
    <t>81 Milford St</t>
  </si>
  <si>
    <t>54 Sunnyside Ave</t>
  </si>
  <si>
    <t>431 New Lots Ave</t>
  </si>
  <si>
    <t>9601 Church ave</t>
  </si>
  <si>
    <t>558 Ridgewood Ave</t>
  </si>
  <si>
    <t>54 Osborn St</t>
  </si>
  <si>
    <t>1749 Linden Blvd</t>
  </si>
  <si>
    <t>375 Pulaski St</t>
  </si>
  <si>
    <t>180 E 18th St</t>
  </si>
  <si>
    <t>1430 Bergen St</t>
  </si>
  <si>
    <t>1083a Prospect Pl</t>
  </si>
  <si>
    <t>127 Miller Ave</t>
  </si>
  <si>
    <t>243 Kingston Ave</t>
  </si>
  <si>
    <t>445 Linwood St</t>
  </si>
  <si>
    <t>455 Linwood St</t>
  </si>
  <si>
    <t>477 Saratoga Ave</t>
  </si>
  <si>
    <t>955 Crescent St</t>
  </si>
  <si>
    <t>127 miller ave</t>
  </si>
  <si>
    <t>903 Drew St</t>
  </si>
  <si>
    <t>1940 Pacific St</t>
  </si>
  <si>
    <t>206 Newport St</t>
  </si>
  <si>
    <t>244 Sumpter St</t>
  </si>
  <si>
    <t>1661 Saint Johns Pl</t>
  </si>
  <si>
    <t>1206 Bergen St</t>
  </si>
  <si>
    <t>780 Macdonough St</t>
  </si>
  <si>
    <t>63 Hull St</t>
  </si>
  <si>
    <t>501 Hegeman Ave</t>
  </si>
  <si>
    <t>176 Mckinley Ave</t>
  </si>
  <si>
    <t>1370 Eastern Pkwy</t>
  </si>
  <si>
    <t>719 Chauncey St</t>
  </si>
  <si>
    <t>972 Eastern Pkwy</t>
  </si>
  <si>
    <t>740 Sutter Ave</t>
  </si>
  <si>
    <t>785 Belmont Ave</t>
  </si>
  <si>
    <t>908 Thomas S Boyland St</t>
  </si>
  <si>
    <t>180 Grafton St</t>
  </si>
  <si>
    <t>82 Rockaway Pkwy</t>
  </si>
  <si>
    <t>792 Sterling Pl</t>
  </si>
  <si>
    <t>152 Marcus Garvey Blvd</t>
  </si>
  <si>
    <t>232 Schenectady Ave</t>
  </si>
  <si>
    <t>630 Riverdale Ave</t>
  </si>
  <si>
    <t>115 Ocean Ave</t>
  </si>
  <si>
    <t>140 Cadman Plz W</t>
  </si>
  <si>
    <t>604 Midwood St</t>
  </si>
  <si>
    <t>1769 Park pl</t>
  </si>
  <si>
    <t>723 Hancock St</t>
  </si>
  <si>
    <t>781 Herkimer St</t>
  </si>
  <si>
    <t>96 E 93rd St</t>
  </si>
  <si>
    <t>216 Rockaway Ave</t>
  </si>
  <si>
    <t>660 E 98th St</t>
  </si>
  <si>
    <t>77 Sheffield Ave</t>
  </si>
  <si>
    <t>257 Mother Gaston Blvd</t>
  </si>
  <si>
    <t>205 Sumpter St</t>
  </si>
  <si>
    <t>975 42nd St</t>
  </si>
  <si>
    <t>1631 Saint Marks Ave</t>
  </si>
  <si>
    <t>2180 Fulton St</t>
  </si>
  <si>
    <t>1004 Montgomery st</t>
  </si>
  <si>
    <t>135 Elmira Loop</t>
  </si>
  <si>
    <t>2092 Dean St</t>
  </si>
  <si>
    <t>1429 Carroll St</t>
  </si>
  <si>
    <t>223 Van Siclen Ave</t>
  </si>
  <si>
    <t>658 Ashford St</t>
  </si>
  <si>
    <t>163 Madison St</t>
  </si>
  <si>
    <t>1096 President St</t>
  </si>
  <si>
    <t>263 Prospect Park W</t>
  </si>
  <si>
    <t>1465 Geneva Loop</t>
  </si>
  <si>
    <t>202a Saratoga Ave</t>
  </si>
  <si>
    <t>566 Parkside Ave</t>
  </si>
  <si>
    <t>47 Menahan St</t>
  </si>
  <si>
    <t>902 47th St</t>
  </si>
  <si>
    <t>575 Herkimer St</t>
  </si>
  <si>
    <t>651 Barbey St</t>
  </si>
  <si>
    <t>461 Milford St</t>
  </si>
  <si>
    <t>250 E 93rd St</t>
  </si>
  <si>
    <t>568 Cleveland St</t>
  </si>
  <si>
    <t>1322 Saint Marks Ave</t>
  </si>
  <si>
    <t>28 Hill St</t>
  </si>
  <si>
    <t>655 Warwick St</t>
  </si>
  <si>
    <t>1003 willmohr st</t>
  </si>
  <si>
    <t>731 LInden blvd</t>
  </si>
  <si>
    <t>48 Van Siclen Ave</t>
  </si>
  <si>
    <t>1869 Eastern Pkwy</t>
  </si>
  <si>
    <t>244a Macdougal St</t>
  </si>
  <si>
    <t>1085 Belmont Ave</t>
  </si>
  <si>
    <t>108 Central Ave</t>
  </si>
  <si>
    <t>2168 Fulton St</t>
  </si>
  <si>
    <t>7022 Ridge Blvd</t>
  </si>
  <si>
    <t>1922 Pacific St</t>
  </si>
  <si>
    <t>500 Bristol St</t>
  </si>
  <si>
    <t>913 Belmont Ave</t>
  </si>
  <si>
    <t>890 Flushing Ave</t>
  </si>
  <si>
    <t>2160 dean st</t>
  </si>
  <si>
    <t>301 100th St</t>
  </si>
  <si>
    <t>401 Macon St</t>
  </si>
  <si>
    <t>166 Linwood St</t>
  </si>
  <si>
    <t>735 Lincoln Ave</t>
  </si>
  <si>
    <t>1325 Eastern Pkwy</t>
  </si>
  <si>
    <t>651 Elton St</t>
  </si>
  <si>
    <t>274 Forbell St</t>
  </si>
  <si>
    <t>490 Williams Ave</t>
  </si>
  <si>
    <t>1036 President St</t>
  </si>
  <si>
    <t>1392 Sterling Pl</t>
  </si>
  <si>
    <t>1381 Linden Blvd</t>
  </si>
  <si>
    <t>8523 Avenue J</t>
  </si>
  <si>
    <t>1637 Saint Marks Ave</t>
  </si>
  <si>
    <t>1295 Blake Ave</t>
  </si>
  <si>
    <t>30 3rd Ave</t>
  </si>
  <si>
    <t>1132 Halsey St</t>
  </si>
  <si>
    <t>24 Furman Ave</t>
  </si>
  <si>
    <t>961 42nd St</t>
  </si>
  <si>
    <t>656 Howard Ave</t>
  </si>
  <si>
    <t>40 N 4th St</t>
  </si>
  <si>
    <t>699 Pennsylvania Ave</t>
  </si>
  <si>
    <t>820 Ocean Pkwy</t>
  </si>
  <si>
    <t>439A Blake ave</t>
  </si>
  <si>
    <t>331 Etna St</t>
  </si>
  <si>
    <t>1845 Ocean Ave</t>
  </si>
  <si>
    <t>569 Osborn St</t>
  </si>
  <si>
    <t>233 87th St</t>
  </si>
  <si>
    <t>1711 Fulton St</t>
  </si>
  <si>
    <t>557 E 80th St</t>
  </si>
  <si>
    <t>984 Greene Ave</t>
  </si>
  <si>
    <t>68 MacDougal St</t>
  </si>
  <si>
    <t>35 covert st</t>
  </si>
  <si>
    <t>720 Belmont Ave</t>
  </si>
  <si>
    <t>1462 Bushwick Ave</t>
  </si>
  <si>
    <t>747 Macdonough St</t>
  </si>
  <si>
    <t>94 Chauncey St</t>
  </si>
  <si>
    <t>1149 Elton St</t>
  </si>
  <si>
    <t>415 Lincoln Ave</t>
  </si>
  <si>
    <t>27 Granite St</t>
  </si>
  <si>
    <t>793 Van Sinderen Ave</t>
  </si>
  <si>
    <t>272 Pennsylvania Ave</t>
  </si>
  <si>
    <t>860 Belmont Ave</t>
  </si>
  <si>
    <t>660 New Jersey Ave</t>
  </si>
  <si>
    <t>556 Thomas S Boyland St</t>
  </si>
  <si>
    <t>63 Nichols Ave</t>
  </si>
  <si>
    <t>2044 Bergen St</t>
  </si>
  <si>
    <t>902 Drew St</t>
  </si>
  <si>
    <t>800 Hancock St</t>
  </si>
  <si>
    <t>335 Marion St</t>
  </si>
  <si>
    <t>227 Dumont Ave</t>
  </si>
  <si>
    <t>440 Watkins St</t>
  </si>
  <si>
    <t>431 Herzl St</t>
  </si>
  <si>
    <t>855 Louisiana Ave</t>
  </si>
  <si>
    <t>234 Newport St</t>
  </si>
  <si>
    <t>202 Amboy St</t>
  </si>
  <si>
    <t>1617 Eastern Pkwy</t>
  </si>
  <si>
    <t>964 Glenmore Ave</t>
  </si>
  <si>
    <t>72 Granite St</t>
  </si>
  <si>
    <t>168 E 93rd St</t>
  </si>
  <si>
    <t>352 Atkins Ave</t>
  </si>
  <si>
    <t>460 Halsey St</t>
  </si>
  <si>
    <t>376 Montauk Ave</t>
  </si>
  <si>
    <t>611 Linwood St</t>
  </si>
  <si>
    <t>1595 Park Pl</t>
  </si>
  <si>
    <t>1062 Elton St</t>
  </si>
  <si>
    <t>580 Sutter Ave</t>
  </si>
  <si>
    <t>173 Chauncey St</t>
  </si>
  <si>
    <t>50 Vandalia Ave</t>
  </si>
  <si>
    <t>294 5th Ave</t>
  </si>
  <si>
    <t>249 Thomas S Boyland St</t>
  </si>
  <si>
    <t>227 Bainbridge St</t>
  </si>
  <si>
    <t>613 Atkins ave</t>
  </si>
  <si>
    <t>671 Halsey St</t>
  </si>
  <si>
    <t>344 Marion St</t>
  </si>
  <si>
    <t>661 Osborn St</t>
  </si>
  <si>
    <t>146 Marcus Garvey Blvd</t>
  </si>
  <si>
    <t>1553 Dekalb Ave</t>
  </si>
  <si>
    <t>85 Bristol St</t>
  </si>
  <si>
    <t>434 Warwick St</t>
  </si>
  <si>
    <t>200 Highland Blvd</t>
  </si>
  <si>
    <t>520 Hegeman Ave</t>
  </si>
  <si>
    <t>127 Mckinley Ave</t>
  </si>
  <si>
    <t>1074 Eastern Pkwy</t>
  </si>
  <si>
    <t>766 Miller Ave</t>
  </si>
  <si>
    <t>1460 Sterling Pl</t>
  </si>
  <si>
    <t>1018 Eastern Pkwy</t>
  </si>
  <si>
    <t>624 Howard Ave</t>
  </si>
  <si>
    <t>175 Ardsley Loop</t>
  </si>
  <si>
    <t>63 Rockaway Pkwy</t>
  </si>
  <si>
    <t>125 Schroeders Ave</t>
  </si>
  <si>
    <t>1338 Linden Blvd</t>
  </si>
  <si>
    <t>760 Eldert Ln</t>
  </si>
  <si>
    <t>579 Chester St</t>
  </si>
  <si>
    <t>361 New Jersey Ave</t>
  </si>
  <si>
    <t>721 New Jersey Ave</t>
  </si>
  <si>
    <t>1814 Eastern Pkwy</t>
  </si>
  <si>
    <t>894 Thomas S Boyland St</t>
  </si>
  <si>
    <t>258 Macdougal St</t>
  </si>
  <si>
    <t>23 New Lots Ave</t>
  </si>
  <si>
    <t>20 Vandalia Ave</t>
  </si>
  <si>
    <t>225 Vanderbilt Avenue</t>
  </si>
  <si>
    <t>1120 Glenmore Ave</t>
  </si>
  <si>
    <t>778 Macdonough St</t>
  </si>
  <si>
    <t>8 Rocaway Aveneu</t>
  </si>
  <si>
    <t>494 New Lots Ave</t>
  </si>
  <si>
    <t>2417 Dean st</t>
  </si>
  <si>
    <t>456 Autumn Ave</t>
  </si>
  <si>
    <t>536 Bristol St</t>
  </si>
  <si>
    <t>704 New Jersey Ave</t>
  </si>
  <si>
    <t>110 Rochester ave</t>
  </si>
  <si>
    <t>2444 Pitkin Ave</t>
  </si>
  <si>
    <t>339 Saratoga Ave</t>
  </si>
  <si>
    <t>654 Jamaica Ave</t>
  </si>
  <si>
    <t>1386 Sutter Ave</t>
  </si>
  <si>
    <t>87 Vermont St</t>
  </si>
  <si>
    <t>157 Saratoga Ave</t>
  </si>
  <si>
    <t>585 Blake Ave</t>
  </si>
  <si>
    <t>330 Hinsdale St</t>
  </si>
  <si>
    <t>294 Ashford St</t>
  </si>
  <si>
    <t>1633 Sterling Pl</t>
  </si>
  <si>
    <t>738 Bradford St</t>
  </si>
  <si>
    <t>511 Williams Ave</t>
  </si>
  <si>
    <t>2157 Pacific St</t>
  </si>
  <si>
    <t>588 Pine St</t>
  </si>
  <si>
    <t>12 Gunther Pl</t>
  </si>
  <si>
    <t>490 Halsey St</t>
  </si>
  <si>
    <t>94 rockaway pkwy</t>
  </si>
  <si>
    <t>425 New Lots Ave</t>
  </si>
  <si>
    <t>436 Cozine Ave</t>
  </si>
  <si>
    <t>226 Grant Ave</t>
  </si>
  <si>
    <t>856 Crescent St</t>
  </si>
  <si>
    <t>224 38 Pitkin Avenue</t>
  </si>
  <si>
    <t>549 Chauncey St</t>
  </si>
  <si>
    <t>1805 Pitkin Ave</t>
  </si>
  <si>
    <t>131 Eldert St</t>
  </si>
  <si>
    <t>461 Dean St</t>
  </si>
  <si>
    <t>364 Stuyvesant Ave</t>
  </si>
  <si>
    <t>108 Rockaway Ave</t>
  </si>
  <si>
    <t>1293 E New York Ave</t>
  </si>
  <si>
    <t>177 Sheffield Ave</t>
  </si>
  <si>
    <t>230 Lott ave</t>
  </si>
  <si>
    <t>179 Riverdale Ave</t>
  </si>
  <si>
    <t>752 Glenmore Ave</t>
  </si>
  <si>
    <t>864 Elton St</t>
  </si>
  <si>
    <t>324 arlington ave</t>
  </si>
  <si>
    <t>3A</t>
  </si>
  <si>
    <t>Box 7</t>
  </si>
  <si>
    <t>2 floor</t>
  </si>
  <si>
    <t>1C</t>
  </si>
  <si>
    <t>7N</t>
  </si>
  <si>
    <t>2R</t>
  </si>
  <si>
    <t>G1</t>
  </si>
  <si>
    <t>2nd floor</t>
  </si>
  <si>
    <t>5J</t>
  </si>
  <si>
    <t>3rd Floor C</t>
  </si>
  <si>
    <t>A basement</t>
  </si>
  <si>
    <t>13S</t>
  </si>
  <si>
    <t>3R</t>
  </si>
  <si>
    <t>2G</t>
  </si>
  <si>
    <t>3F</t>
  </si>
  <si>
    <t>2A</t>
  </si>
  <si>
    <t>G</t>
  </si>
  <si>
    <t>1c</t>
  </si>
  <si>
    <t>3J</t>
  </si>
  <si>
    <t>A</t>
  </si>
  <si>
    <t>2L</t>
  </si>
  <si>
    <t>4-F</t>
  </si>
  <si>
    <t>2b</t>
  </si>
  <si>
    <t>D5C</t>
  </si>
  <si>
    <t>#2</t>
  </si>
  <si>
    <t>1st FL</t>
  </si>
  <si>
    <t>BB</t>
  </si>
  <si>
    <t>4D</t>
  </si>
  <si>
    <t>A2</t>
  </si>
  <si>
    <t>1 B</t>
  </si>
  <si>
    <t>1D</t>
  </si>
  <si>
    <t>6E</t>
  </si>
  <si>
    <t>4I</t>
  </si>
  <si>
    <t>1G</t>
  </si>
  <si>
    <t>2D</t>
  </si>
  <si>
    <t>C4</t>
  </si>
  <si>
    <t>20C</t>
  </si>
  <si>
    <t>2B</t>
  </si>
  <si>
    <t>Apt C609</t>
  </si>
  <si>
    <t>1-O</t>
  </si>
  <si>
    <t>9G</t>
  </si>
  <si>
    <t>4B</t>
  </si>
  <si>
    <t>Apt. 3</t>
  </si>
  <si>
    <t>13F</t>
  </si>
  <si>
    <t>Apt A4</t>
  </si>
  <si>
    <t>1st fl</t>
  </si>
  <si>
    <t>2F</t>
  </si>
  <si>
    <t>4L</t>
  </si>
  <si>
    <t>4C</t>
  </si>
  <si>
    <t>Apt A6</t>
  </si>
  <si>
    <t>RC3</t>
  </si>
  <si>
    <t>6 D</t>
  </si>
  <si>
    <t>Basement</t>
  </si>
  <si>
    <t>BSMT</t>
  </si>
  <si>
    <t>E4</t>
  </si>
  <si>
    <t>F-12</t>
  </si>
  <si>
    <t>14T</t>
  </si>
  <si>
    <t>11B</t>
  </si>
  <si>
    <t>Apt A-15</t>
  </si>
  <si>
    <t>12H</t>
  </si>
  <si>
    <t>E9</t>
  </si>
  <si>
    <t>D9</t>
  </si>
  <si>
    <t>Apt 3F</t>
  </si>
  <si>
    <t>2nd Floor</t>
  </si>
  <si>
    <t>2-J</t>
  </si>
  <si>
    <t>2X</t>
  </si>
  <si>
    <t>3 fl</t>
  </si>
  <si>
    <t>13C</t>
  </si>
  <si>
    <t>3P</t>
  </si>
  <si>
    <t>A17</t>
  </si>
  <si>
    <t>1st Fl</t>
  </si>
  <si>
    <t>C</t>
  </si>
  <si>
    <t>10D</t>
  </si>
  <si>
    <t>Apt 50</t>
  </si>
  <si>
    <t>ground floor</t>
  </si>
  <si>
    <t>1st Floor</t>
  </si>
  <si>
    <t>2nd FL</t>
  </si>
  <si>
    <t>D1</t>
  </si>
  <si>
    <t>12C</t>
  </si>
  <si>
    <t>17K</t>
  </si>
  <si>
    <t>5K</t>
  </si>
  <si>
    <t>19G</t>
  </si>
  <si>
    <t>4N</t>
  </si>
  <si>
    <t>3H</t>
  </si>
  <si>
    <t>FL 2</t>
  </si>
  <si>
    <t>Apt;. 2E</t>
  </si>
  <si>
    <t>3G</t>
  </si>
  <si>
    <t>Apt C7</t>
  </si>
  <si>
    <t>4H</t>
  </si>
  <si>
    <t>11L</t>
  </si>
  <si>
    <t>16G</t>
  </si>
  <si>
    <t>9E</t>
  </si>
  <si>
    <t>1st floor</t>
  </si>
  <si>
    <t>apt 1</t>
  </si>
  <si>
    <t>8A</t>
  </si>
  <si>
    <t>5H</t>
  </si>
  <si>
    <t>Apt 2F</t>
  </si>
  <si>
    <t>B 306</t>
  </si>
  <si>
    <t>9A</t>
  </si>
  <si>
    <t>D</t>
  </si>
  <si>
    <t>Apt 1</t>
  </si>
  <si>
    <t>12F</t>
  </si>
  <si>
    <t>1H</t>
  </si>
  <si>
    <t>12L</t>
  </si>
  <si>
    <t>1F</t>
  </si>
  <si>
    <t>E</t>
  </si>
  <si>
    <t>LT-096221-18/KI</t>
  </si>
  <si>
    <t>LT-093560-18/KI</t>
  </si>
  <si>
    <t>LT-060592-19/KI</t>
  </si>
  <si>
    <t>LT-071682-17/KI</t>
  </si>
  <si>
    <t>0583-10</t>
  </si>
  <si>
    <t>94304/18</t>
  </si>
  <si>
    <t>LT-91030</t>
  </si>
  <si>
    <t>Lt-60627/19</t>
  </si>
  <si>
    <t>HP-1619-19/KI</t>
  </si>
  <si>
    <t>LT-023631-18/KI</t>
  </si>
  <si>
    <t>No case</t>
  </si>
  <si>
    <t>LT 60098/19/KI</t>
  </si>
  <si>
    <t>LT-084935-18/KI</t>
  </si>
  <si>
    <t>LT-055186-18/KI</t>
  </si>
  <si>
    <t>LT 55186/18/KI</t>
  </si>
  <si>
    <t>LT-09632-18/KI</t>
  </si>
  <si>
    <t>LT-054459-19/KI</t>
  </si>
  <si>
    <t>LT-051880-19/KI</t>
  </si>
  <si>
    <t>LT-063928-19/KI</t>
  </si>
  <si>
    <t>LT-54825-19/KI</t>
  </si>
  <si>
    <t>LT-055196-19/KI</t>
  </si>
  <si>
    <t>LT-069256-19/KI</t>
  </si>
  <si>
    <t>LT-069262-19/KI</t>
  </si>
  <si>
    <t>LT-087846-18/KI</t>
  </si>
  <si>
    <t>LT-092841-18/KI</t>
  </si>
  <si>
    <t>LT-90112-18</t>
  </si>
  <si>
    <t>LT-069535-19/KI</t>
  </si>
  <si>
    <t>no case</t>
  </si>
  <si>
    <t>2704/18</t>
  </si>
  <si>
    <t>none</t>
  </si>
  <si>
    <t>LT-058293-18/KI</t>
  </si>
  <si>
    <t>LT-069619-18/KI</t>
  </si>
  <si>
    <t>LT-063508-18/KI</t>
  </si>
  <si>
    <t>​LT-064783-18/KI</t>
  </si>
  <si>
    <t>LT-063276-18/KI</t>
  </si>
  <si>
    <t>LT-074957-18/KI</t>
  </si>
  <si>
    <t>LT-70274/18-KI</t>
  </si>
  <si>
    <t>LT-51247-17/KI</t>
  </si>
  <si>
    <t>LT-051852-17/KI</t>
  </si>
  <si>
    <t>LT-92347-17/KI</t>
  </si>
  <si>
    <t>LT-074634-18/KI</t>
  </si>
  <si>
    <t>LT-90106-17/KI</t>
  </si>
  <si>
    <t>LT-063216-18/KI</t>
  </si>
  <si>
    <t>LT-065437-17/KI</t>
  </si>
  <si>
    <t>LT-090138-14/KI</t>
  </si>
  <si>
    <t>67082/15</t>
  </si>
  <si>
    <t>2013/2015</t>
  </si>
  <si>
    <t>LT-056992-19/KI</t>
  </si>
  <si>
    <t>LT-079487-18/KI</t>
  </si>
  <si>
    <t>LT-002584-18/KI</t>
  </si>
  <si>
    <t>LT-094943-18/KI</t>
  </si>
  <si>
    <t>LT-069755-19/KI</t>
  </si>
  <si>
    <t>LT-001276-18/KI</t>
  </si>
  <si>
    <t>LT-073359-18/KI</t>
  </si>
  <si>
    <t>LT-071482-18/KI</t>
  </si>
  <si>
    <t>LT-079777-18/KI</t>
  </si>
  <si>
    <t>LT-006395-18/KI</t>
  </si>
  <si>
    <t>LT-069285-19/KI</t>
  </si>
  <si>
    <t>LT-061783-19/KI</t>
  </si>
  <si>
    <t>LT-000422-19/KI</t>
  </si>
  <si>
    <t>Will provide</t>
  </si>
  <si>
    <t>LT-076631-18/KI</t>
  </si>
  <si>
    <t>2017-01875 KI</t>
  </si>
  <si>
    <t>LT-067374-17/KI</t>
  </si>
  <si>
    <t>LT-001631-19/KI</t>
  </si>
  <si>
    <t>LT-082690-18/KI</t>
  </si>
  <si>
    <t>LT-00027-18/KI</t>
  </si>
  <si>
    <t>LT-062212-17/KI</t>
  </si>
  <si>
    <t>LT-064878-18/KI</t>
  </si>
  <si>
    <t>LT-063667-19/KI</t>
  </si>
  <si>
    <t>LT-002246-17/KI</t>
  </si>
  <si>
    <t>LT-066296-18/KI</t>
  </si>
  <si>
    <t>LT-068259-19/KI</t>
  </si>
  <si>
    <t>LT-082009-18/KI</t>
  </si>
  <si>
    <t>LT-060912-19/KI</t>
  </si>
  <si>
    <t>LT-080398-18/KI</t>
  </si>
  <si>
    <t>LT-092019-18/KI</t>
  </si>
  <si>
    <t>LT-073557-18/KI</t>
  </si>
  <si>
    <t>LT-058318-19/KI</t>
  </si>
  <si>
    <t>LT-092177-18/KI</t>
  </si>
  <si>
    <t>LT-086747-18/KI</t>
  </si>
  <si>
    <t>LT-000202-19/KI</t>
  </si>
  <si>
    <t>LT-093021-15/KI</t>
  </si>
  <si>
    <t>LT-050027-16/KI</t>
  </si>
  <si>
    <t>LT-064986-19/KI</t>
  </si>
  <si>
    <t>LT-52985-19/KI</t>
  </si>
  <si>
    <t>LT-058175-19/KI</t>
  </si>
  <si>
    <t>LT-063618-19/KI</t>
  </si>
  <si>
    <t>521089/2017</t>
  </si>
  <si>
    <t>LT-094403-17/KI</t>
  </si>
  <si>
    <t>LT-065317-19/KI</t>
  </si>
  <si>
    <t>LT-86994-18/KI</t>
  </si>
  <si>
    <t>LT-066319-19/KI</t>
  </si>
  <si>
    <t>lt 000990/18</t>
  </si>
  <si>
    <t>LT-096303-18/KI</t>
  </si>
  <si>
    <t>None yet</t>
  </si>
  <si>
    <t>LT-71478-18</t>
  </si>
  <si>
    <t>52876/18</t>
  </si>
  <si>
    <t>LT-006001-19/KI</t>
  </si>
  <si>
    <t>65646/19</t>
  </si>
  <si>
    <t>LT-061686-19/KI</t>
  </si>
  <si>
    <t>LT-087793-18/KI</t>
  </si>
  <si>
    <t>LT-083282-18/KI</t>
  </si>
  <si>
    <t>LT-06321118k1</t>
  </si>
  <si>
    <t>LT-079464-17/KI</t>
  </si>
  <si>
    <t>LT-84035-18/KI</t>
  </si>
  <si>
    <t>094314/18</t>
  </si>
  <si>
    <t>LT-092621-18/KI</t>
  </si>
  <si>
    <t>LT-070765-18/KI</t>
  </si>
  <si>
    <t>LT-064714-18/KI</t>
  </si>
  <si>
    <t>LT-080218-18/KI</t>
  </si>
  <si>
    <t>LT-089436-18/KI</t>
  </si>
  <si>
    <t>LT-066271-19/KI</t>
  </si>
  <si>
    <t>LT-054080-19/KI</t>
  </si>
  <si>
    <t>LT66112-19/KI</t>
  </si>
  <si>
    <t>LT-058048-19/KI</t>
  </si>
  <si>
    <t>LT-091251-18/KI</t>
  </si>
  <si>
    <t>LT-059221-19/KI</t>
  </si>
  <si>
    <t>LT-055204-19/KI</t>
  </si>
  <si>
    <t>Not available</t>
  </si>
  <si>
    <t>LT-069184-19/KI</t>
  </si>
  <si>
    <t>LT-068439-18/KI</t>
  </si>
  <si>
    <t>Tenant Rights</t>
  </si>
  <si>
    <t>Article 78</t>
  </si>
  <si>
    <t>Affirmative Litigation Supreme</t>
  </si>
  <si>
    <t>Non-Litigation Advocacy</t>
  </si>
  <si>
    <t>Appeal-Appellate Term</t>
  </si>
  <si>
    <t>Section 8 other</t>
  </si>
  <si>
    <t>PA Issue: FEPS</t>
  </si>
  <si>
    <t>PA Issue: RAU</t>
  </si>
  <si>
    <t>Sec. 8 Termination</t>
  </si>
  <si>
    <t>PA Issue: City FEPS/SEPS</t>
  </si>
  <si>
    <t>Other Civil Court</t>
  </si>
  <si>
    <t>SCRIE/DRIE</t>
  </si>
  <si>
    <t>Representation - Federal Court</t>
  </si>
  <si>
    <t>F - Negotiated Settlement w/out Litigation</t>
  </si>
  <si>
    <t>G - Negotiated Settlement with Litigation</t>
  </si>
  <si>
    <t>3011 TRC FJC Initiative</t>
  </si>
  <si>
    <t>Prefer Not To Answer</t>
  </si>
  <si>
    <t>69 Other Housing</t>
  </si>
  <si>
    <t>64 Public Housing</t>
  </si>
  <si>
    <t>01 Bankruptcy/Debtor Relief</t>
  </si>
  <si>
    <t>67 Mortgage Foreclosures (Not Predatory Lending/Practices)</t>
  </si>
  <si>
    <t>Post-Judgment, Tenant in Possession-Judgment Due to Other</t>
  </si>
  <si>
    <t>Friends/Family</t>
  </si>
  <si>
    <t>Court Referral-NON HRA</t>
  </si>
  <si>
    <t>Word of mouth</t>
  </si>
  <si>
    <t>Tenant Support Unit</t>
  </si>
  <si>
    <t>HRA ELS (Assigned Counsel)</t>
  </si>
  <si>
    <t>Elected Official</t>
  </si>
  <si>
    <t>FJC Housing Intake</t>
  </si>
  <si>
    <t>6003-Delayed eviction providing time to seek alternative housing</t>
  </si>
  <si>
    <t>7018-Provided full representation in an Income Maintenance matter, but no legal benefit achieved for the client</t>
  </si>
  <si>
    <t>6016-Obtained referral on a Housing matter</t>
  </si>
  <si>
    <t>ZZ-Client Withdrew—For ZZ Adm Closed Reason Closed Cases Only</t>
  </si>
  <si>
    <t>6013-Obtained assistance in development/renovation of affordable housing</t>
  </si>
  <si>
    <t>6021-Provided full representation in a Housing matter, but no legal benefit achieved for the client</t>
  </si>
  <si>
    <t>6001-Prevented eviction from public housing</t>
  </si>
  <si>
    <t>7013-Obtained non-llitigation advocacy services on an Income Maintenance matter</t>
  </si>
  <si>
    <t>7014-Obtained referral on an Income Maintenance matter</t>
  </si>
  <si>
    <t>07/23/1961</t>
  </si>
  <si>
    <t>10/02/1995</t>
  </si>
  <si>
    <t>08/05/1964</t>
  </si>
  <si>
    <t>10/12/1987</t>
  </si>
  <si>
    <t>07/31/1969</t>
  </si>
  <si>
    <t>12/14/1981</t>
  </si>
  <si>
    <t>07/31/1979</t>
  </si>
  <si>
    <t>11/23/1960</t>
  </si>
  <si>
    <t>11/05/1992</t>
  </si>
  <si>
    <t>01/02/1984</t>
  </si>
  <si>
    <t>02/27/1989</t>
  </si>
  <si>
    <t>04/17/1929</t>
  </si>
  <si>
    <t>01/26/1988</t>
  </si>
  <si>
    <t>09/06/1962</t>
  </si>
  <si>
    <t>01/19/1963</t>
  </si>
  <si>
    <t>05/14/1971</t>
  </si>
  <si>
    <t>08/21/1947</t>
  </si>
  <si>
    <t>07/30/1984</t>
  </si>
  <si>
    <t>02/22/1967</t>
  </si>
  <si>
    <t>02/12/1996</t>
  </si>
  <si>
    <t>06/25/1940</t>
  </si>
  <si>
    <t>08/15/1992</t>
  </si>
  <si>
    <t>05/01/1933</t>
  </si>
  <si>
    <t>03/11/1967</t>
  </si>
  <si>
    <t>07/01/1957</t>
  </si>
  <si>
    <t>09/19/1998</t>
  </si>
  <si>
    <t>06/04/1946</t>
  </si>
  <si>
    <t>12/24/1966</t>
  </si>
  <si>
    <t>01/05/1975</t>
  </si>
  <si>
    <t>05/13/1987</t>
  </si>
  <si>
    <t>02/11/1994</t>
  </si>
  <si>
    <t>08/05/1956</t>
  </si>
  <si>
    <t>12/02/1951</t>
  </si>
  <si>
    <t>01/01/1979</t>
  </si>
  <si>
    <t>03/19/1976</t>
  </si>
  <si>
    <t>03/11/1948</t>
  </si>
  <si>
    <t>01/14/1965</t>
  </si>
  <si>
    <t>04/28/1979</t>
  </si>
  <si>
    <t>04/16/1959</t>
  </si>
  <si>
    <t>08/05/1975</t>
  </si>
  <si>
    <t>04/06/1961</t>
  </si>
  <si>
    <t>11/08/1974</t>
  </si>
  <si>
    <t>03/25/1978</t>
  </si>
  <si>
    <t>01/12/1961</t>
  </si>
  <si>
    <t>10/28/1978</t>
  </si>
  <si>
    <t>09/06/1968</t>
  </si>
  <si>
    <t>12/15/1964</t>
  </si>
  <si>
    <t>10/11/1978</t>
  </si>
  <si>
    <t>10/25/1964</t>
  </si>
  <si>
    <t>08/13/1973</t>
  </si>
  <si>
    <t>11/16/1959</t>
  </si>
  <si>
    <t>12/10/1987</t>
  </si>
  <si>
    <t>05/20/1948</t>
  </si>
  <si>
    <t>01/10/1971</t>
  </si>
  <si>
    <t>04/21/1986</t>
  </si>
  <si>
    <t>10/21/1982</t>
  </si>
  <si>
    <t>09/30/1982</t>
  </si>
  <si>
    <t>08/11/1949</t>
  </si>
  <si>
    <t>12/27/1978</t>
  </si>
  <si>
    <t>12/15/1978</t>
  </si>
  <si>
    <t>08/30/1957</t>
  </si>
  <si>
    <t>04/06/1978</t>
  </si>
  <si>
    <t>08/09/1955</t>
  </si>
  <si>
    <t>02/08/1978</t>
  </si>
  <si>
    <t>01/24/1994</t>
  </si>
  <si>
    <t>07/22/1986</t>
  </si>
  <si>
    <t>02/18/1937</t>
  </si>
  <si>
    <t>09/21/1995</t>
  </si>
  <si>
    <t>07/01/1977</t>
  </si>
  <si>
    <t>03/22/1962</t>
  </si>
  <si>
    <t>06/03/1959</t>
  </si>
  <si>
    <t>02/12/1950</t>
  </si>
  <si>
    <t>04/24/1956</t>
  </si>
  <si>
    <t>02/05/1958</t>
  </si>
  <si>
    <t>10/03/1956</t>
  </si>
  <si>
    <t>12/14/1992</t>
  </si>
  <si>
    <t>11/23/1953</t>
  </si>
  <si>
    <t>01/14/1980</t>
  </si>
  <si>
    <t>02/29/1960</t>
  </si>
  <si>
    <t>02/27/1985</t>
  </si>
  <si>
    <t>02/11/1971</t>
  </si>
  <si>
    <t>11/23/1942</t>
  </si>
  <si>
    <t>01/01/1978</t>
  </si>
  <si>
    <t>02/23/1967</t>
  </si>
  <si>
    <t>12/24/1987</t>
  </si>
  <si>
    <t>05/08/1976</t>
  </si>
  <si>
    <t>03/23/1958</t>
  </si>
  <si>
    <t>11/16/1931</t>
  </si>
  <si>
    <t>06/08/1944</t>
  </si>
  <si>
    <t>01/01/1945</t>
  </si>
  <si>
    <t>09/19/1967</t>
  </si>
  <si>
    <t>12/13/1979</t>
  </si>
  <si>
    <t>06/23/1978</t>
  </si>
  <si>
    <t>04/28/1962</t>
  </si>
  <si>
    <t>09/08/1980</t>
  </si>
  <si>
    <t>07/19/1971</t>
  </si>
  <si>
    <t>09/29/1992</t>
  </si>
  <si>
    <t>12/19/1985</t>
  </si>
  <si>
    <t>01/20/1975</t>
  </si>
  <si>
    <t>06/09/1976</t>
  </si>
  <si>
    <t>02/10/1968</t>
  </si>
  <si>
    <t>01/13/1985</t>
  </si>
  <si>
    <t>08/26/1976</t>
  </si>
  <si>
    <t>06/25/1978</t>
  </si>
  <si>
    <t>04/17/1978</t>
  </si>
  <si>
    <t>02/18/1990</t>
  </si>
  <si>
    <t>02/12/1987</t>
  </si>
  <si>
    <t>04/21/1983</t>
  </si>
  <si>
    <t>01/23/1985</t>
  </si>
  <si>
    <t>01/10/1963</t>
  </si>
  <si>
    <t>08/22/1961</t>
  </si>
  <si>
    <t>12/18/1963</t>
  </si>
  <si>
    <t>12/24/1985</t>
  </si>
  <si>
    <t>05/03/1938</t>
  </si>
  <si>
    <t>10/29/1984</t>
  </si>
  <si>
    <t>07/30/1956</t>
  </si>
  <si>
    <t>09/08/1962</t>
  </si>
  <si>
    <t>08/28/1966</t>
  </si>
  <si>
    <t>12/25/1977</t>
  </si>
  <si>
    <t>03/10/1968</t>
  </si>
  <si>
    <t>11/17/1974</t>
  </si>
  <si>
    <t>12/31/1970</t>
  </si>
  <si>
    <t>01/01/1965</t>
  </si>
  <si>
    <t>10/29/1961</t>
  </si>
  <si>
    <t>09/01/1960</t>
  </si>
  <si>
    <t>08/13/1975</t>
  </si>
  <si>
    <t>02/05/1952</t>
  </si>
  <si>
    <t>09/17/1968</t>
  </si>
  <si>
    <t>11/14/1960</t>
  </si>
  <si>
    <t>06/19/1988</t>
  </si>
  <si>
    <t>11/27/1987</t>
  </si>
  <si>
    <t>08/30/1956</t>
  </si>
  <si>
    <t>03/08/1979</t>
  </si>
  <si>
    <t>04/02/1993</t>
  </si>
  <si>
    <t>07/08/1967</t>
  </si>
  <si>
    <t>12/30/1986</t>
  </si>
  <si>
    <t>09/30/1973</t>
  </si>
  <si>
    <t>09/13/1983</t>
  </si>
  <si>
    <t>03/23/1988</t>
  </si>
  <si>
    <t>01/20/1980</t>
  </si>
  <si>
    <t>04/25/1957</t>
  </si>
  <si>
    <t>08/01/1946</t>
  </si>
  <si>
    <t>12/03/1963</t>
  </si>
  <si>
    <t>07/08/1972</t>
  </si>
  <si>
    <t>05/28/1959</t>
  </si>
  <si>
    <t>05/09/1983</t>
  </si>
  <si>
    <t>11/03/1978</t>
  </si>
  <si>
    <t>05/23/1956</t>
  </si>
  <si>
    <t>04/30/1985</t>
  </si>
  <si>
    <t>06/29/1979</t>
  </si>
  <si>
    <t>02/05/1989</t>
  </si>
  <si>
    <t>03/24/1959</t>
  </si>
  <si>
    <t>09/20/1969</t>
  </si>
  <si>
    <t>06/21/1967</t>
  </si>
  <si>
    <t>01/23/1956</t>
  </si>
  <si>
    <t>06/09/1986</t>
  </si>
  <si>
    <t>02/23/1965</t>
  </si>
  <si>
    <t>05/12/1966</t>
  </si>
  <si>
    <t>01/09/1979</t>
  </si>
  <si>
    <t>01/28/1968</t>
  </si>
  <si>
    <t>03/17/1982</t>
  </si>
  <si>
    <t>10/19/1962</t>
  </si>
  <si>
    <t>01/06/1973</t>
  </si>
  <si>
    <t>05/05/1986</t>
  </si>
  <si>
    <t>03/01/1987</t>
  </si>
  <si>
    <t>12/30/1987</t>
  </si>
  <si>
    <t>12/26/1980</t>
  </si>
  <si>
    <t>06/18/1962</t>
  </si>
  <si>
    <t>03/14/1957</t>
  </si>
  <si>
    <t>08/09/1972</t>
  </si>
  <si>
    <t>08/16/1964</t>
  </si>
  <si>
    <t>07/13/1971</t>
  </si>
  <si>
    <t>12/12/1952</t>
  </si>
  <si>
    <t>07/17/1961</t>
  </si>
  <si>
    <t>04/19/1998</t>
  </si>
  <si>
    <t>07/22/1969</t>
  </si>
  <si>
    <t>10/08/1981</t>
  </si>
  <si>
    <t>03/16/1983</t>
  </si>
  <si>
    <t>11/06/1989</t>
  </si>
  <si>
    <t>09/11/1985</t>
  </si>
  <si>
    <t>10/03/1970</t>
  </si>
  <si>
    <t>08/20/1948</t>
  </si>
  <si>
    <t>02/13/1976</t>
  </si>
  <si>
    <t>12/20/1971</t>
  </si>
  <si>
    <t>03/12/1970</t>
  </si>
  <si>
    <t>01/06/1989</t>
  </si>
  <si>
    <t>06/12/1961</t>
  </si>
  <si>
    <t>03/17/1995</t>
  </si>
  <si>
    <t>06/09/1974</t>
  </si>
  <si>
    <t>09/06/1965</t>
  </si>
  <si>
    <t>12/14/1965</t>
  </si>
  <si>
    <t>07/17/1975</t>
  </si>
  <si>
    <t>04/07/1995</t>
  </si>
  <si>
    <t>02/20/1977</t>
  </si>
  <si>
    <t>10/25/1975</t>
  </si>
  <si>
    <t>01/15/1956</t>
  </si>
  <si>
    <t>04/07/1945</t>
  </si>
  <si>
    <t>05/17/1960</t>
  </si>
  <si>
    <t>04/21/1948</t>
  </si>
  <si>
    <t>12/30/1940</t>
  </si>
  <si>
    <t>09/10/1957</t>
  </si>
  <si>
    <t>09/07/1988</t>
  </si>
  <si>
    <t>12/18/1996</t>
  </si>
  <si>
    <t>09/03/1983</t>
  </si>
  <si>
    <t>12/31/1966</t>
  </si>
  <si>
    <t>08/10/1942</t>
  </si>
  <si>
    <t>01/27/1974</t>
  </si>
  <si>
    <t>06/04/1949</t>
  </si>
  <si>
    <t>12/02/1965</t>
  </si>
  <si>
    <t>08/07/1977</t>
  </si>
  <si>
    <t>07/01/1979</t>
  </si>
  <si>
    <t>05/08/1960</t>
  </si>
  <si>
    <t>03/11/1941</t>
  </si>
  <si>
    <t>10/03/1983</t>
  </si>
  <si>
    <t>12/08/1970</t>
  </si>
  <si>
    <t>08/03/1972</t>
  </si>
  <si>
    <t>07/20/1984</t>
  </si>
  <si>
    <t>06/10/1970</t>
  </si>
  <si>
    <t>01/26/1979</t>
  </si>
  <si>
    <t>02/29/1972</t>
  </si>
  <si>
    <t>07/01/1994</t>
  </si>
  <si>
    <t>05/10/1966</t>
  </si>
  <si>
    <t>06/08/1967</t>
  </si>
  <si>
    <t>03/05/1975</t>
  </si>
  <si>
    <t>02/21/1983</t>
  </si>
  <si>
    <t>04/23/1943</t>
  </si>
  <si>
    <t>12/26/1959</t>
  </si>
  <si>
    <t>12/06/1973</t>
  </si>
  <si>
    <t>12/24/1997</t>
  </si>
  <si>
    <t>01/02/1988</t>
  </si>
  <si>
    <t>05/30/1978</t>
  </si>
  <si>
    <t>11/13/1967</t>
  </si>
  <si>
    <t>10/30/1969</t>
  </si>
  <si>
    <t>12/28/1985</t>
  </si>
  <si>
    <t>01/18/1975</t>
  </si>
  <si>
    <t>07/24/1961</t>
  </si>
  <si>
    <t>04/09/1969</t>
  </si>
  <si>
    <t>09/14/1963</t>
  </si>
  <si>
    <t>08/01/1970</t>
  </si>
  <si>
    <t>11/02/1944</t>
  </si>
  <si>
    <t>01/04/1982</t>
  </si>
  <si>
    <t>04/02/1957</t>
  </si>
  <si>
    <t>05/30/1956</t>
  </si>
  <si>
    <t>07/18/1954</t>
  </si>
  <si>
    <t>12/05/1965</t>
  </si>
  <si>
    <t>03/02/1953</t>
  </si>
  <si>
    <t>07/22/1954</t>
  </si>
  <si>
    <t>09/04/1967</t>
  </si>
  <si>
    <t>12/18/1981</t>
  </si>
  <si>
    <t>10/22/1946</t>
  </si>
  <si>
    <t>10/24/1977</t>
  </si>
  <si>
    <t>03/01/1982</t>
  </si>
  <si>
    <t>04/08/1962</t>
  </si>
  <si>
    <t>12/17/1971</t>
  </si>
  <si>
    <t>12/10/1995</t>
  </si>
  <si>
    <t>07/30/1948</t>
  </si>
  <si>
    <t>02/27/1997</t>
  </si>
  <si>
    <t>04/20/1987</t>
  </si>
  <si>
    <t>02/21/1938</t>
  </si>
  <si>
    <t>04/16/1958</t>
  </si>
  <si>
    <t>11/20/1985</t>
  </si>
  <si>
    <t>11/04/1938</t>
  </si>
  <si>
    <t>05/08/1989</t>
  </si>
  <si>
    <t>09/26/1966</t>
  </si>
  <si>
    <t>09/11/1980</t>
  </si>
  <si>
    <t>05/10/1961</t>
  </si>
  <si>
    <t>11/30/1979</t>
  </si>
  <si>
    <t>10/07/1973</t>
  </si>
  <si>
    <t>11/16/1981</t>
  </si>
  <si>
    <t>10/03/1969</t>
  </si>
  <si>
    <t>03/10/1969</t>
  </si>
  <si>
    <t>12/15/1987</t>
  </si>
  <si>
    <t>07/08/1948</t>
  </si>
  <si>
    <t>08/21/1990</t>
  </si>
  <si>
    <t>01/03/1976</t>
  </si>
  <si>
    <t>07/16/1978</t>
  </si>
  <si>
    <t>12/30/1961</t>
  </si>
  <si>
    <t>05/16/1972</t>
  </si>
  <si>
    <t>05/16/1991</t>
  </si>
  <si>
    <t>10/12/1955</t>
  </si>
  <si>
    <t>unavailable</t>
  </si>
  <si>
    <t>245902C</t>
  </si>
  <si>
    <t>1777492 I</t>
  </si>
  <si>
    <t>not avail</t>
  </si>
  <si>
    <t>37432816J</t>
  </si>
  <si>
    <t>2171609HCL</t>
  </si>
  <si>
    <t>004361445C</t>
  </si>
  <si>
    <t>37542346RJ -19</t>
  </si>
  <si>
    <t>WV10058W</t>
  </si>
  <si>
    <t>037140769D</t>
  </si>
  <si>
    <t>37804457-1</t>
  </si>
  <si>
    <t>not available</t>
  </si>
  <si>
    <t>037305578J</t>
  </si>
  <si>
    <t>00311952H</t>
  </si>
  <si>
    <t>00009748241I</t>
  </si>
  <si>
    <t>6058962J</t>
  </si>
  <si>
    <t>00006715648J</t>
  </si>
  <si>
    <t>zz71239p</t>
  </si>
  <si>
    <t>not provided</t>
  </si>
  <si>
    <t>will provide</t>
  </si>
  <si>
    <t>3018201990B</t>
  </si>
  <si>
    <t>011917778A</t>
  </si>
  <si>
    <t>11754828J</t>
  </si>
  <si>
    <t>04191730D</t>
  </si>
  <si>
    <t>UN34332T &amp; 9487156D</t>
  </si>
  <si>
    <t>013634963G</t>
  </si>
  <si>
    <t>S308506</t>
  </si>
  <si>
    <t>YM58233Y</t>
  </si>
  <si>
    <t>ZC08915 H &amp; 35075127</t>
  </si>
  <si>
    <t>4791837 A</t>
  </si>
  <si>
    <t>Will Provide</t>
  </si>
  <si>
    <t>17651535B SNA</t>
  </si>
  <si>
    <t>3053082 I</t>
  </si>
  <si>
    <t>037358662H</t>
  </si>
  <si>
    <t>00016194057C</t>
  </si>
  <si>
    <t>00037420860 B</t>
  </si>
  <si>
    <t>Unavailable</t>
  </si>
  <si>
    <t>4119937D</t>
  </si>
  <si>
    <t>XR 013016 E</t>
  </si>
  <si>
    <t>016799417H</t>
  </si>
  <si>
    <t>095-80-0021</t>
  </si>
  <si>
    <t>110-84-2407</t>
  </si>
  <si>
    <t>106-74-4135</t>
  </si>
  <si>
    <t>117-68-5342</t>
  </si>
  <si>
    <t>098-66-4258</t>
  </si>
  <si>
    <t>051-66-8752</t>
  </si>
  <si>
    <t>583-19-8271</t>
  </si>
  <si>
    <t>091-02-7583</t>
  </si>
  <si>
    <t>672-12-1596</t>
  </si>
  <si>
    <t>098-76-5308</t>
  </si>
  <si>
    <t>057-32-3290</t>
  </si>
  <si>
    <t>133-94-2927</t>
  </si>
  <si>
    <t>145-90-8237</t>
  </si>
  <si>
    <t>102-58-1125</t>
  </si>
  <si>
    <t>078-62-5135</t>
  </si>
  <si>
    <t>000-00-5224</t>
  </si>
  <si>
    <t>103-78-5381</t>
  </si>
  <si>
    <t>129-84-3577</t>
  </si>
  <si>
    <t>089-32-1335</t>
  </si>
  <si>
    <t>598-36-2982</t>
  </si>
  <si>
    <t>080-28-2652</t>
  </si>
  <si>
    <t>583-53-9806</t>
  </si>
  <si>
    <t>000-00-5188</t>
  </si>
  <si>
    <t>000-00-7238</t>
  </si>
  <si>
    <t>101-62-6440</t>
  </si>
  <si>
    <t>069-90-4969</t>
  </si>
  <si>
    <t>000-00-9899</t>
  </si>
  <si>
    <t>111-96-6197</t>
  </si>
  <si>
    <t>098-58-1834</t>
  </si>
  <si>
    <t>113-40-0001</t>
  </si>
  <si>
    <t>000-00-7557</t>
  </si>
  <si>
    <t>096-80-3449</t>
  </si>
  <si>
    <t>086-70-6554</t>
  </si>
  <si>
    <t>060-58-0998</t>
  </si>
  <si>
    <t>128-72-1508</t>
  </si>
  <si>
    <t>000-00-9697</t>
  </si>
  <si>
    <t>094-62-9600</t>
  </si>
  <si>
    <t>071-60-6177</t>
  </si>
  <si>
    <t>859-21-5813</t>
  </si>
  <si>
    <t>111-62-8639</t>
  </si>
  <si>
    <t>073-58-8666</t>
  </si>
  <si>
    <t>131-70-0586</t>
  </si>
  <si>
    <t>055-74-3181</t>
  </si>
  <si>
    <t>104-66-4648</t>
  </si>
  <si>
    <t>732-09-4918</t>
  </si>
  <si>
    <t>121-70-9821</t>
  </si>
  <si>
    <t>118-86-6074</t>
  </si>
  <si>
    <t>054-76-3437</t>
  </si>
  <si>
    <t>114-40-3363</t>
  </si>
  <si>
    <t>057-92-6427</t>
  </si>
  <si>
    <t>577-02-8879</t>
  </si>
  <si>
    <t>564-73-0351</t>
  </si>
  <si>
    <t>531-43-5376</t>
  </si>
  <si>
    <t>066-50-6743</t>
  </si>
  <si>
    <t>127-84-4500</t>
  </si>
  <si>
    <t>000-00-5205</t>
  </si>
  <si>
    <t>121-72-9088</t>
  </si>
  <si>
    <t>079-30-6207</t>
  </si>
  <si>
    <t>099-62-5279</t>
  </si>
  <si>
    <t>083-52-1447</t>
  </si>
  <si>
    <t>056-42-0193</t>
  </si>
  <si>
    <t>074-90-8720</t>
  </si>
  <si>
    <t>104-54-1265</t>
  </si>
  <si>
    <t>050-72-6338</t>
  </si>
  <si>
    <t>127-80-5908</t>
  </si>
  <si>
    <t>113-64-6007</t>
  </si>
  <si>
    <t>127-70-1754</t>
  </si>
  <si>
    <t>099-68-6068</t>
  </si>
  <si>
    <t>050-54-7891</t>
  </si>
  <si>
    <t>116-56-9672</t>
  </si>
  <si>
    <t>051-74-6109</t>
  </si>
  <si>
    <t>089-60-0533</t>
  </si>
  <si>
    <t>000-00-7477</t>
  </si>
  <si>
    <t>000-00-1684</t>
  </si>
  <si>
    <t>127-52-2311</t>
  </si>
  <si>
    <t>080-70-7528</t>
  </si>
  <si>
    <t>138-84-1738</t>
  </si>
  <si>
    <t>000-00-7776</t>
  </si>
  <si>
    <t>081-56-8075</t>
  </si>
  <si>
    <t>062-76-6188</t>
  </si>
  <si>
    <t>278-64-6455</t>
  </si>
  <si>
    <t>115-80-4883</t>
  </si>
  <si>
    <t>091-70-6674</t>
  </si>
  <si>
    <t>057-74-4943</t>
  </si>
  <si>
    <t>129-64-2047</t>
  </si>
  <si>
    <t>100-86-9804</t>
  </si>
  <si>
    <t>050-70-4957</t>
  </si>
  <si>
    <t>134-64-5979</t>
  </si>
  <si>
    <t>056-90-0134</t>
  </si>
  <si>
    <t>162-64-2046</t>
  </si>
  <si>
    <t>131-76-7675</t>
  </si>
  <si>
    <t>465-87-1325</t>
  </si>
  <si>
    <t>559-95-7479</t>
  </si>
  <si>
    <t>000-00-0871</t>
  </si>
  <si>
    <t>122-56-0080</t>
  </si>
  <si>
    <t>000-00-6323</t>
  </si>
  <si>
    <t>032-46-0867</t>
  </si>
  <si>
    <t>252-53-2950</t>
  </si>
  <si>
    <t>112-86-8260</t>
  </si>
  <si>
    <t>098-70-9428</t>
  </si>
  <si>
    <t>099-48-9821</t>
  </si>
  <si>
    <t>117-56-5975</t>
  </si>
  <si>
    <t>524-83-6334</t>
  </si>
  <si>
    <t>052-78-6146</t>
  </si>
  <si>
    <t>181-56-4743</t>
  </si>
  <si>
    <t>000-00-9649</t>
  </si>
  <si>
    <t>120-56-5429</t>
  </si>
  <si>
    <t>065-96-1561</t>
  </si>
  <si>
    <t>732-05-5208</t>
  </si>
  <si>
    <t>085-58-9145</t>
  </si>
  <si>
    <t>051-74-0395</t>
  </si>
  <si>
    <t>108-74-8706</t>
  </si>
  <si>
    <t>125-98-9306</t>
  </si>
  <si>
    <t>091-86-3756</t>
  </si>
  <si>
    <t>132-80-0317</t>
  </si>
  <si>
    <t>156-49-6673</t>
  </si>
  <si>
    <t>133-72-8788</t>
  </si>
  <si>
    <t>187-87-6083</t>
  </si>
  <si>
    <t>131-68-2755</t>
  </si>
  <si>
    <t>000-00-4346</t>
  </si>
  <si>
    <t>063-66-2273</t>
  </si>
  <si>
    <t>109-66-5370</t>
  </si>
  <si>
    <t>125-34-8747</t>
  </si>
  <si>
    <t>091-64-5796</t>
  </si>
  <si>
    <t>270-72-4397</t>
  </si>
  <si>
    <t>107-54-6273</t>
  </si>
  <si>
    <t>090-70-3031</t>
  </si>
  <si>
    <t>123-96-3167</t>
  </si>
  <si>
    <t>005-46-5348</t>
  </si>
  <si>
    <t>107-68-4705</t>
  </si>
  <si>
    <t>089-70-5408</t>
  </si>
  <si>
    <t>396-84-0330</t>
  </si>
  <si>
    <t>103-50-9704</t>
  </si>
  <si>
    <t>112-56-5141</t>
  </si>
  <si>
    <t>073-62-5959</t>
  </si>
  <si>
    <t>638-05-1804</t>
  </si>
  <si>
    <t>098-82-4609</t>
  </si>
  <si>
    <t>064-58-1538</t>
  </si>
  <si>
    <t>000-00-3219</t>
  </si>
  <si>
    <t>000-00-1190</t>
  </si>
  <si>
    <t>125-66-9555</t>
  </si>
  <si>
    <t>067-66-8331</t>
  </si>
  <si>
    <t>067-95-9081</t>
  </si>
  <si>
    <t>114-70-4705</t>
  </si>
  <si>
    <t>055-88-0255</t>
  </si>
  <si>
    <t>678-08-5578</t>
  </si>
  <si>
    <t>101-66-9806</t>
  </si>
  <si>
    <t>249-31-7145</t>
  </si>
  <si>
    <t>128-48-9058</t>
  </si>
  <si>
    <t>128-58-9598</t>
  </si>
  <si>
    <t>079-56-7055</t>
  </si>
  <si>
    <t>125-60-1234</t>
  </si>
  <si>
    <t>249-94-1682</t>
  </si>
  <si>
    <t>120-54-1042</t>
  </si>
  <si>
    <t>053-88-9229</t>
  </si>
  <si>
    <t>117-56-3604</t>
  </si>
  <si>
    <t>000-00-7874</t>
  </si>
  <si>
    <t>580-27-5785</t>
  </si>
  <si>
    <t>089-76-7592</t>
  </si>
  <si>
    <t>094-76-4280</t>
  </si>
  <si>
    <t>000-00-2215</t>
  </si>
  <si>
    <t>131-58-0627</t>
  </si>
  <si>
    <t>093-70-5592</t>
  </si>
  <si>
    <t>094-56-3931</t>
  </si>
  <si>
    <t>076-58-8477</t>
  </si>
  <si>
    <t>082-78-4359</t>
  </si>
  <si>
    <t>110-74-6096</t>
  </si>
  <si>
    <t>101-84-3087</t>
  </si>
  <si>
    <t>068-58-6046</t>
  </si>
  <si>
    <t>083-58-0070</t>
  </si>
  <si>
    <t>127-56-0705</t>
  </si>
  <si>
    <t>102-60-4810</t>
  </si>
  <si>
    <t>090-84-8536</t>
  </si>
  <si>
    <t>115-58-8844</t>
  </si>
  <si>
    <t>080-42-5191</t>
  </si>
  <si>
    <t>247-74-2787</t>
  </si>
  <si>
    <t>061-50-6188</t>
  </si>
  <si>
    <t>532-19-6104</t>
  </si>
  <si>
    <t>082-84-0484</t>
  </si>
  <si>
    <t>078-68-2786</t>
  </si>
  <si>
    <t>104-86-4962</t>
  </si>
  <si>
    <t>103-70-6917</t>
  </si>
  <si>
    <t>115-36-7644</t>
  </si>
  <si>
    <t>132-60-7715</t>
  </si>
  <si>
    <t>237-76-0635</t>
  </si>
  <si>
    <t>118-60-3216</t>
  </si>
  <si>
    <t>123-58-9907</t>
  </si>
  <si>
    <t>301-80-3584</t>
  </si>
  <si>
    <t>128-96-0875</t>
  </si>
  <si>
    <t>087-98-5687</t>
  </si>
  <si>
    <t>058-90-0140</t>
  </si>
  <si>
    <t>082-60-0855</t>
  </si>
  <si>
    <t>066-64-1252</t>
  </si>
  <si>
    <t>000-00-8802</t>
  </si>
  <si>
    <t>050-84-9419</t>
  </si>
  <si>
    <t>261-81-0339</t>
  </si>
  <si>
    <t>083-58-7244</t>
  </si>
  <si>
    <t>763-23-3347</t>
  </si>
  <si>
    <t>107-88-7755</t>
  </si>
  <si>
    <t>091-54-4122</t>
  </si>
  <si>
    <t>059-60-1045</t>
  </si>
  <si>
    <t>053-17-4451</t>
  </si>
  <si>
    <t>074-68-4844</t>
  </si>
  <si>
    <t>098-70-7106</t>
  </si>
  <si>
    <t>000-00-1695</t>
  </si>
  <si>
    <t>000-00-3017</t>
  </si>
  <si>
    <t>650-03-8118</t>
  </si>
  <si>
    <t>000-00-8579</t>
  </si>
  <si>
    <t>060-62-4199</t>
  </si>
  <si>
    <t>133-42-4944</t>
  </si>
  <si>
    <t>097-94-9885</t>
  </si>
  <si>
    <t>131-48-1262</t>
  </si>
  <si>
    <t>106-54-6706</t>
  </si>
  <si>
    <t>087-46-8354</t>
  </si>
  <si>
    <t>084-58-5161</t>
  </si>
  <si>
    <t>071-44-5622</t>
  </si>
  <si>
    <t>000-00-1808</t>
  </si>
  <si>
    <t>115-62-1505</t>
  </si>
  <si>
    <t>117-66-3185</t>
  </si>
  <si>
    <t>241-86-9861</t>
  </si>
  <si>
    <t>000-00-5437</t>
  </si>
  <si>
    <t>089-66-5716</t>
  </si>
  <si>
    <t>000-00-2182</t>
  </si>
  <si>
    <t>000-00-8990</t>
  </si>
  <si>
    <t>194-65-4864</t>
  </si>
  <si>
    <t>133-36-8458</t>
  </si>
  <si>
    <t>090-86-4714</t>
  </si>
  <si>
    <t>125-69-0064</t>
  </si>
  <si>
    <t>061-50-8985</t>
  </si>
  <si>
    <t>089-94-7039</t>
  </si>
  <si>
    <t>099-88-6456</t>
  </si>
  <si>
    <t>000-00-2984</t>
  </si>
  <si>
    <t>071-30-9561</t>
  </si>
  <si>
    <t>059-76-2550</t>
  </si>
  <si>
    <t>120-64-8760</t>
  </si>
  <si>
    <t>072-70-3917</t>
  </si>
  <si>
    <t>074-56-9962</t>
  </si>
  <si>
    <t>262-93-0699</t>
  </si>
  <si>
    <t>562-39-4465</t>
  </si>
  <si>
    <t>059-66-4834</t>
  </si>
  <si>
    <t>238-47-0292</t>
  </si>
  <si>
    <t>103-60-1837</t>
  </si>
  <si>
    <t>089-74-7333</t>
  </si>
  <si>
    <t>089-50-1391</t>
  </si>
  <si>
    <t>084-78-2051</t>
  </si>
  <si>
    <t>072-74-1528</t>
  </si>
  <si>
    <t>079-62-1176</t>
  </si>
  <si>
    <t>080-90-9262</t>
  </si>
  <si>
    <t>Project-based Sec. 8</t>
  </si>
  <si>
    <t>Public Housing/NYCHA</t>
  </si>
  <si>
    <t>Rent Controlled</t>
  </si>
  <si>
    <t>Mitchell-Lama</t>
  </si>
  <si>
    <t>Other Subsidized Housing</t>
  </si>
  <si>
    <t>Public Housing</t>
  </si>
  <si>
    <t>Unregulated – Other</t>
  </si>
  <si>
    <t>Supportive Housing</t>
  </si>
  <si>
    <t>FEPS</t>
  </si>
  <si>
    <t>City FEPS</t>
  </si>
  <si>
    <t>LINC</t>
  </si>
  <si>
    <t>HUD VASH</t>
  </si>
  <si>
    <t>SOTA</t>
  </si>
  <si>
    <t>SEPS</t>
  </si>
  <si>
    <t>08/04/2017</t>
  </si>
  <si>
    <t>Zip Code Waiver</t>
  </si>
  <si>
    <t>Income Waiver</t>
  </si>
  <si>
    <t>Dutch</t>
  </si>
  <si>
    <t xml:space="preserve">Chinese </t>
  </si>
  <si>
    <t>Japanese</t>
  </si>
  <si>
    <t>Polish</t>
  </si>
  <si>
    <t>Did not want to disclose SSN (identity theft concerns)</t>
  </si>
  <si>
    <t>CASE WAS ADVICE VIA PHONE ONLY</t>
  </si>
  <si>
    <t>clientt did not want to sign consent to release</t>
  </si>
  <si>
    <t>Compliance docs located in companion file #19-1901098</t>
  </si>
  <si>
    <t>Need income waiver for client who is part of a building wide initiative.</t>
  </si>
  <si>
    <t>Need income waiver for client who is part of a building wide initiative</t>
  </si>
  <si>
    <t>Need income waiver for client who is a part of building wide initiative</t>
  </si>
  <si>
    <t>Out-of-date forms in 17-1852369</t>
  </si>
  <si>
    <t>NO DHCI ; other forms are in 19-1896750</t>
  </si>
  <si>
    <t>We can't find the file.</t>
  </si>
  <si>
    <t>We cannot get forms from client; best efforts made.</t>
  </si>
  <si>
    <t>Releases are in the attestation folder</t>
  </si>
  <si>
    <t>Compliance and Releases are in Original LS 18-1884173</t>
  </si>
  <si>
    <t>Contacting client for forms</t>
  </si>
  <si>
    <t>Contacting client to get income form ; didn;t need it in elder unit</t>
  </si>
  <si>
    <t>Release in 18-1875487</t>
  </si>
  <si>
    <t>Attestation located on pg 3 of Intake Pkg on pg, section entitled -Intake Questionnaire</t>
  </si>
  <si>
    <t>No Releases or Other Compliance docs</t>
  </si>
  <si>
    <t>Releases in (17-0831758)</t>
  </si>
  <si>
    <t>Need income waiver</t>
  </si>
  <si>
    <t>No physical file</t>
  </si>
  <si>
    <t>Advice only - never met with her in person.</t>
  </si>
  <si>
    <t>Compliance Docs located in parent file #18-1882544</t>
  </si>
  <si>
    <t>Compliance Docs located in parent file #18-1882569</t>
  </si>
  <si>
    <t>Compliance docs not necs for brief advice over phone</t>
  </si>
  <si>
    <t>Need an income waiver. He was part of a building wide initiative that didn't gain traction &amp; reached out to Ivan M for help with this</t>
  </si>
  <si>
    <t>Income waiver needed?</t>
  </si>
  <si>
    <t>Wavier for facial recognition. No DHCI required.</t>
  </si>
  <si>
    <t>DHCI waiver obtained. Need income waiver</t>
  </si>
  <si>
    <t>Waiver obtained for DHCI - Waiver required for income</t>
  </si>
  <si>
    <t>Income waiver needed. Wavier for APT Facial Recognition. No DHCI required.</t>
  </si>
  <si>
    <t>Income waiver required. Waiver obtained re DHCI not required</t>
  </si>
  <si>
    <t>Zip code waiver needed for new case against building wide initiative client</t>
  </si>
  <si>
    <t>Releases &amp; attestation located in companion file #19-1891794</t>
  </si>
  <si>
    <t>Compliance docs located in companion file #18-1880272</t>
  </si>
  <si>
    <t>Income waiver needed for building wide work. Compliance docs located in companion file #18-1882158</t>
  </si>
  <si>
    <t>Need income waiver - Compliance docs located in companion file #18-1885317</t>
  </si>
  <si>
    <t>Client needs income &amp; zip code waivers - Compliance docs located in companion file #18-1880097</t>
  </si>
  <si>
    <t>never met with client - spoke over the phone for advice &amp; referral</t>
  </si>
  <si>
    <t>Attestation located in Intake Pkg</t>
  </si>
  <si>
    <t>no attestation in file</t>
  </si>
  <si>
    <t>Phone Conf only. No hard copy file / No compliance docs</t>
  </si>
  <si>
    <t>Never met with client as matter was in process of being resolved when she 1st contacted and client did resolve on her own.</t>
  </si>
  <si>
    <t>Never met with client. Advice given over the phone.</t>
  </si>
  <si>
    <t>Never met with client - no compliance docs for advice</t>
  </si>
  <si>
    <t>No compliance docs obtained</t>
  </si>
  <si>
    <t>No compliance Docs - referred out</t>
  </si>
  <si>
    <t>need income waiver - Compliance docs located companion file #19-1901332</t>
  </si>
  <si>
    <t>No current intake packet ; client back same advice, no new case</t>
  </si>
  <si>
    <t>04/03/2019</t>
  </si>
  <si>
    <t>05/10/2019</t>
  </si>
  <si>
    <t>05/09/2019</t>
  </si>
  <si>
    <t>07/01/2019</t>
  </si>
  <si>
    <t>12/10/2018</t>
  </si>
  <si>
    <t>05/22/2018</t>
  </si>
  <si>
    <t>09/13/2018</t>
  </si>
  <si>
    <t>04/30/2018</t>
  </si>
  <si>
    <t>06/22/2018</t>
  </si>
  <si>
    <t>01/08/2018</t>
  </si>
  <si>
    <t>10/04/2018</t>
  </si>
  <si>
    <t>07/09/2019</t>
  </si>
  <si>
    <t>05/07/2018</t>
  </si>
  <si>
    <t>02/04/2019</t>
  </si>
  <si>
    <t>10/30/2018</t>
  </si>
  <si>
    <t>06/04/2018</t>
  </si>
  <si>
    <t>04/22/2019</t>
  </si>
  <si>
    <t>05/29/2019</t>
  </si>
  <si>
    <t>04/16/2018</t>
  </si>
  <si>
    <t>02/07/2017</t>
  </si>
  <si>
    <t>08/30/2018</t>
  </si>
  <si>
    <t>05/01/2019</t>
  </si>
  <si>
    <t>Baldova, Maria</t>
  </si>
  <si>
    <t>Villanueva, Anthony</t>
  </si>
  <si>
    <t>Wong, Angela</t>
  </si>
  <si>
    <t>Morales-Robinson, Ana</t>
  </si>
  <si>
    <t>Khanam, Aysha</t>
  </si>
  <si>
    <t>Guzman Velazquez, Leida</t>
  </si>
  <si>
    <t>Richardson, Ryan</t>
  </si>
  <si>
    <t>Dong, Sean</t>
  </si>
  <si>
    <t>Zabizhin, Albert</t>
  </si>
  <si>
    <t>Lopez, Gabriel</t>
  </si>
  <si>
    <t>Nachman, Fraidy</t>
  </si>
  <si>
    <t>Lane, Diane</t>
  </si>
  <si>
    <t>Frias De Sosa, Yajaira</t>
  </si>
  <si>
    <t>Barreda, Catherine</t>
  </si>
  <si>
    <t>Salcedo, Luciris</t>
  </si>
  <si>
    <t>Deolarte, Stephanie</t>
  </si>
  <si>
    <t>Yeasmin, Sarzah</t>
  </si>
  <si>
    <t>Active CA/SNAP</t>
  </si>
  <si>
    <t>Anvid, Taylor</t>
  </si>
  <si>
    <t>Armentrout, Lynn</t>
  </si>
  <si>
    <t>Barrow, Jennifer</t>
  </si>
  <si>
    <t>Bash, Rachel</t>
  </si>
  <si>
    <t>Bowman, Cathy</t>
  </si>
  <si>
    <t>Cepeda, Jeanette</t>
  </si>
  <si>
    <t>Drumm, Kristen</t>
  </si>
  <si>
    <t>Dunlop-German, Allison</t>
  </si>
  <si>
    <t>Eisom, Stanley</t>
  </si>
  <si>
    <t>Elmore, Josh</t>
  </si>
  <si>
    <t>Figaro, Nakesha</t>
  </si>
  <si>
    <t>Gathing, Vance</t>
  </si>
  <si>
    <t>Isaias, Bianca</t>
  </si>
  <si>
    <t>Jackson, Chavette</t>
  </si>
  <si>
    <t>James, Natalie</t>
  </si>
  <si>
    <t>Josephson, Edward</t>
  </si>
  <si>
    <t>MacRae, John</t>
  </si>
  <si>
    <t>McHugh Mills, Maura</t>
  </si>
  <si>
    <t>Odoemene, Udoka</t>
  </si>
  <si>
    <t>Ortiz, Andrew</t>
  </si>
  <si>
    <t>Reed, Jessica</t>
  </si>
  <si>
    <t>Sandoval, Sandra</t>
  </si>
  <si>
    <t>Surette, Gibb</t>
  </si>
  <si>
    <t>Tan, Andrea</t>
  </si>
  <si>
    <t>Tello, Victor</t>
  </si>
  <si>
    <t>Telson, Sarah</t>
  </si>
  <si>
    <t>Twersky, Jonathan</t>
  </si>
  <si>
    <t>Tyler, Johnson</t>
  </si>
  <si>
    <t>Vujica, Visnja</t>
  </si>
  <si>
    <t>02/01/2018</t>
  </si>
  <si>
    <t>06/30/2016</t>
  </si>
  <si>
    <t>07/12/2016</t>
  </si>
  <si>
    <t>11/23/2016</t>
  </si>
  <si>
    <t>02/27/2017</t>
  </si>
  <si>
    <t>10/15/2018</t>
  </si>
  <si>
    <t>06/13/2017</t>
  </si>
  <si>
    <t>02/25/2019</t>
  </si>
  <si>
    <t>07/13/2018</t>
  </si>
  <si>
    <t>08/24/2016</t>
  </si>
  <si>
    <t>05/30/2017</t>
  </si>
  <si>
    <t>04/21/2016</t>
  </si>
  <si>
    <t>09/24/2018</t>
  </si>
  <si>
    <t>06/18/2015</t>
  </si>
  <si>
    <t>02/02/2017</t>
  </si>
  <si>
    <t>08/27/2018</t>
  </si>
  <si>
    <t>06/08/2018</t>
  </si>
  <si>
    <t>05/21/2018</t>
  </si>
  <si>
    <t>09/21/2018</t>
  </si>
  <si>
    <t>08/25/2015</t>
  </si>
  <si>
    <t>06/29/2018</t>
  </si>
  <si>
    <t>02/16/2016</t>
  </si>
  <si>
    <t>03/30/2016</t>
  </si>
  <si>
    <t>05/06/2016</t>
  </si>
  <si>
    <t>01/21/2012</t>
  </si>
  <si>
    <t>03/24/2017</t>
  </si>
  <si>
    <t>04/12/2018</t>
  </si>
  <si>
    <t>05/09/2018</t>
  </si>
  <si>
    <t>08/30/2017</t>
  </si>
  <si>
    <t>04/13/2017</t>
  </si>
  <si>
    <t>12/10/2013</t>
  </si>
  <si>
    <t>08/25/2016</t>
  </si>
  <si>
    <t>03/29/2016</t>
  </si>
  <si>
    <t>11/03/2016</t>
  </si>
  <si>
    <t>06/13/2016</t>
  </si>
  <si>
    <t>07/20/2016</t>
  </si>
  <si>
    <t>03/12/2019</t>
  </si>
  <si>
    <t>03/05/2019</t>
  </si>
  <si>
    <t>07/28/2018</t>
  </si>
  <si>
    <t>12/26/2018</t>
  </si>
  <si>
    <t>01/31/2019</t>
  </si>
  <si>
    <t>Rosalind</t>
  </si>
  <si>
    <t>Idalmis</t>
  </si>
  <si>
    <t>Toby</t>
  </si>
  <si>
    <t>Julia</t>
  </si>
  <si>
    <t>Fredrena</t>
  </si>
  <si>
    <t>Fortinee</t>
  </si>
  <si>
    <t>Kenneth</t>
  </si>
  <si>
    <t>Corrie</t>
  </si>
  <si>
    <t>Debbie</t>
  </si>
  <si>
    <t>Alie</t>
  </si>
  <si>
    <t>Bweela</t>
  </si>
  <si>
    <t>Ellison</t>
  </si>
  <si>
    <t>Michael</t>
  </si>
  <si>
    <t>Nathaniel</t>
  </si>
  <si>
    <t>Norma</t>
  </si>
  <si>
    <t>Aneita</t>
  </si>
  <si>
    <t>Hannah</t>
  </si>
  <si>
    <t>Rebekah</t>
  </si>
  <si>
    <t>Jason</t>
  </si>
  <si>
    <t>Scears</t>
  </si>
  <si>
    <t>Lila</t>
  </si>
  <si>
    <t>Lillian</t>
  </si>
  <si>
    <t>Eric</t>
  </si>
  <si>
    <t>Antoinette</t>
  </si>
  <si>
    <t>Laurie</t>
  </si>
  <si>
    <t>Daquan</t>
  </si>
  <si>
    <t>Ivo</t>
  </si>
  <si>
    <t>Jahleel</t>
  </si>
  <si>
    <t>Dana</t>
  </si>
  <si>
    <t>Benita</t>
  </si>
  <si>
    <t>Leland</t>
  </si>
  <si>
    <t>Lelia</t>
  </si>
  <si>
    <t>Jamie</t>
  </si>
  <si>
    <t>Hussain</t>
  </si>
  <si>
    <t>Joshua</t>
  </si>
  <si>
    <t>Raynelle</t>
  </si>
  <si>
    <t>Nathylin</t>
  </si>
  <si>
    <t>Purnell</t>
  </si>
  <si>
    <t>Theresa</t>
  </si>
  <si>
    <t>Brenda</t>
  </si>
  <si>
    <t>Waanibe</t>
  </si>
  <si>
    <t>Tameka</t>
  </si>
  <si>
    <t>Jessica</t>
  </si>
  <si>
    <t>Jules</t>
  </si>
  <si>
    <t>Shektman</t>
  </si>
  <si>
    <t>Brenner</t>
  </si>
  <si>
    <t>Singleton</t>
  </si>
  <si>
    <t>Somers</t>
  </si>
  <si>
    <t>Easterlin</t>
  </si>
  <si>
    <t>Solomon</t>
  </si>
  <si>
    <t>de la Cruz</t>
  </si>
  <si>
    <t>Forbes Cruz</t>
  </si>
  <si>
    <t>Wheeler</t>
  </si>
  <si>
    <t>Slattery</t>
  </si>
  <si>
    <t>Kavanagh</t>
  </si>
  <si>
    <t>Colon</t>
  </si>
  <si>
    <t>Duesbury</t>
  </si>
  <si>
    <t>Ceant</t>
  </si>
  <si>
    <t>Ebanks</t>
  </si>
  <si>
    <t>Yapp</t>
  </si>
  <si>
    <t>Hunter</t>
  </si>
  <si>
    <t>Steptoe</t>
  </si>
  <si>
    <t>Mcknight</t>
  </si>
  <si>
    <t>Griffin</t>
  </si>
  <si>
    <t>Fabriani</t>
  </si>
  <si>
    <t>Ayala</t>
  </si>
  <si>
    <t>Toussaint</t>
  </si>
  <si>
    <t>Pink</t>
  </si>
  <si>
    <t>Henderson</t>
  </si>
  <si>
    <t>Boyer</t>
  </si>
  <si>
    <t>Sharp</t>
  </si>
  <si>
    <t>Bell</t>
  </si>
  <si>
    <t>Forman</t>
  </si>
  <si>
    <t>Lee</t>
  </si>
  <si>
    <t>Evans</t>
  </si>
  <si>
    <t>Munnlyn</t>
  </si>
  <si>
    <t>Hairston</t>
  </si>
  <si>
    <t>McCarthy</t>
  </si>
  <si>
    <t>Rosenfeld</t>
  </si>
  <si>
    <t>Ingram</t>
  </si>
  <si>
    <t>Orlic</t>
  </si>
  <si>
    <t>Resto</t>
  </si>
  <si>
    <t>Mcintosh</t>
  </si>
  <si>
    <t>Chisolm</t>
  </si>
  <si>
    <t>Belches</t>
  </si>
  <si>
    <t>McLaughlin</t>
  </si>
  <si>
    <t>Ross</t>
  </si>
  <si>
    <t>Mangham</t>
  </si>
  <si>
    <t>Desormeaux</t>
  </si>
  <si>
    <t>Abuzaid</t>
  </si>
  <si>
    <t>Nyitray</t>
  </si>
  <si>
    <t>Sahadeo</t>
  </si>
  <si>
    <t>Flowers</t>
  </si>
  <si>
    <t>Perkins</t>
  </si>
  <si>
    <t>Abdur-Rahim</t>
  </si>
  <si>
    <t>Marrone</t>
  </si>
  <si>
    <t>Jean-Jacques</t>
  </si>
  <si>
    <t>Kemp</t>
  </si>
  <si>
    <t>Alfuqaha</t>
  </si>
  <si>
    <t>Skloot</t>
  </si>
  <si>
    <t>2900 W 8th St</t>
  </si>
  <si>
    <t>1704 E. 15th St.</t>
  </si>
  <si>
    <t>2243 Cropsey Ave</t>
  </si>
  <si>
    <t>194 Grant Ave</t>
  </si>
  <si>
    <t>184 Wyckoff Ave</t>
  </si>
  <si>
    <t>65 Willoughby Ave</t>
  </si>
  <si>
    <t>111 15th St</t>
  </si>
  <si>
    <t>2750 W 33rd St</t>
  </si>
  <si>
    <t>182 Covert St</t>
  </si>
  <si>
    <t>585 E 21st St</t>
  </si>
  <si>
    <t>1165 Stanley Ave</t>
  </si>
  <si>
    <t>3325 Neptune Ave</t>
  </si>
  <si>
    <t>4505 Surf Ave</t>
  </si>
  <si>
    <t>2285 strauss ST</t>
  </si>
  <si>
    <t>395 Schenectady Ave</t>
  </si>
  <si>
    <t>567 Macon St</t>
  </si>
  <si>
    <t>257 Linden St</t>
  </si>
  <si>
    <t>765 lincoln ave</t>
  </si>
  <si>
    <t>1248 Saint Marks Ave</t>
  </si>
  <si>
    <t>227 Lott Ave</t>
  </si>
  <si>
    <t>1530 Pennsylvania Ave</t>
  </si>
  <si>
    <t>861 Halsey St</t>
  </si>
  <si>
    <t>482 Nostrand Ave</t>
  </si>
  <si>
    <t>92 Crystal St</t>
  </si>
  <si>
    <t>2826 Brigham St</t>
  </si>
  <si>
    <t>1469 Bedford Ave</t>
  </si>
  <si>
    <t>1302 Newkirk Ave</t>
  </si>
  <si>
    <t>1092 Willmohr St</t>
  </si>
  <si>
    <t>3310 Bayview Ave</t>
  </si>
  <si>
    <t>2574 Bedford Ave</t>
  </si>
  <si>
    <t>9708 Kings Hwy</t>
  </si>
  <si>
    <t>753 Macon St</t>
  </si>
  <si>
    <t>2041 E 7th St</t>
  </si>
  <si>
    <t>973 Saint Marks Ave</t>
  </si>
  <si>
    <t>191 Sumpter St</t>
  </si>
  <si>
    <t>316 Troutman St</t>
  </si>
  <si>
    <t>1122 Herkimer St</t>
  </si>
  <si>
    <t>959 Metropolitan Ave</t>
  </si>
  <si>
    <t>20 Roosevelt Pl</t>
  </si>
  <si>
    <t>257 Marion St</t>
  </si>
  <si>
    <t>219 Sullivan Pl</t>
  </si>
  <si>
    <t>306 Union Ave</t>
  </si>
  <si>
    <t>37 New Lots Ave</t>
  </si>
  <si>
    <t>524 86th Street 4R</t>
  </si>
  <si>
    <t>761 44th St</t>
  </si>
  <si>
    <t>19 Schenck Ave</t>
  </si>
  <si>
    <t>100 Elton St</t>
  </si>
  <si>
    <t>557 Bradford St</t>
  </si>
  <si>
    <t>590 Bradford St</t>
  </si>
  <si>
    <t>63 A Lewis Ave</t>
  </si>
  <si>
    <t>280 Parkside Ave</t>
  </si>
  <si>
    <t>363 Grand Ave</t>
  </si>
  <si>
    <t>78 Havemeyer St Apt 4</t>
  </si>
  <si>
    <t>306 W 51st St</t>
  </si>
  <si>
    <t>411 Lafayette Ave 11E</t>
  </si>
  <si>
    <t>1416 Brooklyn Ave</t>
  </si>
  <si>
    <t>1112 Remsen Ave</t>
  </si>
  <si>
    <t>329 50th St</t>
  </si>
  <si>
    <t>2483 W 16th St</t>
  </si>
  <si>
    <t>810 E 35th St</t>
  </si>
  <si>
    <t>2950 W 24th St</t>
  </si>
  <si>
    <t>225 Neptune Ave</t>
  </si>
  <si>
    <t>70 S Elliott Pl</t>
  </si>
  <si>
    <t>3-H</t>
  </si>
  <si>
    <t>D7</t>
  </si>
  <si>
    <t>8-B</t>
  </si>
  <si>
    <t>F4</t>
  </si>
  <si>
    <t>6J</t>
  </si>
  <si>
    <t>1f</t>
  </si>
  <si>
    <t>Apt 1A</t>
  </si>
  <si>
    <t>#1</t>
  </si>
  <si>
    <t>15J</t>
  </si>
  <si>
    <t>1-H</t>
  </si>
  <si>
    <t>#17B</t>
  </si>
  <si>
    <t>1-D</t>
  </si>
  <si>
    <t>B3</t>
  </si>
  <si>
    <t>Apt F2</t>
  </si>
  <si>
    <t>4R</t>
  </si>
  <si>
    <t>IL</t>
  </si>
  <si>
    <t>2 R</t>
  </si>
  <si>
    <t>Apt 2</t>
  </si>
  <si>
    <t>1- first floor</t>
  </si>
  <si>
    <t>#4C</t>
  </si>
  <si>
    <t>D6</t>
  </si>
  <si>
    <t>C2</t>
  </si>
  <si>
    <t># 3</t>
  </si>
  <si>
    <t>#A3W</t>
  </si>
  <si>
    <t>5A</t>
  </si>
  <si>
    <t>A-1</t>
  </si>
  <si>
    <t>L3</t>
  </si>
  <si>
    <t>9B</t>
  </si>
  <si>
    <t>LT-070216-17/KI</t>
  </si>
  <si>
    <t>LT-071730-16/KI</t>
  </si>
  <si>
    <t>LT-060722-16/KI</t>
  </si>
  <si>
    <t>LT-075242-16/KI</t>
  </si>
  <si>
    <t>LT-5030417-17/KI</t>
  </si>
  <si>
    <t>LT-059494-16/KI</t>
  </si>
  <si>
    <t>LT-058856-17/KI</t>
  </si>
  <si>
    <t>LT-084391-18/KI</t>
  </si>
  <si>
    <t>65959-19</t>
  </si>
  <si>
    <t>LT-061427-16/KI</t>
  </si>
  <si>
    <t>LT-103276-11/KI</t>
  </si>
  <si>
    <t>HP 2384/2018</t>
  </si>
  <si>
    <t>LT-74071-18/KI</t>
  </si>
  <si>
    <t>LT-064720-18/KI</t>
  </si>
  <si>
    <t>LT-077054-18/KI</t>
  </si>
  <si>
    <t>65250/19</t>
  </si>
  <si>
    <t>06187-19</t>
  </si>
  <si>
    <t>LT-58898-15/KI</t>
  </si>
  <si>
    <t>LT-064592-16/KI</t>
  </si>
  <si>
    <t>LT-071434-18/KI</t>
  </si>
  <si>
    <t>92657/18</t>
  </si>
  <si>
    <t>LT-084203-17/KI</t>
  </si>
  <si>
    <t>LT-100755-16/KI</t>
  </si>
  <si>
    <t>LT-089477-17/KI</t>
  </si>
  <si>
    <t>LT-90607-13/KI</t>
  </si>
  <si>
    <t>LT-023529-18/KI</t>
  </si>
  <si>
    <t>LT-61522-16/KI</t>
  </si>
  <si>
    <t>LT-078573-16/KI</t>
  </si>
  <si>
    <t>LT-055447-18/KI</t>
  </si>
  <si>
    <t>LT-62648/15/KI</t>
  </si>
  <si>
    <t>Illegal Lockout</t>
  </si>
  <si>
    <t>IB - Contested Court Decision</t>
  </si>
  <si>
    <t>IA - Uncontested Court Decision</t>
  </si>
  <si>
    <t>3311 Anti-Eviction and SRO Legal Services (formerly "HPD"), 5556 Robin Hood-Foreclosure and Housing</t>
  </si>
  <si>
    <t>79 Other Income Maintenence</t>
  </si>
  <si>
    <t>02 Collect/Repo/Def/Garnsh</t>
  </si>
  <si>
    <t>0-No Main Benefit</t>
  </si>
  <si>
    <t>6009-Obtained repairs, Improved housing conditions or otherwise enforced rights to decent, habitable housing</t>
  </si>
  <si>
    <t>1013-Obtained advice and counsel  on Consumer matter</t>
  </si>
  <si>
    <t>04/27/1957</t>
  </si>
  <si>
    <t>08/21/1957</t>
  </si>
  <si>
    <t>02/14/1958</t>
  </si>
  <si>
    <t>08/28/1954</t>
  </si>
  <si>
    <t>08/05/1972</t>
  </si>
  <si>
    <t>01/15/1954</t>
  </si>
  <si>
    <t>12/25/1938</t>
  </si>
  <si>
    <t>06/22/1963</t>
  </si>
  <si>
    <t>12/21/1963</t>
  </si>
  <si>
    <t>05/08/1955</t>
  </si>
  <si>
    <t>07/30/1986</t>
  </si>
  <si>
    <t>03/24/1966</t>
  </si>
  <si>
    <t>12/11/1960</t>
  </si>
  <si>
    <t>05/05/1988</t>
  </si>
  <si>
    <t>03/01/1967</t>
  </si>
  <si>
    <t>10/21/1965</t>
  </si>
  <si>
    <t>01/20/1958</t>
  </si>
  <si>
    <t>10/24/1958</t>
  </si>
  <si>
    <t>12/01/1987</t>
  </si>
  <si>
    <t>09/10/1994</t>
  </si>
  <si>
    <t>08/02/1982</t>
  </si>
  <si>
    <t>02/02/1970</t>
  </si>
  <si>
    <t>04/01/1958</t>
  </si>
  <si>
    <t>05/11/1959</t>
  </si>
  <si>
    <t>02/11/1961</t>
  </si>
  <si>
    <t>08/06/1966</t>
  </si>
  <si>
    <t>09/12/1987</t>
  </si>
  <si>
    <t>10/22/1979</t>
  </si>
  <si>
    <t>01/13/1959</t>
  </si>
  <si>
    <t>03/26/1956</t>
  </si>
  <si>
    <t>07/10/1952</t>
  </si>
  <si>
    <t>06/18/1981</t>
  </si>
  <si>
    <t>09/17/1977</t>
  </si>
  <si>
    <t>04/24/1983</t>
  </si>
  <si>
    <t>09/17/1989</t>
  </si>
  <si>
    <t>01/19/1965</t>
  </si>
  <si>
    <t>04/18/1959</t>
  </si>
  <si>
    <t>08/04/1989</t>
  </si>
  <si>
    <t>04/22/1968</t>
  </si>
  <si>
    <t>04/30/1975</t>
  </si>
  <si>
    <t>12/17/1958</t>
  </si>
  <si>
    <t>12/19/1989</t>
  </si>
  <si>
    <t>03/11/1943</t>
  </si>
  <si>
    <t>09/22/1962</t>
  </si>
  <si>
    <t>03/20/1985</t>
  </si>
  <si>
    <t>12/01/1994</t>
  </si>
  <si>
    <t>06/19/1952</t>
  </si>
  <si>
    <t>03/11/1982</t>
  </si>
  <si>
    <t>11/05/1962</t>
  </si>
  <si>
    <t>06/21/1986</t>
  </si>
  <si>
    <t>01/09/1978</t>
  </si>
  <si>
    <t>05/25/1968</t>
  </si>
  <si>
    <t>12/06/1980</t>
  </si>
  <si>
    <t>10/27/1982</t>
  </si>
  <si>
    <t>03/07/1946</t>
  </si>
  <si>
    <t>04/30/1963</t>
  </si>
  <si>
    <t>12/12/1965</t>
  </si>
  <si>
    <t>06/26/1956</t>
  </si>
  <si>
    <t>01/02/1960</t>
  </si>
  <si>
    <t>08/01/1991</t>
  </si>
  <si>
    <t>03/21/1958</t>
  </si>
  <si>
    <t>06/03/1970</t>
  </si>
  <si>
    <t>05/17/1990</t>
  </si>
  <si>
    <t>09/10/1981</t>
  </si>
  <si>
    <t>33358956O</t>
  </si>
  <si>
    <t>Didn't have it with him</t>
  </si>
  <si>
    <t>0037401422D</t>
  </si>
  <si>
    <t>107-64-0563</t>
  </si>
  <si>
    <t>095-52-0018</t>
  </si>
  <si>
    <t>096-54-3420</t>
  </si>
  <si>
    <t>130-46-7078</t>
  </si>
  <si>
    <t>099-96-6153</t>
  </si>
  <si>
    <t>327-48-0482</t>
  </si>
  <si>
    <t>099-62-2260</t>
  </si>
  <si>
    <t>149-80-3882</t>
  </si>
  <si>
    <t>059-58-9364</t>
  </si>
  <si>
    <t>110-54-3601</t>
  </si>
  <si>
    <t>114-44-4066</t>
  </si>
  <si>
    <t>086-74-1496</t>
  </si>
  <si>
    <t>582-47-4732</t>
  </si>
  <si>
    <t>066-84-2062</t>
  </si>
  <si>
    <t>103-50-8117</t>
  </si>
  <si>
    <t>108-90-4037</t>
  </si>
  <si>
    <t>061-76-8326</t>
  </si>
  <si>
    <t>133-82-4456</t>
  </si>
  <si>
    <t>211-64-3498</t>
  </si>
  <si>
    <t>076-58-7424</t>
  </si>
  <si>
    <t>252-47-5682</t>
  </si>
  <si>
    <t>083-50-1244</t>
  </si>
  <si>
    <t>114-52-3925</t>
  </si>
  <si>
    <t>133-42-7977</t>
  </si>
  <si>
    <t>076-56-6887</t>
  </si>
  <si>
    <t>127-72-3469</t>
  </si>
  <si>
    <t>118-98-0967</t>
  </si>
  <si>
    <t>057-50-7484</t>
  </si>
  <si>
    <t>193-44-4858</t>
  </si>
  <si>
    <t>131-68-1204</t>
  </si>
  <si>
    <t>580-08-6020</t>
  </si>
  <si>
    <t>072-54-7402</t>
  </si>
  <si>
    <t>568-75-3641</t>
  </si>
  <si>
    <t>421-33-7942</t>
  </si>
  <si>
    <t>058-58-7195</t>
  </si>
  <si>
    <t>087-54-1362</t>
  </si>
  <si>
    <t>066-76-6847</t>
  </si>
  <si>
    <t>070-58-9027</t>
  </si>
  <si>
    <t>107-62-2775</t>
  </si>
  <si>
    <t>130-50-6943</t>
  </si>
  <si>
    <t>081-86-0909</t>
  </si>
  <si>
    <t>049-64-8253</t>
  </si>
  <si>
    <t>076-84-2075</t>
  </si>
  <si>
    <t>099-44-0354</t>
  </si>
  <si>
    <t>240-57-3601</t>
  </si>
  <si>
    <t>090-58-7104</t>
  </si>
  <si>
    <t>053-72-3584</t>
  </si>
  <si>
    <t>075-64-1188</t>
  </si>
  <si>
    <t>603-30-0598</t>
  </si>
  <si>
    <t>372-88-6670</t>
  </si>
  <si>
    <t>171-36-5593</t>
  </si>
  <si>
    <t>089-60-9933</t>
  </si>
  <si>
    <t>096-48-5410</t>
  </si>
  <si>
    <t>000-00-9493</t>
  </si>
  <si>
    <t>128-48-5081</t>
  </si>
  <si>
    <t>080-54-3484</t>
  </si>
  <si>
    <t>065-78-6715</t>
  </si>
  <si>
    <t>HDFC</t>
  </si>
  <si>
    <t>Low Income Tax Credit</t>
  </si>
  <si>
    <t>Unregulated – Co-Op</t>
  </si>
  <si>
    <t>07/26/2018</t>
  </si>
  <si>
    <t>CAT3: Cases Involving Rent-Regulated Housing Or Housing Subsidies Vouchers</t>
  </si>
  <si>
    <t>Russian</t>
  </si>
  <si>
    <t>PA Check AB</t>
  </si>
  <si>
    <t>Filed for an Emergency Order to Show Cause</t>
  </si>
  <si>
    <t>Counsel Assisted in Filing or Refiling of Answer</t>
  </si>
  <si>
    <t>Case Resolved without Judgment of Eviction Against Client</t>
  </si>
  <si>
    <t>Obtain Ongoing Rent Subsidy</t>
  </si>
  <si>
    <t>Client Allowed to Remain in Residence</t>
  </si>
  <si>
    <t>Attorney Withdrew</t>
  </si>
  <si>
    <t>Client Required to be Displaced from Residence</t>
  </si>
  <si>
    <t>2018-09-21</t>
  </si>
  <si>
    <t>2018-11-20</t>
  </si>
  <si>
    <t>2018-09-18</t>
  </si>
  <si>
    <t>2019-01-15</t>
  </si>
  <si>
    <t>2018-07-28</t>
  </si>
  <si>
    <t>2019-06-12</t>
  </si>
  <si>
    <t>2018-08-30</t>
  </si>
  <si>
    <t>2018-08-15</t>
  </si>
  <si>
    <t>2018-11-02</t>
  </si>
  <si>
    <t>2018-10-29</t>
  </si>
  <si>
    <t>2018-10-10</t>
  </si>
  <si>
    <t>12/24/2018</t>
  </si>
  <si>
    <t>07/05/2019</t>
  </si>
  <si>
    <t>07/30/2018</t>
  </si>
  <si>
    <t>05/08/2019</t>
  </si>
  <si>
    <t>05/06/2019</t>
  </si>
  <si>
    <t>10/05/2018</t>
  </si>
  <si>
    <t>Castillo, Evette</t>
  </si>
  <si>
    <t>St. Marie, Monique</t>
  </si>
  <si>
    <t>Carter, Corinthia</t>
  </si>
  <si>
    <t>Bohnett, Elizabeth</t>
  </si>
  <si>
    <t>Schwartz, Ester</t>
  </si>
  <si>
    <t>Villalobos, Tanya</t>
  </si>
  <si>
    <t>Weisberg, Michael</t>
  </si>
  <si>
    <t>Baltimore, Beth</t>
  </si>
  <si>
    <t>Stadler, Danielle</t>
  </si>
  <si>
    <t>Sanabria, Myrna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</si>
</sst>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82"/>
  <sheetViews>
    <sheetView tabSelected="1" workbookViewId="0"/>
  </sheetViews>
  <sheetFormatPr defaultRowHeight="15"/>
  <cols>
    <col min="1" max="1" width="20.7109375" style="1" customWidth="1"/>
  </cols>
  <sheetData>
    <row r="1" spans="1:4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spans="1:49">
      <c r="A2" s="1">
        <f>HYPERLINK("https://lsnyc.legalserver.org/matter/dynamic-profile/view/1903287","19-1903287")</f>
        <v>0</v>
      </c>
      <c r="B2" t="s">
        <v>49</v>
      </c>
      <c r="C2" t="s">
        <v>54</v>
      </c>
      <c r="D2" t="s">
        <v>56</v>
      </c>
      <c r="E2" t="s">
        <v>122</v>
      </c>
      <c r="F2" t="s">
        <v>145</v>
      </c>
      <c r="G2" t="s">
        <v>221</v>
      </c>
      <c r="H2" t="s">
        <v>296</v>
      </c>
      <c r="I2">
        <v>2</v>
      </c>
      <c r="J2">
        <v>11215</v>
      </c>
      <c r="K2" t="s">
        <v>422</v>
      </c>
      <c r="L2" t="s">
        <v>422</v>
      </c>
      <c r="O2" t="s">
        <v>441</v>
      </c>
      <c r="P2" t="s">
        <v>447</v>
      </c>
      <c r="Q2" t="s">
        <v>450</v>
      </c>
      <c r="R2" t="s">
        <v>423</v>
      </c>
      <c r="T2" t="s">
        <v>453</v>
      </c>
      <c r="W2">
        <v>0</v>
      </c>
      <c r="X2" t="s">
        <v>458</v>
      </c>
      <c r="Z2" t="s">
        <v>470</v>
      </c>
      <c r="AA2" t="s">
        <v>477</v>
      </c>
      <c r="AD2">
        <v>0</v>
      </c>
      <c r="AG2">
        <v>0</v>
      </c>
      <c r="AH2">
        <v>1</v>
      </c>
      <c r="AI2">
        <v>0</v>
      </c>
      <c r="AJ2">
        <v>400.32</v>
      </c>
      <c r="AM2" t="s">
        <v>629</v>
      </c>
      <c r="AN2">
        <v>50000</v>
      </c>
      <c r="AT2">
        <v>0.2</v>
      </c>
      <c r="AU2" t="s">
        <v>122</v>
      </c>
      <c r="AV2" t="s">
        <v>660</v>
      </c>
      <c r="AW2" t="s">
        <v>671</v>
      </c>
    </row>
    <row r="3" spans="1:49">
      <c r="A3" s="1">
        <f>HYPERLINK("https://lsnyc.legalserver.org/matter/dynamic-profile/view/1882051","18-1882051")</f>
        <v>0</v>
      </c>
      <c r="B3" t="s">
        <v>50</v>
      </c>
      <c r="C3" t="s">
        <v>54</v>
      </c>
      <c r="D3" t="s">
        <v>57</v>
      </c>
      <c r="E3" t="s">
        <v>123</v>
      </c>
      <c r="F3" t="s">
        <v>146</v>
      </c>
      <c r="G3" t="s">
        <v>222</v>
      </c>
      <c r="H3" t="s">
        <v>297</v>
      </c>
      <c r="I3" t="s">
        <v>371</v>
      </c>
      <c r="J3">
        <v>11237</v>
      </c>
      <c r="K3" t="s">
        <v>422</v>
      </c>
      <c r="L3" t="s">
        <v>422</v>
      </c>
      <c r="P3" t="s">
        <v>447</v>
      </c>
      <c r="Q3" t="s">
        <v>450</v>
      </c>
      <c r="T3" t="s">
        <v>453</v>
      </c>
      <c r="W3">
        <v>0</v>
      </c>
      <c r="X3" t="s">
        <v>458</v>
      </c>
      <c r="Z3" t="s">
        <v>470</v>
      </c>
      <c r="AA3" t="s">
        <v>478</v>
      </c>
      <c r="AC3" t="s">
        <v>559</v>
      </c>
      <c r="AD3">
        <v>0</v>
      </c>
      <c r="AG3">
        <v>0</v>
      </c>
      <c r="AH3">
        <v>3</v>
      </c>
      <c r="AI3">
        <v>0</v>
      </c>
      <c r="AJ3">
        <v>0</v>
      </c>
      <c r="AM3" t="s">
        <v>629</v>
      </c>
      <c r="AN3">
        <v>0</v>
      </c>
      <c r="AT3">
        <v>0.3</v>
      </c>
      <c r="AU3" t="s">
        <v>123</v>
      </c>
      <c r="AV3" t="s">
        <v>50</v>
      </c>
    </row>
    <row r="4" spans="1:49">
      <c r="A4" s="1">
        <f>HYPERLINK("https://lsnyc.legalserver.org/matter/dynamic-profile/view/1900869","19-1900869")</f>
        <v>0</v>
      </c>
      <c r="B4" t="s">
        <v>50</v>
      </c>
      <c r="C4" t="s">
        <v>55</v>
      </c>
      <c r="D4" t="s">
        <v>58</v>
      </c>
      <c r="F4" t="s">
        <v>147</v>
      </c>
      <c r="G4" t="s">
        <v>223</v>
      </c>
      <c r="H4" t="s">
        <v>298</v>
      </c>
      <c r="I4" t="s">
        <v>372</v>
      </c>
      <c r="J4">
        <v>11237</v>
      </c>
      <c r="K4" t="s">
        <v>422</v>
      </c>
      <c r="L4" t="s">
        <v>422</v>
      </c>
      <c r="Q4" t="s">
        <v>450</v>
      </c>
      <c r="T4" t="s">
        <v>453</v>
      </c>
      <c r="W4">
        <v>0</v>
      </c>
      <c r="X4" t="s">
        <v>458</v>
      </c>
      <c r="AA4" t="s">
        <v>479</v>
      </c>
      <c r="AC4" t="s">
        <v>560</v>
      </c>
      <c r="AD4">
        <v>0</v>
      </c>
      <c r="AG4">
        <v>0</v>
      </c>
      <c r="AH4">
        <v>1</v>
      </c>
      <c r="AI4">
        <v>0</v>
      </c>
      <c r="AJ4">
        <v>0</v>
      </c>
      <c r="AM4" t="s">
        <v>629</v>
      </c>
      <c r="AN4">
        <v>0</v>
      </c>
      <c r="AT4">
        <v>0.7</v>
      </c>
      <c r="AU4" t="s">
        <v>104</v>
      </c>
      <c r="AV4" t="s">
        <v>50</v>
      </c>
    </row>
    <row r="5" spans="1:49">
      <c r="A5" s="1">
        <f>HYPERLINK("https://lsnyc.legalserver.org/matter/dynamic-profile/view/1853495","17-1853495")</f>
        <v>0</v>
      </c>
      <c r="B5" t="s">
        <v>50</v>
      </c>
      <c r="C5" t="s">
        <v>54</v>
      </c>
      <c r="D5" t="s">
        <v>59</v>
      </c>
      <c r="E5" t="s">
        <v>69</v>
      </c>
      <c r="F5" t="s">
        <v>148</v>
      </c>
      <c r="G5" t="s">
        <v>224</v>
      </c>
      <c r="H5" t="s">
        <v>299</v>
      </c>
      <c r="J5">
        <v>11233</v>
      </c>
      <c r="K5" t="s">
        <v>423</v>
      </c>
      <c r="L5" t="s">
        <v>422</v>
      </c>
      <c r="P5" t="s">
        <v>448</v>
      </c>
      <c r="Q5" t="s">
        <v>450</v>
      </c>
      <c r="T5" t="s">
        <v>454</v>
      </c>
      <c r="W5">
        <v>0</v>
      </c>
      <c r="X5" t="s">
        <v>458</v>
      </c>
      <c r="Z5" t="s">
        <v>471</v>
      </c>
      <c r="AA5" t="s">
        <v>480</v>
      </c>
      <c r="AD5">
        <v>0</v>
      </c>
      <c r="AG5">
        <v>0</v>
      </c>
      <c r="AH5">
        <v>2</v>
      </c>
      <c r="AI5">
        <v>0</v>
      </c>
      <c r="AJ5">
        <v>0</v>
      </c>
      <c r="AM5" t="s">
        <v>629</v>
      </c>
      <c r="AN5">
        <v>0</v>
      </c>
      <c r="AT5">
        <v>37.9</v>
      </c>
      <c r="AU5" t="s">
        <v>120</v>
      </c>
      <c r="AV5" t="s">
        <v>50</v>
      </c>
    </row>
    <row r="6" spans="1:49">
      <c r="A6" s="1">
        <f>HYPERLINK("https://lsnyc.legalserver.org/matter/dynamic-profile/view/1859048","18-1859048")</f>
        <v>0</v>
      </c>
      <c r="B6" t="s">
        <v>50</v>
      </c>
      <c r="C6" t="s">
        <v>54</v>
      </c>
      <c r="D6" t="s">
        <v>60</v>
      </c>
      <c r="E6" t="s">
        <v>124</v>
      </c>
      <c r="F6" t="s">
        <v>149</v>
      </c>
      <c r="G6" t="s">
        <v>225</v>
      </c>
      <c r="H6" t="s">
        <v>300</v>
      </c>
      <c r="I6" t="s">
        <v>373</v>
      </c>
      <c r="J6">
        <v>11233</v>
      </c>
      <c r="K6" t="s">
        <v>423</v>
      </c>
      <c r="L6" t="s">
        <v>422</v>
      </c>
      <c r="P6" t="s">
        <v>448</v>
      </c>
      <c r="Q6" t="s">
        <v>450</v>
      </c>
      <c r="T6" t="s">
        <v>454</v>
      </c>
      <c r="W6">
        <v>0</v>
      </c>
      <c r="X6" t="s">
        <v>458</v>
      </c>
      <c r="Z6" t="s">
        <v>471</v>
      </c>
      <c r="AA6" t="s">
        <v>481</v>
      </c>
      <c r="AC6" t="s">
        <v>561</v>
      </c>
      <c r="AD6">
        <v>0</v>
      </c>
      <c r="AG6">
        <v>0</v>
      </c>
      <c r="AH6">
        <v>2</v>
      </c>
      <c r="AI6">
        <v>0</v>
      </c>
      <c r="AJ6">
        <v>0</v>
      </c>
      <c r="AM6" t="s">
        <v>629</v>
      </c>
      <c r="AN6">
        <v>0</v>
      </c>
      <c r="AT6">
        <v>26.4</v>
      </c>
      <c r="AU6" t="s">
        <v>124</v>
      </c>
      <c r="AV6" t="s">
        <v>50</v>
      </c>
    </row>
    <row r="7" spans="1:49">
      <c r="A7" s="1">
        <f>HYPERLINK("https://lsnyc.legalserver.org/matter/dynamic-profile/view/1876696","18-1876696")</f>
        <v>0</v>
      </c>
      <c r="B7" t="s">
        <v>50</v>
      </c>
      <c r="C7" t="s">
        <v>54</v>
      </c>
      <c r="D7" t="s">
        <v>61</v>
      </c>
      <c r="E7" t="s">
        <v>125</v>
      </c>
      <c r="F7" t="s">
        <v>150</v>
      </c>
      <c r="G7" t="s">
        <v>226</v>
      </c>
      <c r="H7" t="s">
        <v>301</v>
      </c>
      <c r="I7" t="s">
        <v>374</v>
      </c>
      <c r="J7">
        <v>11231</v>
      </c>
      <c r="K7" t="s">
        <v>422</v>
      </c>
      <c r="L7" t="s">
        <v>422</v>
      </c>
      <c r="P7" t="s">
        <v>448</v>
      </c>
      <c r="Q7" t="s">
        <v>450</v>
      </c>
      <c r="T7" t="s">
        <v>454</v>
      </c>
      <c r="W7">
        <v>0</v>
      </c>
      <c r="X7" t="s">
        <v>458</v>
      </c>
      <c r="Z7" t="s">
        <v>471</v>
      </c>
      <c r="AA7" t="s">
        <v>482</v>
      </c>
      <c r="AB7" t="s">
        <v>556</v>
      </c>
      <c r="AC7" t="s">
        <v>562</v>
      </c>
      <c r="AD7">
        <v>0</v>
      </c>
      <c r="AG7">
        <v>0</v>
      </c>
      <c r="AH7">
        <v>4</v>
      </c>
      <c r="AI7">
        <v>1</v>
      </c>
      <c r="AJ7">
        <v>0</v>
      </c>
      <c r="AM7" t="s">
        <v>629</v>
      </c>
      <c r="AN7">
        <v>0</v>
      </c>
      <c r="AT7">
        <v>60.44</v>
      </c>
      <c r="AU7" t="s">
        <v>641</v>
      </c>
      <c r="AV7" t="s">
        <v>50</v>
      </c>
    </row>
    <row r="8" spans="1:49">
      <c r="A8" s="1">
        <f>HYPERLINK("https://lsnyc.legalserver.org/matter/dynamic-profile/view/1887248","19-1887248")</f>
        <v>0</v>
      </c>
      <c r="B8" t="s">
        <v>50</v>
      </c>
      <c r="C8" t="s">
        <v>55</v>
      </c>
      <c r="D8" t="s">
        <v>62</v>
      </c>
      <c r="F8" t="s">
        <v>151</v>
      </c>
      <c r="G8" t="s">
        <v>227</v>
      </c>
      <c r="H8" t="s">
        <v>302</v>
      </c>
      <c r="I8" t="s">
        <v>375</v>
      </c>
      <c r="J8">
        <v>11231</v>
      </c>
      <c r="K8" t="s">
        <v>422</v>
      </c>
      <c r="L8" t="s">
        <v>422</v>
      </c>
      <c r="Q8" t="s">
        <v>450</v>
      </c>
      <c r="T8" t="s">
        <v>454</v>
      </c>
      <c r="W8">
        <v>0</v>
      </c>
      <c r="X8" t="s">
        <v>458</v>
      </c>
      <c r="AA8" t="s">
        <v>483</v>
      </c>
      <c r="AC8" t="s">
        <v>563</v>
      </c>
      <c r="AD8">
        <v>0</v>
      </c>
      <c r="AG8">
        <v>0</v>
      </c>
      <c r="AH8">
        <v>2</v>
      </c>
      <c r="AI8">
        <v>2</v>
      </c>
      <c r="AJ8">
        <v>0</v>
      </c>
      <c r="AM8" t="s">
        <v>629</v>
      </c>
      <c r="AN8">
        <v>0</v>
      </c>
      <c r="AT8">
        <v>7.3</v>
      </c>
      <c r="AU8" t="s">
        <v>642</v>
      </c>
      <c r="AV8" t="s">
        <v>50</v>
      </c>
    </row>
    <row r="9" spans="1:49">
      <c r="A9" s="1">
        <f>HYPERLINK("https://lsnyc.legalserver.org/matter/dynamic-profile/view/1869880","18-1869880")</f>
        <v>0</v>
      </c>
      <c r="B9" t="s">
        <v>50</v>
      </c>
      <c r="C9" t="s">
        <v>54</v>
      </c>
      <c r="D9" t="s">
        <v>63</v>
      </c>
      <c r="E9" t="s">
        <v>126</v>
      </c>
      <c r="F9" t="s">
        <v>152</v>
      </c>
      <c r="G9" t="s">
        <v>228</v>
      </c>
      <c r="H9" t="s">
        <v>303</v>
      </c>
      <c r="I9" t="s">
        <v>376</v>
      </c>
      <c r="J9">
        <v>11230</v>
      </c>
      <c r="K9" t="s">
        <v>422</v>
      </c>
      <c r="L9" t="s">
        <v>422</v>
      </c>
      <c r="P9" t="s">
        <v>448</v>
      </c>
      <c r="Q9" t="s">
        <v>450</v>
      </c>
      <c r="T9" t="s">
        <v>454</v>
      </c>
      <c r="W9">
        <v>0</v>
      </c>
      <c r="X9" t="s">
        <v>458</v>
      </c>
      <c r="Z9" t="s">
        <v>471</v>
      </c>
      <c r="AA9" t="s">
        <v>484</v>
      </c>
      <c r="AC9" t="s">
        <v>564</v>
      </c>
      <c r="AD9">
        <v>0</v>
      </c>
      <c r="AG9">
        <v>0</v>
      </c>
      <c r="AH9">
        <v>2</v>
      </c>
      <c r="AI9">
        <v>2</v>
      </c>
      <c r="AJ9">
        <v>0</v>
      </c>
      <c r="AM9" t="s">
        <v>629</v>
      </c>
      <c r="AN9">
        <v>0</v>
      </c>
      <c r="AT9">
        <v>4.9</v>
      </c>
      <c r="AU9" t="s">
        <v>126</v>
      </c>
      <c r="AV9" t="s">
        <v>50</v>
      </c>
    </row>
    <row r="10" spans="1:49">
      <c r="A10" s="1">
        <f>HYPERLINK("https://lsnyc.legalserver.org/matter/dynamic-profile/view/1861292","18-1861292")</f>
        <v>0</v>
      </c>
      <c r="B10" t="s">
        <v>50</v>
      </c>
      <c r="C10" t="s">
        <v>54</v>
      </c>
      <c r="D10" t="s">
        <v>64</v>
      </c>
      <c r="E10" t="s">
        <v>124</v>
      </c>
      <c r="F10" t="s">
        <v>145</v>
      </c>
      <c r="G10" t="s">
        <v>229</v>
      </c>
      <c r="H10" t="s">
        <v>304</v>
      </c>
      <c r="I10" t="s">
        <v>377</v>
      </c>
      <c r="J10">
        <v>11229</v>
      </c>
      <c r="K10" t="s">
        <v>423</v>
      </c>
      <c r="L10" t="s">
        <v>422</v>
      </c>
      <c r="P10" t="s">
        <v>448</v>
      </c>
      <c r="Q10" t="s">
        <v>450</v>
      </c>
      <c r="T10" t="s">
        <v>454</v>
      </c>
      <c r="W10">
        <v>0</v>
      </c>
      <c r="X10" t="s">
        <v>458</v>
      </c>
      <c r="Z10" t="s">
        <v>471</v>
      </c>
      <c r="AA10" t="s">
        <v>485</v>
      </c>
      <c r="AC10" t="s">
        <v>565</v>
      </c>
      <c r="AD10">
        <v>0</v>
      </c>
      <c r="AG10">
        <v>0</v>
      </c>
      <c r="AH10">
        <v>1</v>
      </c>
      <c r="AI10">
        <v>0</v>
      </c>
      <c r="AJ10">
        <v>0</v>
      </c>
      <c r="AM10" t="s">
        <v>629</v>
      </c>
      <c r="AN10">
        <v>0</v>
      </c>
      <c r="AT10">
        <v>13.6</v>
      </c>
      <c r="AU10" t="s">
        <v>124</v>
      </c>
      <c r="AV10" t="s">
        <v>50</v>
      </c>
    </row>
    <row r="11" spans="1:49">
      <c r="A11" s="1">
        <f>HYPERLINK("https://lsnyc.legalserver.org/matter/dynamic-profile/view/1870378","18-1870378")</f>
        <v>0</v>
      </c>
      <c r="B11" t="s">
        <v>50</v>
      </c>
      <c r="C11" t="s">
        <v>54</v>
      </c>
      <c r="D11" t="s">
        <v>65</v>
      </c>
      <c r="E11" t="s">
        <v>127</v>
      </c>
      <c r="F11" t="s">
        <v>153</v>
      </c>
      <c r="G11" t="s">
        <v>230</v>
      </c>
      <c r="H11" t="s">
        <v>305</v>
      </c>
      <c r="I11" t="s">
        <v>378</v>
      </c>
      <c r="J11">
        <v>11226</v>
      </c>
      <c r="K11" t="s">
        <v>422</v>
      </c>
      <c r="L11" t="s">
        <v>422</v>
      </c>
      <c r="P11" t="s">
        <v>447</v>
      </c>
      <c r="Q11" t="s">
        <v>450</v>
      </c>
      <c r="T11" t="s">
        <v>454</v>
      </c>
      <c r="W11">
        <v>0</v>
      </c>
      <c r="X11" t="s">
        <v>458</v>
      </c>
      <c r="Z11" t="s">
        <v>472</v>
      </c>
      <c r="AA11" t="s">
        <v>486</v>
      </c>
      <c r="AC11" t="s">
        <v>566</v>
      </c>
      <c r="AD11">
        <v>0</v>
      </c>
      <c r="AG11">
        <v>0</v>
      </c>
      <c r="AH11">
        <v>2</v>
      </c>
      <c r="AI11">
        <v>2</v>
      </c>
      <c r="AJ11">
        <v>0</v>
      </c>
      <c r="AM11" t="s">
        <v>629</v>
      </c>
      <c r="AN11">
        <v>0</v>
      </c>
      <c r="AT11">
        <v>3.5</v>
      </c>
      <c r="AU11" t="s">
        <v>127</v>
      </c>
      <c r="AV11" t="s">
        <v>50</v>
      </c>
    </row>
    <row r="12" spans="1:49">
      <c r="A12" s="1">
        <f>HYPERLINK("https://lsnyc.legalserver.org/matter/dynamic-profile/view/1877507","18-1877507")</f>
        <v>0</v>
      </c>
      <c r="B12" t="s">
        <v>50</v>
      </c>
      <c r="C12" t="s">
        <v>54</v>
      </c>
      <c r="D12" t="s">
        <v>66</v>
      </c>
      <c r="E12" t="s">
        <v>128</v>
      </c>
      <c r="F12" t="s">
        <v>154</v>
      </c>
      <c r="G12" t="s">
        <v>231</v>
      </c>
      <c r="H12" t="s">
        <v>306</v>
      </c>
      <c r="I12" t="s">
        <v>379</v>
      </c>
      <c r="J12">
        <v>11226</v>
      </c>
      <c r="K12" t="s">
        <v>422</v>
      </c>
      <c r="L12" t="s">
        <v>422</v>
      </c>
      <c r="P12" t="s">
        <v>448</v>
      </c>
      <c r="Q12" t="s">
        <v>450</v>
      </c>
      <c r="T12" t="s">
        <v>454</v>
      </c>
      <c r="W12">
        <v>0</v>
      </c>
      <c r="X12" t="s">
        <v>458</v>
      </c>
      <c r="Z12" t="s">
        <v>471</v>
      </c>
      <c r="AA12" t="s">
        <v>487</v>
      </c>
      <c r="AC12" t="s">
        <v>567</v>
      </c>
      <c r="AD12">
        <v>0</v>
      </c>
      <c r="AG12">
        <v>0</v>
      </c>
      <c r="AH12">
        <v>3</v>
      </c>
      <c r="AI12">
        <v>0</v>
      </c>
      <c r="AJ12">
        <v>0</v>
      </c>
      <c r="AM12" t="s">
        <v>629</v>
      </c>
      <c r="AN12">
        <v>0</v>
      </c>
      <c r="AT12">
        <v>16.6</v>
      </c>
      <c r="AU12" t="s">
        <v>128</v>
      </c>
      <c r="AV12" t="s">
        <v>50</v>
      </c>
    </row>
    <row r="13" spans="1:49">
      <c r="A13" s="1">
        <f>HYPERLINK("https://lsnyc.legalserver.org/matter/dynamic-profile/view/1883539","18-1883539")</f>
        <v>0</v>
      </c>
      <c r="B13" t="s">
        <v>50</v>
      </c>
      <c r="C13" t="s">
        <v>55</v>
      </c>
      <c r="D13" t="s">
        <v>67</v>
      </c>
      <c r="F13" t="s">
        <v>155</v>
      </c>
      <c r="G13" t="s">
        <v>232</v>
      </c>
      <c r="H13" t="s">
        <v>307</v>
      </c>
      <c r="I13" t="s">
        <v>380</v>
      </c>
      <c r="J13">
        <v>11226</v>
      </c>
      <c r="K13" t="s">
        <v>422</v>
      </c>
      <c r="L13" t="s">
        <v>422</v>
      </c>
      <c r="Q13" t="s">
        <v>450</v>
      </c>
      <c r="T13" t="s">
        <v>453</v>
      </c>
      <c r="W13">
        <v>0</v>
      </c>
      <c r="X13" t="s">
        <v>458</v>
      </c>
      <c r="AA13" t="s">
        <v>488</v>
      </c>
      <c r="AC13" t="s">
        <v>568</v>
      </c>
      <c r="AD13">
        <v>0</v>
      </c>
      <c r="AG13">
        <v>0</v>
      </c>
      <c r="AH13">
        <v>2</v>
      </c>
      <c r="AI13">
        <v>0</v>
      </c>
      <c r="AJ13">
        <v>0</v>
      </c>
      <c r="AM13" t="s">
        <v>630</v>
      </c>
      <c r="AN13">
        <v>0</v>
      </c>
      <c r="AO13" t="s">
        <v>633</v>
      </c>
      <c r="AT13">
        <v>0.8</v>
      </c>
      <c r="AU13" t="s">
        <v>85</v>
      </c>
      <c r="AV13" t="s">
        <v>50</v>
      </c>
    </row>
    <row r="14" spans="1:49">
      <c r="A14" s="1">
        <f>HYPERLINK("https://lsnyc.legalserver.org/matter/dynamic-profile/view/1884209","18-1884209")</f>
        <v>0</v>
      </c>
      <c r="B14" t="s">
        <v>50</v>
      </c>
      <c r="C14" t="s">
        <v>55</v>
      </c>
      <c r="D14" t="s">
        <v>68</v>
      </c>
      <c r="F14" t="s">
        <v>156</v>
      </c>
      <c r="G14" t="s">
        <v>233</v>
      </c>
      <c r="H14" t="s">
        <v>307</v>
      </c>
      <c r="I14" t="s">
        <v>381</v>
      </c>
      <c r="J14">
        <v>11226</v>
      </c>
      <c r="K14" t="s">
        <v>422</v>
      </c>
      <c r="L14" t="s">
        <v>422</v>
      </c>
      <c r="Q14" t="s">
        <v>450</v>
      </c>
      <c r="T14" t="s">
        <v>453</v>
      </c>
      <c r="W14">
        <v>0</v>
      </c>
      <c r="X14" t="s">
        <v>458</v>
      </c>
      <c r="AA14" t="s">
        <v>489</v>
      </c>
      <c r="AD14">
        <v>0</v>
      </c>
      <c r="AG14">
        <v>0</v>
      </c>
      <c r="AH14">
        <v>2</v>
      </c>
      <c r="AI14">
        <v>0</v>
      </c>
      <c r="AJ14">
        <v>0</v>
      </c>
      <c r="AM14" t="s">
        <v>629</v>
      </c>
      <c r="AN14">
        <v>0</v>
      </c>
      <c r="AT14">
        <v>1.3</v>
      </c>
      <c r="AU14" t="s">
        <v>643</v>
      </c>
      <c r="AV14" t="s">
        <v>50</v>
      </c>
    </row>
    <row r="15" spans="1:49">
      <c r="A15" s="1">
        <f>HYPERLINK("https://lsnyc.legalserver.org/matter/dynamic-profile/view/1884985","18-1884985")</f>
        <v>0</v>
      </c>
      <c r="B15" t="s">
        <v>50</v>
      </c>
      <c r="C15" t="s">
        <v>55</v>
      </c>
      <c r="D15" t="s">
        <v>69</v>
      </c>
      <c r="F15" t="s">
        <v>157</v>
      </c>
      <c r="G15" t="s">
        <v>234</v>
      </c>
      <c r="H15" t="s">
        <v>308</v>
      </c>
      <c r="I15" t="s">
        <v>382</v>
      </c>
      <c r="J15">
        <v>11226</v>
      </c>
      <c r="K15" t="s">
        <v>422</v>
      </c>
      <c r="L15" t="s">
        <v>422</v>
      </c>
      <c r="O15" t="s">
        <v>442</v>
      </c>
      <c r="Q15" t="s">
        <v>450</v>
      </c>
      <c r="T15" t="s">
        <v>453</v>
      </c>
      <c r="W15">
        <v>0</v>
      </c>
      <c r="X15" t="s">
        <v>458</v>
      </c>
      <c r="AA15" t="s">
        <v>490</v>
      </c>
      <c r="AC15" t="s">
        <v>569</v>
      </c>
      <c r="AD15">
        <v>0</v>
      </c>
      <c r="AG15">
        <v>0</v>
      </c>
      <c r="AH15">
        <v>2</v>
      </c>
      <c r="AI15">
        <v>0</v>
      </c>
      <c r="AJ15">
        <v>0</v>
      </c>
      <c r="AM15" t="s">
        <v>629</v>
      </c>
      <c r="AN15">
        <v>0</v>
      </c>
      <c r="AT15">
        <v>3.8</v>
      </c>
      <c r="AU15" t="s">
        <v>644</v>
      </c>
      <c r="AV15" t="s">
        <v>50</v>
      </c>
    </row>
    <row r="16" spans="1:49">
      <c r="A16" s="1">
        <f>HYPERLINK("https://lsnyc.legalserver.org/matter/dynamic-profile/view/1887254","19-1887254")</f>
        <v>0</v>
      </c>
      <c r="B16" t="s">
        <v>50</v>
      </c>
      <c r="C16" t="s">
        <v>54</v>
      </c>
      <c r="D16" t="s">
        <v>62</v>
      </c>
      <c r="E16" t="s">
        <v>129</v>
      </c>
      <c r="F16" t="s">
        <v>158</v>
      </c>
      <c r="G16" t="s">
        <v>235</v>
      </c>
      <c r="H16" t="s">
        <v>309</v>
      </c>
      <c r="I16" t="s">
        <v>383</v>
      </c>
      <c r="J16">
        <v>11226</v>
      </c>
      <c r="K16" t="s">
        <v>422</v>
      </c>
      <c r="L16" t="s">
        <v>422</v>
      </c>
      <c r="P16" t="s">
        <v>448</v>
      </c>
      <c r="Q16" t="s">
        <v>450</v>
      </c>
      <c r="T16" t="s">
        <v>454</v>
      </c>
      <c r="W16">
        <v>0</v>
      </c>
      <c r="X16" t="s">
        <v>458</v>
      </c>
      <c r="Z16" t="s">
        <v>471</v>
      </c>
      <c r="AA16" t="s">
        <v>491</v>
      </c>
      <c r="AC16" t="s">
        <v>570</v>
      </c>
      <c r="AD16">
        <v>0</v>
      </c>
      <c r="AG16">
        <v>0</v>
      </c>
      <c r="AH16">
        <v>1</v>
      </c>
      <c r="AI16">
        <v>2</v>
      </c>
      <c r="AJ16">
        <v>0</v>
      </c>
      <c r="AM16" t="s">
        <v>629</v>
      </c>
      <c r="AN16">
        <v>0</v>
      </c>
      <c r="AT16">
        <v>13.8</v>
      </c>
      <c r="AU16" t="s">
        <v>129</v>
      </c>
      <c r="AV16" t="s">
        <v>50</v>
      </c>
    </row>
    <row r="17" spans="1:48">
      <c r="A17" s="1">
        <f>HYPERLINK("https://lsnyc.legalserver.org/matter/dynamic-profile/view/1883492","18-1883492")</f>
        <v>0</v>
      </c>
      <c r="B17" t="s">
        <v>50</v>
      </c>
      <c r="C17" t="s">
        <v>54</v>
      </c>
      <c r="D17" t="s">
        <v>67</v>
      </c>
      <c r="E17" t="s">
        <v>126</v>
      </c>
      <c r="F17" t="s">
        <v>159</v>
      </c>
      <c r="G17" t="s">
        <v>236</v>
      </c>
      <c r="H17" t="s">
        <v>310</v>
      </c>
      <c r="I17" t="s">
        <v>384</v>
      </c>
      <c r="J17">
        <v>11225</v>
      </c>
      <c r="K17" t="s">
        <v>422</v>
      </c>
      <c r="L17" t="s">
        <v>422</v>
      </c>
      <c r="P17" t="s">
        <v>447</v>
      </c>
      <c r="Q17" t="s">
        <v>450</v>
      </c>
      <c r="T17" t="s">
        <v>453</v>
      </c>
      <c r="W17">
        <v>0</v>
      </c>
      <c r="X17" t="s">
        <v>458</v>
      </c>
      <c r="Z17" t="s">
        <v>470</v>
      </c>
      <c r="AA17" t="s">
        <v>492</v>
      </c>
      <c r="AC17" t="s">
        <v>571</v>
      </c>
      <c r="AD17">
        <v>0</v>
      </c>
      <c r="AG17">
        <v>0</v>
      </c>
      <c r="AH17">
        <v>1</v>
      </c>
      <c r="AI17">
        <v>0</v>
      </c>
      <c r="AJ17">
        <v>0</v>
      </c>
      <c r="AM17" t="s">
        <v>629</v>
      </c>
      <c r="AN17">
        <v>0</v>
      </c>
      <c r="AT17">
        <v>1.1</v>
      </c>
      <c r="AU17" t="s">
        <v>645</v>
      </c>
      <c r="AV17" t="s">
        <v>50</v>
      </c>
    </row>
    <row r="18" spans="1:48">
      <c r="A18" s="1">
        <f>HYPERLINK("https://lsnyc.legalserver.org/matter/dynamic-profile/view/1866699","18-1866699")</f>
        <v>0</v>
      </c>
      <c r="B18" t="s">
        <v>50</v>
      </c>
      <c r="C18" t="s">
        <v>54</v>
      </c>
      <c r="D18" t="s">
        <v>70</v>
      </c>
      <c r="E18" t="s">
        <v>69</v>
      </c>
      <c r="F18" t="s">
        <v>160</v>
      </c>
      <c r="G18" t="s">
        <v>237</v>
      </c>
      <c r="H18" t="s">
        <v>311</v>
      </c>
      <c r="I18" t="s">
        <v>385</v>
      </c>
      <c r="J18">
        <v>11220</v>
      </c>
      <c r="K18" t="s">
        <v>422</v>
      </c>
      <c r="L18" t="s">
        <v>422</v>
      </c>
      <c r="P18" t="s">
        <v>448</v>
      </c>
      <c r="Q18" t="s">
        <v>450</v>
      </c>
      <c r="T18" t="s">
        <v>454</v>
      </c>
      <c r="W18">
        <v>0</v>
      </c>
      <c r="X18" t="s">
        <v>458</v>
      </c>
      <c r="Z18" t="s">
        <v>471</v>
      </c>
      <c r="AA18" t="s">
        <v>493</v>
      </c>
      <c r="AC18" t="s">
        <v>572</v>
      </c>
      <c r="AD18">
        <v>0</v>
      </c>
      <c r="AG18">
        <v>0</v>
      </c>
      <c r="AH18">
        <v>2</v>
      </c>
      <c r="AI18">
        <v>1</v>
      </c>
      <c r="AJ18">
        <v>0</v>
      </c>
      <c r="AM18" t="s">
        <v>629</v>
      </c>
      <c r="AN18">
        <v>0</v>
      </c>
      <c r="AT18">
        <v>11.5</v>
      </c>
      <c r="AU18" t="s">
        <v>69</v>
      </c>
      <c r="AV18" t="s">
        <v>50</v>
      </c>
    </row>
    <row r="19" spans="1:48">
      <c r="A19" s="1">
        <f>HYPERLINK("https://lsnyc.legalserver.org/matter/dynamic-profile/view/1870105","18-1870105")</f>
        <v>0</v>
      </c>
      <c r="B19" t="s">
        <v>50</v>
      </c>
      <c r="C19" t="s">
        <v>54</v>
      </c>
      <c r="D19" t="s">
        <v>71</v>
      </c>
      <c r="E19" t="s">
        <v>130</v>
      </c>
      <c r="F19" t="s">
        <v>161</v>
      </c>
      <c r="G19" t="s">
        <v>238</v>
      </c>
      <c r="H19" t="s">
        <v>312</v>
      </c>
      <c r="I19" t="s">
        <v>386</v>
      </c>
      <c r="J19">
        <v>11219</v>
      </c>
      <c r="K19" t="s">
        <v>422</v>
      </c>
      <c r="L19" t="s">
        <v>422</v>
      </c>
      <c r="P19" t="s">
        <v>448</v>
      </c>
      <c r="Q19" t="s">
        <v>450</v>
      </c>
      <c r="T19" t="s">
        <v>454</v>
      </c>
      <c r="W19">
        <v>0</v>
      </c>
      <c r="X19" t="s">
        <v>458</v>
      </c>
      <c r="Z19" t="s">
        <v>471</v>
      </c>
      <c r="AA19" t="s">
        <v>494</v>
      </c>
      <c r="AC19" t="s">
        <v>573</v>
      </c>
      <c r="AD19">
        <v>0</v>
      </c>
      <c r="AG19">
        <v>0</v>
      </c>
      <c r="AH19">
        <v>1</v>
      </c>
      <c r="AI19">
        <v>3</v>
      </c>
      <c r="AJ19">
        <v>0</v>
      </c>
      <c r="AM19" t="s">
        <v>629</v>
      </c>
      <c r="AN19">
        <v>0</v>
      </c>
      <c r="AT19">
        <v>7.4</v>
      </c>
      <c r="AU19" t="s">
        <v>130</v>
      </c>
      <c r="AV19" t="s">
        <v>50</v>
      </c>
    </row>
    <row r="20" spans="1:48">
      <c r="A20" s="1">
        <f>HYPERLINK("https://lsnyc.legalserver.org/matter/dynamic-profile/view/1885097","18-1885097")</f>
        <v>0</v>
      </c>
      <c r="B20" t="s">
        <v>50</v>
      </c>
      <c r="C20" t="s">
        <v>55</v>
      </c>
      <c r="D20" t="s">
        <v>72</v>
      </c>
      <c r="F20" t="s">
        <v>162</v>
      </c>
      <c r="G20" t="s">
        <v>239</v>
      </c>
      <c r="H20" t="s">
        <v>313</v>
      </c>
      <c r="J20">
        <v>11217</v>
      </c>
      <c r="K20" t="s">
        <v>422</v>
      </c>
      <c r="L20" t="s">
        <v>422</v>
      </c>
      <c r="Q20" t="s">
        <v>450</v>
      </c>
      <c r="T20" t="s">
        <v>454</v>
      </c>
      <c r="W20">
        <v>0</v>
      </c>
      <c r="X20" t="s">
        <v>458</v>
      </c>
      <c r="AA20" t="s">
        <v>495</v>
      </c>
      <c r="AD20">
        <v>0</v>
      </c>
      <c r="AG20">
        <v>0</v>
      </c>
      <c r="AH20">
        <v>2</v>
      </c>
      <c r="AI20">
        <v>1</v>
      </c>
      <c r="AJ20">
        <v>0</v>
      </c>
      <c r="AM20" t="s">
        <v>629</v>
      </c>
      <c r="AN20">
        <v>0</v>
      </c>
      <c r="AT20">
        <v>1.1</v>
      </c>
      <c r="AU20" t="s">
        <v>72</v>
      </c>
      <c r="AV20" t="s">
        <v>50</v>
      </c>
    </row>
    <row r="21" spans="1:48">
      <c r="A21" s="1">
        <f>HYPERLINK("https://lsnyc.legalserver.org/matter/dynamic-profile/view/1866477","18-1866477")</f>
        <v>0</v>
      </c>
      <c r="B21" t="s">
        <v>50</v>
      </c>
      <c r="C21" t="s">
        <v>54</v>
      </c>
      <c r="D21" t="s">
        <v>73</v>
      </c>
      <c r="E21" t="s">
        <v>131</v>
      </c>
      <c r="F21" t="s">
        <v>163</v>
      </c>
      <c r="G21" t="s">
        <v>240</v>
      </c>
      <c r="H21" t="s">
        <v>314</v>
      </c>
      <c r="I21">
        <v>10</v>
      </c>
      <c r="J21">
        <v>11215</v>
      </c>
      <c r="K21" t="s">
        <v>422</v>
      </c>
      <c r="L21" t="s">
        <v>422</v>
      </c>
      <c r="P21" t="s">
        <v>448</v>
      </c>
      <c r="Q21" t="s">
        <v>450</v>
      </c>
      <c r="T21" t="s">
        <v>454</v>
      </c>
      <c r="W21">
        <v>0</v>
      </c>
      <c r="X21" t="s">
        <v>458</v>
      </c>
      <c r="Z21" t="s">
        <v>471</v>
      </c>
      <c r="AA21" t="s">
        <v>496</v>
      </c>
      <c r="AC21" t="s">
        <v>574</v>
      </c>
      <c r="AD21">
        <v>0</v>
      </c>
      <c r="AG21">
        <v>0</v>
      </c>
      <c r="AH21">
        <v>2</v>
      </c>
      <c r="AI21">
        <v>0</v>
      </c>
      <c r="AJ21">
        <v>0</v>
      </c>
      <c r="AM21" t="s">
        <v>629</v>
      </c>
      <c r="AN21">
        <v>0</v>
      </c>
      <c r="AT21">
        <v>27.5</v>
      </c>
      <c r="AU21" t="s">
        <v>131</v>
      </c>
      <c r="AV21" t="s">
        <v>50</v>
      </c>
    </row>
    <row r="22" spans="1:48">
      <c r="A22" s="1">
        <f>HYPERLINK("https://lsnyc.legalserver.org/matter/dynamic-profile/view/1868237","18-1868237")</f>
        <v>0</v>
      </c>
      <c r="B22" t="s">
        <v>50</v>
      </c>
      <c r="C22" t="s">
        <v>55</v>
      </c>
      <c r="D22" t="s">
        <v>74</v>
      </c>
      <c r="F22" t="s">
        <v>164</v>
      </c>
      <c r="G22" t="s">
        <v>241</v>
      </c>
      <c r="H22" t="s">
        <v>315</v>
      </c>
      <c r="I22">
        <v>14</v>
      </c>
      <c r="J22">
        <v>11215</v>
      </c>
      <c r="K22" t="s">
        <v>422</v>
      </c>
      <c r="L22" t="s">
        <v>422</v>
      </c>
      <c r="Q22" t="s">
        <v>450</v>
      </c>
      <c r="T22" t="s">
        <v>454</v>
      </c>
      <c r="W22">
        <v>0</v>
      </c>
      <c r="X22" t="s">
        <v>458</v>
      </c>
      <c r="AA22" t="s">
        <v>497</v>
      </c>
      <c r="AC22" t="s">
        <v>575</v>
      </c>
      <c r="AD22">
        <v>0</v>
      </c>
      <c r="AG22">
        <v>0</v>
      </c>
      <c r="AH22">
        <v>3</v>
      </c>
      <c r="AI22">
        <v>0</v>
      </c>
      <c r="AJ22">
        <v>0</v>
      </c>
      <c r="AM22" t="s">
        <v>629</v>
      </c>
      <c r="AN22">
        <v>0</v>
      </c>
      <c r="AT22">
        <v>6.9</v>
      </c>
      <c r="AU22" t="s">
        <v>646</v>
      </c>
      <c r="AV22" t="s">
        <v>50</v>
      </c>
    </row>
    <row r="23" spans="1:48">
      <c r="A23" s="1">
        <f>HYPERLINK("https://lsnyc.legalserver.org/matter/dynamic-profile/view/1869355","18-1869355")</f>
        <v>0</v>
      </c>
      <c r="B23" t="s">
        <v>50</v>
      </c>
      <c r="C23" t="s">
        <v>54</v>
      </c>
      <c r="D23" t="s">
        <v>75</v>
      </c>
      <c r="E23" t="s">
        <v>126</v>
      </c>
      <c r="F23" t="s">
        <v>165</v>
      </c>
      <c r="G23" t="s">
        <v>242</v>
      </c>
      <c r="H23" t="s">
        <v>316</v>
      </c>
      <c r="I23" t="s">
        <v>387</v>
      </c>
      <c r="J23">
        <v>11215</v>
      </c>
      <c r="K23" t="s">
        <v>422</v>
      </c>
      <c r="L23" t="s">
        <v>422</v>
      </c>
      <c r="P23" t="s">
        <v>447</v>
      </c>
      <c r="Q23" t="s">
        <v>450</v>
      </c>
      <c r="T23" t="s">
        <v>454</v>
      </c>
      <c r="W23">
        <v>0</v>
      </c>
      <c r="X23" t="s">
        <v>458</v>
      </c>
      <c r="Z23" t="s">
        <v>472</v>
      </c>
      <c r="AA23" t="s">
        <v>498</v>
      </c>
      <c r="AD23">
        <v>0</v>
      </c>
      <c r="AG23">
        <v>0</v>
      </c>
      <c r="AH23">
        <v>1</v>
      </c>
      <c r="AI23">
        <v>0</v>
      </c>
      <c r="AJ23">
        <v>0</v>
      </c>
      <c r="AM23" t="s">
        <v>629</v>
      </c>
      <c r="AN23">
        <v>0</v>
      </c>
      <c r="AT23">
        <v>8.5</v>
      </c>
      <c r="AU23" t="s">
        <v>126</v>
      </c>
      <c r="AV23" t="s">
        <v>50</v>
      </c>
    </row>
    <row r="24" spans="1:48">
      <c r="A24" s="1">
        <f>HYPERLINK("https://lsnyc.legalserver.org/matter/dynamic-profile/view/1890723","19-1890723")</f>
        <v>0</v>
      </c>
      <c r="B24" t="s">
        <v>50</v>
      </c>
      <c r="C24" t="s">
        <v>55</v>
      </c>
      <c r="D24" t="s">
        <v>76</v>
      </c>
      <c r="F24" t="s">
        <v>166</v>
      </c>
      <c r="G24" t="s">
        <v>243</v>
      </c>
      <c r="H24" t="s">
        <v>317</v>
      </c>
      <c r="J24">
        <v>11215</v>
      </c>
      <c r="K24" t="s">
        <v>422</v>
      </c>
      <c r="L24" t="s">
        <v>422</v>
      </c>
      <c r="Q24" t="s">
        <v>450</v>
      </c>
      <c r="T24" t="s">
        <v>454</v>
      </c>
      <c r="W24">
        <v>0</v>
      </c>
      <c r="X24" t="s">
        <v>458</v>
      </c>
      <c r="AA24" t="s">
        <v>499</v>
      </c>
      <c r="AC24" t="s">
        <v>576</v>
      </c>
      <c r="AD24">
        <v>0</v>
      </c>
      <c r="AG24">
        <v>0</v>
      </c>
      <c r="AH24">
        <v>1</v>
      </c>
      <c r="AI24">
        <v>0</v>
      </c>
      <c r="AJ24">
        <v>0</v>
      </c>
      <c r="AM24" t="s">
        <v>629</v>
      </c>
      <c r="AN24">
        <v>0</v>
      </c>
      <c r="AT24">
        <v>11</v>
      </c>
      <c r="AU24" t="s">
        <v>104</v>
      </c>
      <c r="AV24" t="s">
        <v>50</v>
      </c>
    </row>
    <row r="25" spans="1:48">
      <c r="A25" s="1">
        <f>HYPERLINK("https://lsnyc.legalserver.org/matter/dynamic-profile/view/1877980","18-1877980")</f>
        <v>0</v>
      </c>
      <c r="B25" t="s">
        <v>50</v>
      </c>
      <c r="C25" t="s">
        <v>54</v>
      </c>
      <c r="D25" t="s">
        <v>77</v>
      </c>
      <c r="E25" t="s">
        <v>132</v>
      </c>
      <c r="F25" t="s">
        <v>167</v>
      </c>
      <c r="G25" t="s">
        <v>244</v>
      </c>
      <c r="H25" t="s">
        <v>318</v>
      </c>
      <c r="I25" t="s">
        <v>388</v>
      </c>
      <c r="J25">
        <v>11212</v>
      </c>
      <c r="K25" t="s">
        <v>422</v>
      </c>
      <c r="L25" t="s">
        <v>422</v>
      </c>
      <c r="P25" t="s">
        <v>447</v>
      </c>
      <c r="Q25" t="s">
        <v>450</v>
      </c>
      <c r="T25" t="s">
        <v>453</v>
      </c>
      <c r="W25">
        <v>0</v>
      </c>
      <c r="X25" t="s">
        <v>458</v>
      </c>
      <c r="Z25" t="s">
        <v>470</v>
      </c>
      <c r="AA25" t="s">
        <v>500</v>
      </c>
      <c r="AD25">
        <v>0</v>
      </c>
      <c r="AG25">
        <v>0</v>
      </c>
      <c r="AH25">
        <v>1</v>
      </c>
      <c r="AI25">
        <v>0</v>
      </c>
      <c r="AJ25">
        <v>0</v>
      </c>
      <c r="AM25" t="s">
        <v>629</v>
      </c>
      <c r="AN25">
        <v>0</v>
      </c>
      <c r="AT25">
        <v>0.8</v>
      </c>
      <c r="AU25" t="s">
        <v>132</v>
      </c>
      <c r="AV25" t="s">
        <v>50</v>
      </c>
    </row>
    <row r="26" spans="1:48">
      <c r="A26" s="1">
        <f>HYPERLINK("https://lsnyc.legalserver.org/matter/dynamic-profile/view/1881743","18-1881743")</f>
        <v>0</v>
      </c>
      <c r="B26" t="s">
        <v>50</v>
      </c>
      <c r="C26" t="s">
        <v>54</v>
      </c>
      <c r="D26" t="s">
        <v>78</v>
      </c>
      <c r="E26" t="s">
        <v>124</v>
      </c>
      <c r="F26" t="s">
        <v>168</v>
      </c>
      <c r="G26" t="s">
        <v>245</v>
      </c>
      <c r="H26" t="s">
        <v>319</v>
      </c>
      <c r="I26" t="s">
        <v>389</v>
      </c>
      <c r="J26">
        <v>11209</v>
      </c>
      <c r="K26" t="s">
        <v>422</v>
      </c>
      <c r="L26" t="s">
        <v>422</v>
      </c>
      <c r="P26" t="s">
        <v>448</v>
      </c>
      <c r="Q26" t="s">
        <v>450</v>
      </c>
      <c r="T26" t="s">
        <v>454</v>
      </c>
      <c r="W26">
        <v>0</v>
      </c>
      <c r="X26" t="s">
        <v>458</v>
      </c>
      <c r="Z26" t="s">
        <v>471</v>
      </c>
      <c r="AA26" t="s">
        <v>501</v>
      </c>
      <c r="AC26" t="s">
        <v>577</v>
      </c>
      <c r="AD26">
        <v>0</v>
      </c>
      <c r="AG26">
        <v>0</v>
      </c>
      <c r="AH26">
        <v>1</v>
      </c>
      <c r="AI26">
        <v>1</v>
      </c>
      <c r="AJ26">
        <v>0</v>
      </c>
      <c r="AM26" t="s">
        <v>629</v>
      </c>
      <c r="AN26">
        <v>0</v>
      </c>
      <c r="AT26">
        <v>9.699999999999999</v>
      </c>
      <c r="AU26" t="s">
        <v>124</v>
      </c>
      <c r="AV26" t="s">
        <v>50</v>
      </c>
    </row>
    <row r="27" spans="1:48">
      <c r="A27" s="1">
        <f>HYPERLINK("https://lsnyc.legalserver.org/matter/dynamic-profile/view/1860860","18-1860860")</f>
        <v>0</v>
      </c>
      <c r="B27" t="s">
        <v>50</v>
      </c>
      <c r="C27" t="s">
        <v>54</v>
      </c>
      <c r="D27" t="s">
        <v>79</v>
      </c>
      <c r="E27" t="s">
        <v>69</v>
      </c>
      <c r="F27" t="s">
        <v>169</v>
      </c>
      <c r="G27" t="s">
        <v>246</v>
      </c>
      <c r="H27" t="s">
        <v>320</v>
      </c>
      <c r="I27" t="s">
        <v>375</v>
      </c>
      <c r="J27">
        <v>11208</v>
      </c>
      <c r="K27" t="s">
        <v>423</v>
      </c>
      <c r="L27" t="s">
        <v>422</v>
      </c>
      <c r="P27" t="s">
        <v>448</v>
      </c>
      <c r="Q27" t="s">
        <v>450</v>
      </c>
      <c r="T27" t="s">
        <v>454</v>
      </c>
      <c r="W27">
        <v>0</v>
      </c>
      <c r="X27" t="s">
        <v>458</v>
      </c>
      <c r="Z27" t="s">
        <v>471</v>
      </c>
      <c r="AA27" t="s">
        <v>502</v>
      </c>
      <c r="AC27" t="s">
        <v>578</v>
      </c>
      <c r="AD27">
        <v>0</v>
      </c>
      <c r="AG27">
        <v>0</v>
      </c>
      <c r="AH27">
        <v>1</v>
      </c>
      <c r="AI27">
        <v>0</v>
      </c>
      <c r="AJ27">
        <v>0</v>
      </c>
      <c r="AM27" t="s">
        <v>629</v>
      </c>
      <c r="AN27">
        <v>0</v>
      </c>
      <c r="AT27">
        <v>69</v>
      </c>
      <c r="AU27" t="s">
        <v>69</v>
      </c>
      <c r="AV27" t="s">
        <v>50</v>
      </c>
    </row>
    <row r="28" spans="1:48">
      <c r="A28" s="1">
        <f>HYPERLINK("https://lsnyc.legalserver.org/matter/dynamic-profile/view/1858457","18-1858457")</f>
        <v>0</v>
      </c>
      <c r="B28" t="s">
        <v>50</v>
      </c>
      <c r="C28" t="s">
        <v>54</v>
      </c>
      <c r="D28" t="s">
        <v>80</v>
      </c>
      <c r="E28" t="s">
        <v>133</v>
      </c>
      <c r="F28" t="s">
        <v>170</v>
      </c>
      <c r="G28" t="s">
        <v>247</v>
      </c>
      <c r="H28" t="s">
        <v>321</v>
      </c>
      <c r="I28" t="s">
        <v>390</v>
      </c>
      <c r="J28">
        <v>11207</v>
      </c>
      <c r="K28" t="s">
        <v>423</v>
      </c>
      <c r="L28" t="s">
        <v>422</v>
      </c>
      <c r="P28" t="s">
        <v>448</v>
      </c>
      <c r="Q28" t="s">
        <v>450</v>
      </c>
      <c r="T28" t="s">
        <v>454</v>
      </c>
      <c r="W28">
        <v>0</v>
      </c>
      <c r="X28" t="s">
        <v>458</v>
      </c>
      <c r="Z28" t="s">
        <v>471</v>
      </c>
      <c r="AA28" t="s">
        <v>503</v>
      </c>
      <c r="AC28" t="s">
        <v>579</v>
      </c>
      <c r="AD28">
        <v>0</v>
      </c>
      <c r="AG28">
        <v>0</v>
      </c>
      <c r="AH28">
        <v>2</v>
      </c>
      <c r="AI28">
        <v>1</v>
      </c>
      <c r="AJ28">
        <v>0</v>
      </c>
      <c r="AM28" t="s">
        <v>629</v>
      </c>
      <c r="AN28">
        <v>11440</v>
      </c>
      <c r="AT28">
        <v>14.2</v>
      </c>
      <c r="AU28" t="s">
        <v>133</v>
      </c>
      <c r="AV28" t="s">
        <v>50</v>
      </c>
    </row>
    <row r="29" spans="1:48">
      <c r="A29" s="1">
        <f>HYPERLINK("https://lsnyc.legalserver.org/matter/dynamic-profile/view/1858295","18-1858295")</f>
        <v>0</v>
      </c>
      <c r="B29" t="s">
        <v>50</v>
      </c>
      <c r="C29" t="s">
        <v>54</v>
      </c>
      <c r="D29" t="s">
        <v>81</v>
      </c>
      <c r="E29" t="s">
        <v>134</v>
      </c>
      <c r="F29" t="s">
        <v>171</v>
      </c>
      <c r="G29" t="s">
        <v>248</v>
      </c>
      <c r="H29" t="s">
        <v>322</v>
      </c>
      <c r="I29" t="s">
        <v>391</v>
      </c>
      <c r="J29">
        <v>11206</v>
      </c>
      <c r="K29" t="s">
        <v>423</v>
      </c>
      <c r="L29" t="s">
        <v>422</v>
      </c>
      <c r="P29" t="s">
        <v>448</v>
      </c>
      <c r="Q29" t="s">
        <v>450</v>
      </c>
      <c r="T29" t="s">
        <v>454</v>
      </c>
      <c r="W29">
        <v>0</v>
      </c>
      <c r="X29" t="s">
        <v>458</v>
      </c>
      <c r="Z29" t="s">
        <v>471</v>
      </c>
      <c r="AA29" t="s">
        <v>504</v>
      </c>
      <c r="AC29" t="s">
        <v>580</v>
      </c>
      <c r="AD29">
        <v>0</v>
      </c>
      <c r="AG29">
        <v>0</v>
      </c>
      <c r="AH29">
        <v>2</v>
      </c>
      <c r="AI29">
        <v>4</v>
      </c>
      <c r="AJ29">
        <v>0</v>
      </c>
      <c r="AN29">
        <v>0</v>
      </c>
      <c r="AT29">
        <v>23.4</v>
      </c>
      <c r="AU29" t="s">
        <v>120</v>
      </c>
      <c r="AV29" t="s">
        <v>50</v>
      </c>
    </row>
    <row r="30" spans="1:48">
      <c r="A30" s="1">
        <f>HYPERLINK("https://lsnyc.legalserver.org/matter/dynamic-profile/view/1875718","18-1875718")</f>
        <v>0</v>
      </c>
      <c r="B30" t="s">
        <v>50</v>
      </c>
      <c r="C30" t="s">
        <v>54</v>
      </c>
      <c r="D30" t="s">
        <v>82</v>
      </c>
      <c r="E30" t="s">
        <v>124</v>
      </c>
      <c r="F30" t="s">
        <v>172</v>
      </c>
      <c r="G30" t="s">
        <v>249</v>
      </c>
      <c r="H30" t="s">
        <v>323</v>
      </c>
      <c r="I30">
        <v>220</v>
      </c>
      <c r="J30">
        <v>11206</v>
      </c>
      <c r="K30" t="s">
        <v>422</v>
      </c>
      <c r="L30" t="s">
        <v>422</v>
      </c>
      <c r="P30" t="s">
        <v>447</v>
      </c>
      <c r="Q30" t="s">
        <v>450</v>
      </c>
      <c r="T30" t="s">
        <v>453</v>
      </c>
      <c r="W30">
        <v>0</v>
      </c>
      <c r="X30" t="s">
        <v>458</v>
      </c>
      <c r="Z30" t="s">
        <v>470</v>
      </c>
      <c r="AA30" t="s">
        <v>505</v>
      </c>
      <c r="AC30" t="s">
        <v>581</v>
      </c>
      <c r="AD30">
        <v>0</v>
      </c>
      <c r="AG30">
        <v>0</v>
      </c>
      <c r="AH30">
        <v>1</v>
      </c>
      <c r="AI30">
        <v>1</v>
      </c>
      <c r="AJ30">
        <v>0</v>
      </c>
      <c r="AM30" t="s">
        <v>629</v>
      </c>
      <c r="AN30">
        <v>0</v>
      </c>
      <c r="AT30">
        <v>2.3</v>
      </c>
      <c r="AU30" t="s">
        <v>124</v>
      </c>
      <c r="AV30" t="s">
        <v>50</v>
      </c>
    </row>
    <row r="31" spans="1:48">
      <c r="A31" s="1">
        <f>HYPERLINK("https://lsnyc.legalserver.org/matter/dynamic-profile/view/1882038","18-1882038")</f>
        <v>0</v>
      </c>
      <c r="B31" t="s">
        <v>50</v>
      </c>
      <c r="C31" t="s">
        <v>54</v>
      </c>
      <c r="D31" t="s">
        <v>57</v>
      </c>
      <c r="E31" t="s">
        <v>131</v>
      </c>
      <c r="F31" t="s">
        <v>173</v>
      </c>
      <c r="G31" t="s">
        <v>250</v>
      </c>
      <c r="H31" t="s">
        <v>324</v>
      </c>
      <c r="I31" t="s">
        <v>392</v>
      </c>
      <c r="J31">
        <v>11206</v>
      </c>
      <c r="K31" t="s">
        <v>422</v>
      </c>
      <c r="L31" t="s">
        <v>422</v>
      </c>
      <c r="P31" t="s">
        <v>448</v>
      </c>
      <c r="Q31" t="s">
        <v>450</v>
      </c>
      <c r="T31" t="s">
        <v>454</v>
      </c>
      <c r="W31">
        <v>0</v>
      </c>
      <c r="X31" t="s">
        <v>458</v>
      </c>
      <c r="Z31" t="s">
        <v>471</v>
      </c>
      <c r="AA31" t="s">
        <v>506</v>
      </c>
      <c r="AC31" t="s">
        <v>582</v>
      </c>
      <c r="AD31">
        <v>0</v>
      </c>
      <c r="AG31">
        <v>0</v>
      </c>
      <c r="AH31">
        <v>2</v>
      </c>
      <c r="AI31">
        <v>2</v>
      </c>
      <c r="AJ31">
        <v>0</v>
      </c>
      <c r="AM31" t="s">
        <v>629</v>
      </c>
      <c r="AN31">
        <v>0</v>
      </c>
      <c r="AT31">
        <v>11.8</v>
      </c>
      <c r="AU31" t="s">
        <v>131</v>
      </c>
      <c r="AV31" t="s">
        <v>50</v>
      </c>
    </row>
    <row r="32" spans="1:48">
      <c r="A32" s="1">
        <f>HYPERLINK("https://lsnyc.legalserver.org/matter/dynamic-profile/view/1899700","19-1899700")</f>
        <v>0</v>
      </c>
      <c r="B32" t="s">
        <v>50</v>
      </c>
      <c r="C32" t="s">
        <v>55</v>
      </c>
      <c r="D32" t="s">
        <v>83</v>
      </c>
      <c r="F32" t="s">
        <v>174</v>
      </c>
      <c r="G32" t="s">
        <v>251</v>
      </c>
      <c r="H32" t="s">
        <v>325</v>
      </c>
      <c r="I32" t="s">
        <v>393</v>
      </c>
      <c r="J32">
        <v>11206</v>
      </c>
      <c r="K32" t="s">
        <v>422</v>
      </c>
      <c r="L32" t="s">
        <v>422</v>
      </c>
      <c r="Q32" t="s">
        <v>450</v>
      </c>
      <c r="T32" t="s">
        <v>454</v>
      </c>
      <c r="W32">
        <v>0</v>
      </c>
      <c r="X32" t="s">
        <v>458</v>
      </c>
      <c r="AA32" t="s">
        <v>507</v>
      </c>
      <c r="AD32">
        <v>0</v>
      </c>
      <c r="AG32">
        <v>0</v>
      </c>
      <c r="AH32">
        <v>1</v>
      </c>
      <c r="AI32">
        <v>2</v>
      </c>
      <c r="AJ32">
        <v>0</v>
      </c>
      <c r="AM32" t="s">
        <v>629</v>
      </c>
      <c r="AN32">
        <v>0</v>
      </c>
      <c r="AT32">
        <v>4.3</v>
      </c>
      <c r="AU32" t="s">
        <v>137</v>
      </c>
      <c r="AV32" t="s">
        <v>50</v>
      </c>
    </row>
    <row r="33" spans="1:48">
      <c r="A33" s="1">
        <f>HYPERLINK("https://lsnyc.legalserver.org/matter/dynamic-profile/view/1870810","18-1870810")</f>
        <v>0</v>
      </c>
      <c r="B33" t="s">
        <v>50</v>
      </c>
      <c r="C33" t="s">
        <v>54</v>
      </c>
      <c r="D33" t="s">
        <v>84</v>
      </c>
      <c r="E33" t="s">
        <v>130</v>
      </c>
      <c r="F33" t="s">
        <v>175</v>
      </c>
      <c r="G33" t="s">
        <v>252</v>
      </c>
      <c r="H33" t="s">
        <v>326</v>
      </c>
      <c r="I33" t="s">
        <v>394</v>
      </c>
      <c r="J33">
        <v>11210</v>
      </c>
      <c r="K33" t="s">
        <v>422</v>
      </c>
      <c r="L33" t="s">
        <v>422</v>
      </c>
      <c r="P33" t="s">
        <v>448</v>
      </c>
      <c r="Q33" t="s">
        <v>450</v>
      </c>
      <c r="T33" t="s">
        <v>454</v>
      </c>
      <c r="W33">
        <v>0</v>
      </c>
      <c r="X33" t="s">
        <v>458</v>
      </c>
      <c r="Z33" t="s">
        <v>471</v>
      </c>
      <c r="AA33" t="s">
        <v>508</v>
      </c>
      <c r="AC33" t="s">
        <v>583</v>
      </c>
      <c r="AD33">
        <v>0</v>
      </c>
      <c r="AG33">
        <v>0</v>
      </c>
      <c r="AH33">
        <v>1</v>
      </c>
      <c r="AI33">
        <v>1</v>
      </c>
      <c r="AJ33">
        <v>15.62</v>
      </c>
      <c r="AM33" t="s">
        <v>629</v>
      </c>
      <c r="AN33">
        <v>2571</v>
      </c>
      <c r="AT33">
        <v>19.1</v>
      </c>
      <c r="AU33" t="s">
        <v>130</v>
      </c>
      <c r="AV33" t="s">
        <v>50</v>
      </c>
    </row>
    <row r="34" spans="1:48">
      <c r="A34" s="1">
        <f>HYPERLINK("https://lsnyc.legalserver.org/matter/dynamic-profile/view/1877984","18-1877984")</f>
        <v>0</v>
      </c>
      <c r="B34" t="s">
        <v>50</v>
      </c>
      <c r="C34" t="s">
        <v>54</v>
      </c>
      <c r="D34" t="s">
        <v>77</v>
      </c>
      <c r="E34" t="s">
        <v>135</v>
      </c>
      <c r="F34" t="s">
        <v>176</v>
      </c>
      <c r="G34" t="s">
        <v>253</v>
      </c>
      <c r="H34" t="s">
        <v>327</v>
      </c>
      <c r="I34" t="s">
        <v>395</v>
      </c>
      <c r="J34">
        <v>11215</v>
      </c>
      <c r="K34" t="s">
        <v>422</v>
      </c>
      <c r="L34" t="s">
        <v>422</v>
      </c>
      <c r="P34" t="s">
        <v>447</v>
      </c>
      <c r="Q34" t="s">
        <v>450</v>
      </c>
      <c r="T34" t="s">
        <v>455</v>
      </c>
      <c r="W34">
        <v>0</v>
      </c>
      <c r="X34" t="s">
        <v>458</v>
      </c>
      <c r="Z34" t="s">
        <v>470</v>
      </c>
      <c r="AA34" t="s">
        <v>509</v>
      </c>
      <c r="AC34" t="s">
        <v>584</v>
      </c>
      <c r="AD34">
        <v>0</v>
      </c>
      <c r="AG34">
        <v>0</v>
      </c>
      <c r="AH34">
        <v>1</v>
      </c>
      <c r="AI34">
        <v>0</v>
      </c>
      <c r="AJ34">
        <v>38.15</v>
      </c>
      <c r="AM34" t="s">
        <v>629</v>
      </c>
      <c r="AN34">
        <v>4632</v>
      </c>
      <c r="AT34">
        <v>1.45</v>
      </c>
      <c r="AU34" t="s">
        <v>647</v>
      </c>
      <c r="AV34" t="s">
        <v>50</v>
      </c>
    </row>
    <row r="35" spans="1:48">
      <c r="A35" s="1">
        <f>HYPERLINK("https://lsnyc.legalserver.org/matter/dynamic-profile/view/1869943","18-1869943")</f>
        <v>0</v>
      </c>
      <c r="B35" t="s">
        <v>50</v>
      </c>
      <c r="C35" t="s">
        <v>55</v>
      </c>
      <c r="D35" t="s">
        <v>63</v>
      </c>
      <c r="F35" t="s">
        <v>177</v>
      </c>
      <c r="G35" t="s">
        <v>254</v>
      </c>
      <c r="H35" t="s">
        <v>328</v>
      </c>
      <c r="I35" t="s">
        <v>393</v>
      </c>
      <c r="J35">
        <v>11216</v>
      </c>
      <c r="K35" t="s">
        <v>422</v>
      </c>
      <c r="L35" t="s">
        <v>422</v>
      </c>
      <c r="Q35" t="s">
        <v>450</v>
      </c>
      <c r="T35" t="s">
        <v>454</v>
      </c>
      <c r="W35">
        <v>0</v>
      </c>
      <c r="X35" t="s">
        <v>458</v>
      </c>
      <c r="AA35" t="s">
        <v>510</v>
      </c>
      <c r="AD35">
        <v>0</v>
      </c>
      <c r="AG35">
        <v>0</v>
      </c>
      <c r="AH35">
        <v>2</v>
      </c>
      <c r="AI35">
        <v>0</v>
      </c>
      <c r="AJ35">
        <v>54.68</v>
      </c>
      <c r="AM35" t="s">
        <v>631</v>
      </c>
      <c r="AN35">
        <v>9000</v>
      </c>
      <c r="AT35">
        <v>1.7</v>
      </c>
      <c r="AU35" t="s">
        <v>113</v>
      </c>
      <c r="AV35" t="s">
        <v>50</v>
      </c>
    </row>
    <row r="36" spans="1:48">
      <c r="A36" s="1">
        <f>HYPERLINK("https://lsnyc.legalserver.org/matter/dynamic-profile/view/1890748","19-1890748")</f>
        <v>0</v>
      </c>
      <c r="B36" t="s">
        <v>50</v>
      </c>
      <c r="C36" t="s">
        <v>54</v>
      </c>
      <c r="D36" t="s">
        <v>76</v>
      </c>
      <c r="E36" t="s">
        <v>136</v>
      </c>
      <c r="F36" t="s">
        <v>178</v>
      </c>
      <c r="G36" t="s">
        <v>255</v>
      </c>
      <c r="H36" t="s">
        <v>329</v>
      </c>
      <c r="I36" t="s">
        <v>375</v>
      </c>
      <c r="J36">
        <v>11217</v>
      </c>
      <c r="K36" t="s">
        <v>422</v>
      </c>
      <c r="L36" t="s">
        <v>422</v>
      </c>
      <c r="P36" t="s">
        <v>447</v>
      </c>
      <c r="Q36" t="s">
        <v>450</v>
      </c>
      <c r="T36" t="s">
        <v>453</v>
      </c>
      <c r="W36">
        <v>0</v>
      </c>
      <c r="X36" t="s">
        <v>458</v>
      </c>
      <c r="Z36" t="s">
        <v>470</v>
      </c>
      <c r="AA36" t="s">
        <v>511</v>
      </c>
      <c r="AC36" t="s">
        <v>585</v>
      </c>
      <c r="AD36">
        <v>0</v>
      </c>
      <c r="AG36">
        <v>0</v>
      </c>
      <c r="AH36">
        <v>2</v>
      </c>
      <c r="AI36">
        <v>0</v>
      </c>
      <c r="AJ36">
        <v>56.77</v>
      </c>
      <c r="AM36" t="s">
        <v>629</v>
      </c>
      <c r="AN36">
        <v>9600</v>
      </c>
      <c r="AT36">
        <v>1.3</v>
      </c>
      <c r="AU36" t="s">
        <v>136</v>
      </c>
      <c r="AV36" t="s">
        <v>50</v>
      </c>
    </row>
    <row r="37" spans="1:48">
      <c r="A37" s="1">
        <f>HYPERLINK("https://lsnyc.legalserver.org/matter/dynamic-profile/view/1875045","18-1875045")</f>
        <v>0</v>
      </c>
      <c r="B37" t="s">
        <v>50</v>
      </c>
      <c r="C37" t="s">
        <v>54</v>
      </c>
      <c r="D37" t="s">
        <v>82</v>
      </c>
      <c r="E37" t="s">
        <v>125</v>
      </c>
      <c r="F37" t="s">
        <v>179</v>
      </c>
      <c r="G37" t="s">
        <v>256</v>
      </c>
      <c r="H37" t="s">
        <v>305</v>
      </c>
      <c r="I37" t="s">
        <v>396</v>
      </c>
      <c r="J37">
        <v>11226</v>
      </c>
      <c r="K37" t="s">
        <v>422</v>
      </c>
      <c r="L37" t="s">
        <v>422</v>
      </c>
      <c r="P37" t="s">
        <v>447</v>
      </c>
      <c r="Q37" t="s">
        <v>450</v>
      </c>
      <c r="T37" t="s">
        <v>453</v>
      </c>
      <c r="W37">
        <v>0</v>
      </c>
      <c r="X37" t="s">
        <v>458</v>
      </c>
      <c r="Z37" t="s">
        <v>470</v>
      </c>
      <c r="AA37" t="s">
        <v>512</v>
      </c>
      <c r="AD37">
        <v>0</v>
      </c>
      <c r="AG37">
        <v>0</v>
      </c>
      <c r="AH37">
        <v>1</v>
      </c>
      <c r="AI37">
        <v>2</v>
      </c>
      <c r="AJ37">
        <v>65.97</v>
      </c>
      <c r="AM37" t="s">
        <v>629</v>
      </c>
      <c r="AN37">
        <v>13708</v>
      </c>
      <c r="AT37">
        <v>2</v>
      </c>
      <c r="AU37" t="s">
        <v>125</v>
      </c>
      <c r="AV37" t="s">
        <v>50</v>
      </c>
    </row>
    <row r="38" spans="1:48">
      <c r="A38" s="1">
        <f>HYPERLINK("https://lsnyc.legalserver.org/matter/dynamic-profile/view/1883887","18-1883887")</f>
        <v>0</v>
      </c>
      <c r="B38" t="s">
        <v>50</v>
      </c>
      <c r="C38" t="s">
        <v>55</v>
      </c>
      <c r="D38" t="s">
        <v>85</v>
      </c>
      <c r="F38" t="s">
        <v>180</v>
      </c>
      <c r="G38" t="s">
        <v>257</v>
      </c>
      <c r="H38" t="s">
        <v>307</v>
      </c>
      <c r="I38" t="s">
        <v>382</v>
      </c>
      <c r="J38">
        <v>11226</v>
      </c>
      <c r="K38" t="s">
        <v>422</v>
      </c>
      <c r="L38" t="s">
        <v>422</v>
      </c>
      <c r="Q38" t="s">
        <v>450</v>
      </c>
      <c r="T38" t="s">
        <v>453</v>
      </c>
      <c r="W38">
        <v>0</v>
      </c>
      <c r="X38" t="s">
        <v>458</v>
      </c>
      <c r="AA38" t="s">
        <v>513</v>
      </c>
      <c r="AC38" t="s">
        <v>586</v>
      </c>
      <c r="AD38">
        <v>0</v>
      </c>
      <c r="AG38">
        <v>0</v>
      </c>
      <c r="AH38">
        <v>2</v>
      </c>
      <c r="AI38">
        <v>0</v>
      </c>
      <c r="AJ38">
        <v>67.58</v>
      </c>
      <c r="AM38" t="s">
        <v>629</v>
      </c>
      <c r="AN38">
        <v>11124</v>
      </c>
      <c r="AT38">
        <v>12.6</v>
      </c>
      <c r="AU38" t="s">
        <v>648</v>
      </c>
      <c r="AV38" t="s">
        <v>50</v>
      </c>
    </row>
    <row r="39" spans="1:48">
      <c r="A39" s="1">
        <f>HYPERLINK("https://lsnyc.legalserver.org/matter/dynamic-profile/view/1887364","19-1887364")</f>
        <v>0</v>
      </c>
      <c r="B39" t="s">
        <v>50</v>
      </c>
      <c r="C39" t="s">
        <v>55</v>
      </c>
      <c r="D39" t="s">
        <v>86</v>
      </c>
      <c r="F39" t="s">
        <v>181</v>
      </c>
      <c r="G39" t="s">
        <v>258</v>
      </c>
      <c r="H39" t="s">
        <v>330</v>
      </c>
      <c r="I39" t="s">
        <v>372</v>
      </c>
      <c r="J39">
        <v>11216</v>
      </c>
      <c r="K39" t="s">
        <v>422</v>
      </c>
      <c r="L39" t="s">
        <v>422</v>
      </c>
      <c r="Q39" t="s">
        <v>450</v>
      </c>
      <c r="T39" t="s">
        <v>454</v>
      </c>
      <c r="W39">
        <v>0</v>
      </c>
      <c r="X39" t="s">
        <v>458</v>
      </c>
      <c r="AA39" t="s">
        <v>514</v>
      </c>
      <c r="AC39" t="s">
        <v>587</v>
      </c>
      <c r="AD39">
        <v>0</v>
      </c>
      <c r="AG39">
        <v>0</v>
      </c>
      <c r="AH39">
        <v>2</v>
      </c>
      <c r="AI39">
        <v>7</v>
      </c>
      <c r="AJ39">
        <v>69.17</v>
      </c>
      <c r="AM39" t="s">
        <v>631</v>
      </c>
      <c r="AN39">
        <v>32304</v>
      </c>
      <c r="AT39">
        <v>1.7</v>
      </c>
      <c r="AU39" t="s">
        <v>649</v>
      </c>
      <c r="AV39" t="s">
        <v>50</v>
      </c>
    </row>
    <row r="40" spans="1:48">
      <c r="A40" s="1">
        <f>HYPERLINK("https://lsnyc.legalserver.org/matter/dynamic-profile/view/1900259","19-1900259")</f>
        <v>0</v>
      </c>
      <c r="B40" t="s">
        <v>50</v>
      </c>
      <c r="C40" t="s">
        <v>54</v>
      </c>
      <c r="D40" t="s">
        <v>87</v>
      </c>
      <c r="E40" t="s">
        <v>87</v>
      </c>
      <c r="F40" t="s">
        <v>182</v>
      </c>
      <c r="G40" t="s">
        <v>151</v>
      </c>
      <c r="H40" t="s">
        <v>331</v>
      </c>
      <c r="I40">
        <v>2</v>
      </c>
      <c r="J40">
        <v>11206</v>
      </c>
      <c r="K40" t="s">
        <v>422</v>
      </c>
      <c r="L40" t="s">
        <v>422</v>
      </c>
      <c r="N40" t="s">
        <v>434</v>
      </c>
      <c r="O40" t="s">
        <v>441</v>
      </c>
      <c r="P40" t="s">
        <v>447</v>
      </c>
      <c r="Q40" t="s">
        <v>450</v>
      </c>
      <c r="T40" t="s">
        <v>453</v>
      </c>
      <c r="W40">
        <v>0</v>
      </c>
      <c r="X40" t="s">
        <v>458</v>
      </c>
      <c r="Z40" t="s">
        <v>470</v>
      </c>
      <c r="AA40" t="s">
        <v>515</v>
      </c>
      <c r="AD40">
        <v>0</v>
      </c>
      <c r="AG40">
        <v>0</v>
      </c>
      <c r="AH40">
        <v>3</v>
      </c>
      <c r="AI40">
        <v>1</v>
      </c>
      <c r="AJ40">
        <v>73.79000000000001</v>
      </c>
      <c r="AM40" t="s">
        <v>629</v>
      </c>
      <c r="AN40">
        <v>19000</v>
      </c>
      <c r="AT40">
        <v>0.5</v>
      </c>
      <c r="AU40" t="s">
        <v>87</v>
      </c>
      <c r="AV40" t="s">
        <v>50</v>
      </c>
    </row>
    <row r="41" spans="1:48">
      <c r="A41" s="1">
        <f>HYPERLINK("https://lsnyc.legalserver.org/matter/dynamic-profile/view/1893062","19-1893062")</f>
        <v>0</v>
      </c>
      <c r="B41" t="s">
        <v>50</v>
      </c>
      <c r="C41" t="s">
        <v>55</v>
      </c>
      <c r="D41" t="s">
        <v>88</v>
      </c>
      <c r="F41" t="s">
        <v>183</v>
      </c>
      <c r="G41" t="s">
        <v>259</v>
      </c>
      <c r="H41" t="s">
        <v>332</v>
      </c>
      <c r="I41" t="s">
        <v>397</v>
      </c>
      <c r="J41">
        <v>11238</v>
      </c>
      <c r="K41" t="s">
        <v>422</v>
      </c>
      <c r="L41" t="s">
        <v>422</v>
      </c>
      <c r="Q41" t="s">
        <v>450</v>
      </c>
      <c r="T41" t="s">
        <v>454</v>
      </c>
      <c r="W41">
        <v>0</v>
      </c>
      <c r="X41" t="s">
        <v>458</v>
      </c>
      <c r="AA41" t="s">
        <v>516</v>
      </c>
      <c r="AC41" t="s">
        <v>588</v>
      </c>
      <c r="AD41">
        <v>0</v>
      </c>
      <c r="AG41">
        <v>0</v>
      </c>
      <c r="AH41">
        <v>1</v>
      </c>
      <c r="AI41">
        <v>0</v>
      </c>
      <c r="AJ41">
        <v>74.08</v>
      </c>
      <c r="AM41" t="s">
        <v>629</v>
      </c>
      <c r="AN41">
        <v>9252</v>
      </c>
      <c r="AT41">
        <v>7.6</v>
      </c>
      <c r="AU41" t="s">
        <v>122</v>
      </c>
      <c r="AV41" t="s">
        <v>50</v>
      </c>
    </row>
    <row r="42" spans="1:48">
      <c r="A42" s="1">
        <f>HYPERLINK("https://lsnyc.legalserver.org/matter/dynamic-profile/view/1872481","18-1872481")</f>
        <v>0</v>
      </c>
      <c r="B42" t="s">
        <v>50</v>
      </c>
      <c r="C42" t="s">
        <v>54</v>
      </c>
      <c r="D42" t="s">
        <v>89</v>
      </c>
      <c r="E42" t="s">
        <v>126</v>
      </c>
      <c r="F42" t="s">
        <v>184</v>
      </c>
      <c r="G42" t="s">
        <v>196</v>
      </c>
      <c r="H42" t="s">
        <v>333</v>
      </c>
      <c r="I42" t="s">
        <v>398</v>
      </c>
      <c r="J42">
        <v>11226</v>
      </c>
      <c r="K42" t="s">
        <v>422</v>
      </c>
      <c r="L42" t="s">
        <v>422</v>
      </c>
      <c r="P42" t="s">
        <v>447</v>
      </c>
      <c r="Q42" t="s">
        <v>450</v>
      </c>
      <c r="T42" t="s">
        <v>453</v>
      </c>
      <c r="W42">
        <v>2323</v>
      </c>
      <c r="X42" t="s">
        <v>458</v>
      </c>
      <c r="Y42" t="s">
        <v>459</v>
      </c>
      <c r="Z42" t="s">
        <v>470</v>
      </c>
      <c r="AA42" t="s">
        <v>517</v>
      </c>
      <c r="AC42" t="s">
        <v>589</v>
      </c>
      <c r="AD42">
        <v>0</v>
      </c>
      <c r="AE42" t="s">
        <v>621</v>
      </c>
      <c r="AF42" t="s">
        <v>624</v>
      </c>
      <c r="AG42">
        <v>19</v>
      </c>
      <c r="AH42">
        <v>1</v>
      </c>
      <c r="AI42">
        <v>0</v>
      </c>
      <c r="AJ42">
        <v>78.19</v>
      </c>
      <c r="AM42" t="s">
        <v>629</v>
      </c>
      <c r="AN42">
        <v>9492</v>
      </c>
      <c r="AT42">
        <v>13.75</v>
      </c>
      <c r="AU42" t="s">
        <v>650</v>
      </c>
      <c r="AV42" t="s">
        <v>661</v>
      </c>
    </row>
    <row r="43" spans="1:48">
      <c r="A43" s="1">
        <f>HYPERLINK("https://lsnyc.legalserver.org/matter/dynamic-profile/view/1882980","18-1882980")</f>
        <v>0</v>
      </c>
      <c r="B43" t="s">
        <v>50</v>
      </c>
      <c r="C43" t="s">
        <v>54</v>
      </c>
      <c r="D43" t="s">
        <v>90</v>
      </c>
      <c r="E43" t="s">
        <v>124</v>
      </c>
      <c r="F43" t="s">
        <v>185</v>
      </c>
      <c r="G43" t="s">
        <v>260</v>
      </c>
      <c r="H43" t="s">
        <v>334</v>
      </c>
      <c r="I43" t="s">
        <v>399</v>
      </c>
      <c r="J43">
        <v>11216</v>
      </c>
      <c r="K43" t="s">
        <v>422</v>
      </c>
      <c r="L43" t="s">
        <v>422</v>
      </c>
      <c r="P43" t="s">
        <v>447</v>
      </c>
      <c r="Q43" t="s">
        <v>450</v>
      </c>
      <c r="T43" t="s">
        <v>453</v>
      </c>
      <c r="W43">
        <v>0</v>
      </c>
      <c r="X43" t="s">
        <v>458</v>
      </c>
      <c r="Z43" t="s">
        <v>470</v>
      </c>
      <c r="AA43" t="s">
        <v>518</v>
      </c>
      <c r="AC43" t="s">
        <v>590</v>
      </c>
      <c r="AD43">
        <v>0</v>
      </c>
      <c r="AG43">
        <v>0</v>
      </c>
      <c r="AH43">
        <v>2</v>
      </c>
      <c r="AI43">
        <v>0</v>
      </c>
      <c r="AJ43">
        <v>80.19</v>
      </c>
      <c r="AM43" t="s">
        <v>629</v>
      </c>
      <c r="AN43">
        <v>13200</v>
      </c>
      <c r="AO43" t="s">
        <v>634</v>
      </c>
      <c r="AT43">
        <v>1.8</v>
      </c>
      <c r="AU43" t="s">
        <v>124</v>
      </c>
      <c r="AV43" t="s">
        <v>50</v>
      </c>
    </row>
    <row r="44" spans="1:48">
      <c r="A44" s="1">
        <f>HYPERLINK("https://lsnyc.legalserver.org/matter/dynamic-profile/view/1895673","19-1895673")</f>
        <v>0</v>
      </c>
      <c r="B44" t="s">
        <v>50</v>
      </c>
      <c r="C44" t="s">
        <v>54</v>
      </c>
      <c r="D44" t="s">
        <v>91</v>
      </c>
      <c r="E44" t="s">
        <v>91</v>
      </c>
      <c r="F44" t="s">
        <v>186</v>
      </c>
      <c r="G44" t="s">
        <v>261</v>
      </c>
      <c r="H44" t="s">
        <v>335</v>
      </c>
      <c r="I44" t="s">
        <v>400</v>
      </c>
      <c r="J44">
        <v>11216</v>
      </c>
      <c r="K44" t="s">
        <v>422</v>
      </c>
      <c r="L44" t="s">
        <v>422</v>
      </c>
      <c r="P44" t="s">
        <v>447</v>
      </c>
      <c r="Q44" t="s">
        <v>450</v>
      </c>
      <c r="T44" t="s">
        <v>453</v>
      </c>
      <c r="W44">
        <v>0</v>
      </c>
      <c r="X44" t="s">
        <v>458</v>
      </c>
      <c r="Z44" t="s">
        <v>470</v>
      </c>
      <c r="AA44" t="s">
        <v>519</v>
      </c>
      <c r="AC44" t="s">
        <v>591</v>
      </c>
      <c r="AD44">
        <v>0</v>
      </c>
      <c r="AG44">
        <v>0</v>
      </c>
      <c r="AH44">
        <v>5</v>
      </c>
      <c r="AI44">
        <v>0</v>
      </c>
      <c r="AJ44">
        <v>91.90000000000001</v>
      </c>
      <c r="AM44" t="s">
        <v>629</v>
      </c>
      <c r="AN44">
        <v>27726</v>
      </c>
      <c r="AT44">
        <v>1.5</v>
      </c>
      <c r="AU44" t="s">
        <v>651</v>
      </c>
      <c r="AV44" t="s">
        <v>50</v>
      </c>
    </row>
    <row r="45" spans="1:48">
      <c r="A45" s="1">
        <f>HYPERLINK("https://lsnyc.legalserver.org/matter/dynamic-profile/view/1901370","19-1901370")</f>
        <v>0</v>
      </c>
      <c r="B45" t="s">
        <v>50</v>
      </c>
      <c r="C45" t="s">
        <v>55</v>
      </c>
      <c r="D45" t="s">
        <v>92</v>
      </c>
      <c r="F45" t="s">
        <v>187</v>
      </c>
      <c r="G45" t="s">
        <v>262</v>
      </c>
      <c r="H45" t="s">
        <v>336</v>
      </c>
      <c r="I45" t="s">
        <v>401</v>
      </c>
      <c r="J45">
        <v>11218</v>
      </c>
      <c r="K45" t="s">
        <v>422</v>
      </c>
      <c r="L45" t="s">
        <v>422</v>
      </c>
      <c r="N45" t="s">
        <v>435</v>
      </c>
      <c r="Q45" t="s">
        <v>450</v>
      </c>
      <c r="R45" t="s">
        <v>423</v>
      </c>
      <c r="T45" t="s">
        <v>453</v>
      </c>
      <c r="W45">
        <v>1100</v>
      </c>
      <c r="X45" t="s">
        <v>458</v>
      </c>
      <c r="Y45" t="s">
        <v>460</v>
      </c>
      <c r="AA45" t="s">
        <v>520</v>
      </c>
      <c r="AC45" t="s">
        <v>592</v>
      </c>
      <c r="AD45">
        <v>6</v>
      </c>
      <c r="AE45" t="s">
        <v>622</v>
      </c>
      <c r="AF45" t="s">
        <v>625</v>
      </c>
      <c r="AG45">
        <v>25</v>
      </c>
      <c r="AH45">
        <v>2</v>
      </c>
      <c r="AI45">
        <v>0</v>
      </c>
      <c r="AJ45">
        <v>106.45</v>
      </c>
      <c r="AM45" t="s">
        <v>629</v>
      </c>
      <c r="AN45">
        <v>18000</v>
      </c>
      <c r="AT45">
        <v>2</v>
      </c>
      <c r="AU45" t="s">
        <v>137</v>
      </c>
      <c r="AV45" t="s">
        <v>662</v>
      </c>
    </row>
    <row r="46" spans="1:48">
      <c r="A46" s="1">
        <f>HYPERLINK("https://lsnyc.legalserver.org/matter/dynamic-profile/view/1883440","18-1883440")</f>
        <v>0</v>
      </c>
      <c r="B46" t="s">
        <v>50</v>
      </c>
      <c r="C46" t="s">
        <v>55</v>
      </c>
      <c r="D46" t="s">
        <v>93</v>
      </c>
      <c r="F46" t="s">
        <v>188</v>
      </c>
      <c r="G46" t="s">
        <v>196</v>
      </c>
      <c r="H46" t="s">
        <v>337</v>
      </c>
      <c r="I46">
        <v>1</v>
      </c>
      <c r="J46">
        <v>11203</v>
      </c>
      <c r="K46" t="s">
        <v>422</v>
      </c>
      <c r="L46" t="s">
        <v>422</v>
      </c>
      <c r="Q46" t="s">
        <v>450</v>
      </c>
      <c r="T46" t="s">
        <v>453</v>
      </c>
      <c r="W46">
        <v>0</v>
      </c>
      <c r="X46" t="s">
        <v>458</v>
      </c>
      <c r="AA46" t="s">
        <v>521</v>
      </c>
      <c r="AD46">
        <v>0</v>
      </c>
      <c r="AG46">
        <v>0</v>
      </c>
      <c r="AH46">
        <v>5</v>
      </c>
      <c r="AI46">
        <v>1</v>
      </c>
      <c r="AJ46">
        <v>106.7</v>
      </c>
      <c r="AM46" t="s">
        <v>632</v>
      </c>
      <c r="AN46">
        <v>36000</v>
      </c>
      <c r="AT46">
        <v>0.6</v>
      </c>
      <c r="AU46" t="s">
        <v>93</v>
      </c>
      <c r="AV46" t="s">
        <v>50</v>
      </c>
    </row>
    <row r="47" spans="1:48">
      <c r="A47" s="1">
        <f>HYPERLINK("https://lsnyc.legalserver.org/matter/dynamic-profile/view/1871452","18-1871452")</f>
        <v>0</v>
      </c>
      <c r="B47" t="s">
        <v>50</v>
      </c>
      <c r="C47" t="s">
        <v>54</v>
      </c>
      <c r="D47" t="s">
        <v>94</v>
      </c>
      <c r="E47" t="s">
        <v>133</v>
      </c>
      <c r="F47" t="s">
        <v>189</v>
      </c>
      <c r="G47" t="s">
        <v>263</v>
      </c>
      <c r="H47" t="s">
        <v>338</v>
      </c>
      <c r="I47" t="s">
        <v>402</v>
      </c>
      <c r="J47">
        <v>11218</v>
      </c>
      <c r="K47" t="s">
        <v>422</v>
      </c>
      <c r="L47" t="s">
        <v>422</v>
      </c>
      <c r="P47" t="s">
        <v>447</v>
      </c>
      <c r="Q47" t="s">
        <v>450</v>
      </c>
      <c r="T47" t="s">
        <v>453</v>
      </c>
      <c r="W47">
        <v>2006</v>
      </c>
      <c r="X47" t="s">
        <v>458</v>
      </c>
      <c r="Y47" t="s">
        <v>460</v>
      </c>
      <c r="Z47" t="s">
        <v>470</v>
      </c>
      <c r="AA47" t="s">
        <v>522</v>
      </c>
      <c r="AC47" t="s">
        <v>593</v>
      </c>
      <c r="AD47">
        <v>3</v>
      </c>
      <c r="AE47" t="s">
        <v>621</v>
      </c>
      <c r="AF47" t="s">
        <v>626</v>
      </c>
      <c r="AG47">
        <v>13</v>
      </c>
      <c r="AH47">
        <v>3</v>
      </c>
      <c r="AI47">
        <v>7</v>
      </c>
      <c r="AJ47">
        <v>107.82</v>
      </c>
      <c r="AM47" t="s">
        <v>629</v>
      </c>
      <c r="AN47">
        <v>55008.44</v>
      </c>
      <c r="AT47">
        <v>1.2</v>
      </c>
      <c r="AU47" t="s">
        <v>133</v>
      </c>
      <c r="AV47" t="s">
        <v>663</v>
      </c>
    </row>
    <row r="48" spans="1:48">
      <c r="A48" s="1">
        <f>HYPERLINK("https://lsnyc.legalserver.org/matter/dynamic-profile/view/1900865","19-1900865")</f>
        <v>0</v>
      </c>
      <c r="B48" t="s">
        <v>50</v>
      </c>
      <c r="C48" t="s">
        <v>55</v>
      </c>
      <c r="D48" t="s">
        <v>58</v>
      </c>
      <c r="F48" t="s">
        <v>190</v>
      </c>
      <c r="G48" t="s">
        <v>264</v>
      </c>
      <c r="H48" t="s">
        <v>339</v>
      </c>
      <c r="I48" t="s">
        <v>403</v>
      </c>
      <c r="J48">
        <v>11225</v>
      </c>
      <c r="K48" t="s">
        <v>422</v>
      </c>
      <c r="L48" t="s">
        <v>422</v>
      </c>
      <c r="Q48" t="s">
        <v>450</v>
      </c>
      <c r="T48" t="s">
        <v>453</v>
      </c>
      <c r="W48">
        <v>0</v>
      </c>
      <c r="X48" t="s">
        <v>458</v>
      </c>
      <c r="AA48" t="s">
        <v>523</v>
      </c>
      <c r="AC48" t="s">
        <v>594</v>
      </c>
      <c r="AD48">
        <v>0</v>
      </c>
      <c r="AG48">
        <v>0</v>
      </c>
      <c r="AH48">
        <v>1</v>
      </c>
      <c r="AI48">
        <v>2</v>
      </c>
      <c r="AJ48">
        <v>109.7</v>
      </c>
      <c r="AM48" t="s">
        <v>629</v>
      </c>
      <c r="AN48">
        <v>23400</v>
      </c>
      <c r="AT48">
        <v>1</v>
      </c>
      <c r="AU48" t="s">
        <v>58</v>
      </c>
      <c r="AV48" t="s">
        <v>50</v>
      </c>
    </row>
    <row r="49" spans="1:48">
      <c r="A49" s="1">
        <f>HYPERLINK("https://lsnyc.legalserver.org/matter/dynamic-profile/view/1873903","18-1873903")</f>
        <v>0</v>
      </c>
      <c r="B49" t="s">
        <v>50</v>
      </c>
      <c r="C49" t="s">
        <v>54</v>
      </c>
      <c r="D49" t="s">
        <v>95</v>
      </c>
      <c r="E49" t="s">
        <v>69</v>
      </c>
      <c r="F49" t="s">
        <v>174</v>
      </c>
      <c r="G49" t="s">
        <v>256</v>
      </c>
      <c r="H49" t="s">
        <v>340</v>
      </c>
      <c r="I49" t="s">
        <v>404</v>
      </c>
      <c r="J49">
        <v>11206</v>
      </c>
      <c r="K49" t="s">
        <v>422</v>
      </c>
      <c r="L49" t="s">
        <v>422</v>
      </c>
      <c r="P49" t="s">
        <v>448</v>
      </c>
      <c r="Q49" t="s">
        <v>450</v>
      </c>
      <c r="T49" t="s">
        <v>454</v>
      </c>
      <c r="W49">
        <v>0</v>
      </c>
      <c r="X49" t="s">
        <v>458</v>
      </c>
      <c r="Z49" t="s">
        <v>471</v>
      </c>
      <c r="AA49" t="s">
        <v>524</v>
      </c>
      <c r="AC49" t="s">
        <v>595</v>
      </c>
      <c r="AD49">
        <v>0</v>
      </c>
      <c r="AG49">
        <v>0</v>
      </c>
      <c r="AH49">
        <v>1</v>
      </c>
      <c r="AI49">
        <v>0</v>
      </c>
      <c r="AJ49">
        <v>113.67</v>
      </c>
      <c r="AM49" t="s">
        <v>629</v>
      </c>
      <c r="AN49">
        <v>13800</v>
      </c>
      <c r="AT49">
        <v>23.6</v>
      </c>
      <c r="AU49" t="s">
        <v>69</v>
      </c>
      <c r="AV49" t="s">
        <v>50</v>
      </c>
    </row>
    <row r="50" spans="1:48">
      <c r="A50" s="1">
        <f>HYPERLINK("https://lsnyc.legalserver.org/matter/dynamic-profile/view/1882782","18-1882782")</f>
        <v>0</v>
      </c>
      <c r="B50" t="s">
        <v>50</v>
      </c>
      <c r="C50" t="s">
        <v>54</v>
      </c>
      <c r="D50" t="s">
        <v>96</v>
      </c>
      <c r="E50" t="s">
        <v>126</v>
      </c>
      <c r="F50" t="s">
        <v>191</v>
      </c>
      <c r="G50" t="s">
        <v>265</v>
      </c>
      <c r="H50" t="s">
        <v>341</v>
      </c>
      <c r="I50" t="s">
        <v>393</v>
      </c>
      <c r="J50">
        <v>11217</v>
      </c>
      <c r="K50" t="s">
        <v>422</v>
      </c>
      <c r="L50" t="s">
        <v>422</v>
      </c>
      <c r="P50" t="s">
        <v>447</v>
      </c>
      <c r="Q50" t="s">
        <v>450</v>
      </c>
      <c r="T50" t="s">
        <v>453</v>
      </c>
      <c r="W50">
        <v>0</v>
      </c>
      <c r="X50" t="s">
        <v>458</v>
      </c>
      <c r="Z50" t="s">
        <v>470</v>
      </c>
      <c r="AA50" t="s">
        <v>525</v>
      </c>
      <c r="AD50">
        <v>0</v>
      </c>
      <c r="AG50">
        <v>0</v>
      </c>
      <c r="AH50">
        <v>3</v>
      </c>
      <c r="AI50">
        <v>0</v>
      </c>
      <c r="AJ50">
        <v>115.5</v>
      </c>
      <c r="AM50" t="s">
        <v>629</v>
      </c>
      <c r="AN50">
        <v>24000</v>
      </c>
      <c r="AO50" t="s">
        <v>635</v>
      </c>
      <c r="AT50">
        <v>1.7</v>
      </c>
      <c r="AU50" t="s">
        <v>126</v>
      </c>
      <c r="AV50" t="s">
        <v>50</v>
      </c>
    </row>
    <row r="51" spans="1:48">
      <c r="A51" s="1">
        <f>HYPERLINK("https://lsnyc.legalserver.org/matter/dynamic-profile/view/1883207","18-1883207")</f>
        <v>0</v>
      </c>
      <c r="B51" t="s">
        <v>50</v>
      </c>
      <c r="C51" t="s">
        <v>55</v>
      </c>
      <c r="D51" t="s">
        <v>97</v>
      </c>
      <c r="F51" t="s">
        <v>192</v>
      </c>
      <c r="G51" t="s">
        <v>266</v>
      </c>
      <c r="H51" t="s">
        <v>342</v>
      </c>
      <c r="I51" t="s">
        <v>405</v>
      </c>
      <c r="J51">
        <v>11226</v>
      </c>
      <c r="K51" t="s">
        <v>422</v>
      </c>
      <c r="L51" t="s">
        <v>422</v>
      </c>
      <c r="Q51" t="s">
        <v>450</v>
      </c>
      <c r="T51" t="s">
        <v>453</v>
      </c>
      <c r="W51">
        <v>0</v>
      </c>
      <c r="X51" t="s">
        <v>458</v>
      </c>
      <c r="AA51" t="s">
        <v>526</v>
      </c>
      <c r="AC51" t="s">
        <v>596</v>
      </c>
      <c r="AD51">
        <v>0</v>
      </c>
      <c r="AG51">
        <v>0</v>
      </c>
      <c r="AH51">
        <v>1</v>
      </c>
      <c r="AI51">
        <v>0</v>
      </c>
      <c r="AJ51">
        <v>116.84</v>
      </c>
      <c r="AM51" t="s">
        <v>629</v>
      </c>
      <c r="AN51">
        <v>14184</v>
      </c>
      <c r="AO51" t="s">
        <v>636</v>
      </c>
      <c r="AT51">
        <v>1.5</v>
      </c>
      <c r="AU51" t="s">
        <v>93</v>
      </c>
      <c r="AV51" t="s">
        <v>50</v>
      </c>
    </row>
    <row r="52" spans="1:48">
      <c r="A52" s="1">
        <f>HYPERLINK("https://lsnyc.legalserver.org/matter/dynamic-profile/view/1882216","18-1882216")</f>
        <v>0</v>
      </c>
      <c r="B52" t="s">
        <v>50</v>
      </c>
      <c r="C52" t="s">
        <v>54</v>
      </c>
      <c r="D52" t="s">
        <v>98</v>
      </c>
      <c r="E52" t="s">
        <v>134</v>
      </c>
      <c r="F52" t="s">
        <v>193</v>
      </c>
      <c r="G52" t="s">
        <v>267</v>
      </c>
      <c r="H52" t="s">
        <v>343</v>
      </c>
      <c r="I52" t="s">
        <v>406</v>
      </c>
      <c r="J52">
        <v>11226</v>
      </c>
      <c r="K52" t="s">
        <v>422</v>
      </c>
      <c r="L52" t="s">
        <v>422</v>
      </c>
      <c r="P52" t="s">
        <v>447</v>
      </c>
      <c r="Q52" t="s">
        <v>450</v>
      </c>
      <c r="T52" t="s">
        <v>453</v>
      </c>
      <c r="W52">
        <v>0</v>
      </c>
      <c r="X52" t="s">
        <v>458</v>
      </c>
      <c r="Z52" t="s">
        <v>470</v>
      </c>
      <c r="AA52" t="s">
        <v>527</v>
      </c>
      <c r="AC52" t="s">
        <v>597</v>
      </c>
      <c r="AD52">
        <v>59</v>
      </c>
      <c r="AG52">
        <v>0</v>
      </c>
      <c r="AH52">
        <v>2</v>
      </c>
      <c r="AI52">
        <v>0</v>
      </c>
      <c r="AJ52">
        <v>119.54</v>
      </c>
      <c r="AM52" t="s">
        <v>629</v>
      </c>
      <c r="AN52">
        <v>19676</v>
      </c>
      <c r="AT52">
        <v>1.7</v>
      </c>
      <c r="AU52" t="s">
        <v>134</v>
      </c>
      <c r="AV52" t="s">
        <v>50</v>
      </c>
    </row>
    <row r="53" spans="1:48">
      <c r="A53" s="1">
        <f>HYPERLINK("https://lsnyc.legalserver.org/matter/dynamic-profile/view/1877820","18-1877820")</f>
        <v>0</v>
      </c>
      <c r="B53" t="s">
        <v>50</v>
      </c>
      <c r="C53" t="s">
        <v>54</v>
      </c>
      <c r="D53" t="s">
        <v>99</v>
      </c>
      <c r="E53" t="s">
        <v>125</v>
      </c>
      <c r="F53" t="s">
        <v>194</v>
      </c>
      <c r="G53" t="s">
        <v>268</v>
      </c>
      <c r="H53" t="s">
        <v>344</v>
      </c>
      <c r="I53" t="s">
        <v>407</v>
      </c>
      <c r="J53">
        <v>11226</v>
      </c>
      <c r="K53" t="s">
        <v>422</v>
      </c>
      <c r="L53" t="s">
        <v>422</v>
      </c>
      <c r="P53" t="s">
        <v>448</v>
      </c>
      <c r="Q53" t="s">
        <v>450</v>
      </c>
      <c r="T53" t="s">
        <v>453</v>
      </c>
      <c r="W53">
        <v>0</v>
      </c>
      <c r="X53" t="s">
        <v>458</v>
      </c>
      <c r="Z53" t="s">
        <v>473</v>
      </c>
      <c r="AA53" t="s">
        <v>528</v>
      </c>
      <c r="AC53" t="s">
        <v>598</v>
      </c>
      <c r="AD53">
        <v>0</v>
      </c>
      <c r="AG53">
        <v>0</v>
      </c>
      <c r="AH53">
        <v>2</v>
      </c>
      <c r="AI53">
        <v>1</v>
      </c>
      <c r="AJ53">
        <v>138.59</v>
      </c>
      <c r="AM53" t="s">
        <v>629</v>
      </c>
      <c r="AN53">
        <v>28800</v>
      </c>
      <c r="AT53">
        <v>2.4</v>
      </c>
      <c r="AU53" t="s">
        <v>125</v>
      </c>
      <c r="AV53" t="s">
        <v>50</v>
      </c>
    </row>
    <row r="54" spans="1:48">
      <c r="A54" s="1">
        <f>HYPERLINK("https://lsnyc.legalserver.org/matter/dynamic-profile/view/1858821","18-1858821")</f>
        <v>0</v>
      </c>
      <c r="B54" t="s">
        <v>50</v>
      </c>
      <c r="C54" t="s">
        <v>54</v>
      </c>
      <c r="D54" t="s">
        <v>100</v>
      </c>
      <c r="E54" t="s">
        <v>123</v>
      </c>
      <c r="F54" t="s">
        <v>195</v>
      </c>
      <c r="G54" t="s">
        <v>269</v>
      </c>
      <c r="H54" t="s">
        <v>345</v>
      </c>
      <c r="I54" t="s">
        <v>408</v>
      </c>
      <c r="J54">
        <v>11228</v>
      </c>
      <c r="K54" t="s">
        <v>423</v>
      </c>
      <c r="L54" t="s">
        <v>422</v>
      </c>
      <c r="N54" t="s">
        <v>436</v>
      </c>
      <c r="O54" t="s">
        <v>441</v>
      </c>
      <c r="P54" t="s">
        <v>447</v>
      </c>
      <c r="Q54" t="s">
        <v>450</v>
      </c>
      <c r="T54" t="s">
        <v>453</v>
      </c>
      <c r="W54">
        <v>2350</v>
      </c>
      <c r="X54" t="s">
        <v>458</v>
      </c>
      <c r="Y54" t="s">
        <v>461</v>
      </c>
      <c r="Z54" t="s">
        <v>470</v>
      </c>
      <c r="AA54" t="s">
        <v>529</v>
      </c>
      <c r="AB54">
        <v>179854398</v>
      </c>
      <c r="AC54" t="s">
        <v>599</v>
      </c>
      <c r="AD54">
        <v>2</v>
      </c>
      <c r="AF54" t="s">
        <v>625</v>
      </c>
      <c r="AG54">
        <v>1</v>
      </c>
      <c r="AH54">
        <v>4</v>
      </c>
      <c r="AI54">
        <v>0</v>
      </c>
      <c r="AJ54">
        <v>148.91</v>
      </c>
      <c r="AM54" t="s">
        <v>629</v>
      </c>
      <c r="AN54">
        <v>37376</v>
      </c>
      <c r="AT54">
        <v>1.9</v>
      </c>
      <c r="AU54" t="s">
        <v>123</v>
      </c>
      <c r="AV54" t="s">
        <v>663</v>
      </c>
    </row>
    <row r="55" spans="1:48">
      <c r="A55" s="1">
        <f>HYPERLINK("https://lsnyc.legalserver.org/matter/dynamic-profile/view/1871036","18-1871036")</f>
        <v>0</v>
      </c>
      <c r="B55" t="s">
        <v>50</v>
      </c>
      <c r="C55" t="s">
        <v>54</v>
      </c>
      <c r="D55" t="s">
        <v>101</v>
      </c>
      <c r="E55" t="s">
        <v>134</v>
      </c>
      <c r="F55" t="s">
        <v>196</v>
      </c>
      <c r="G55" t="s">
        <v>270</v>
      </c>
      <c r="H55" t="s">
        <v>346</v>
      </c>
      <c r="I55" t="s">
        <v>409</v>
      </c>
      <c r="J55">
        <v>11230</v>
      </c>
      <c r="K55" t="s">
        <v>422</v>
      </c>
      <c r="L55" t="s">
        <v>422</v>
      </c>
      <c r="P55" t="s">
        <v>447</v>
      </c>
      <c r="Q55" t="s">
        <v>450</v>
      </c>
      <c r="T55" t="s">
        <v>453</v>
      </c>
      <c r="W55">
        <v>11337.6</v>
      </c>
      <c r="X55" t="s">
        <v>458</v>
      </c>
      <c r="Y55" t="s">
        <v>462</v>
      </c>
      <c r="Z55" t="s">
        <v>470</v>
      </c>
      <c r="AA55" t="s">
        <v>530</v>
      </c>
      <c r="AC55" t="s">
        <v>600</v>
      </c>
      <c r="AD55">
        <v>60</v>
      </c>
      <c r="AE55" t="s">
        <v>622</v>
      </c>
      <c r="AF55" t="s">
        <v>625</v>
      </c>
      <c r="AG55">
        <v>35</v>
      </c>
      <c r="AH55">
        <v>2</v>
      </c>
      <c r="AI55">
        <v>0</v>
      </c>
      <c r="AJ55">
        <v>153.1</v>
      </c>
      <c r="AM55" t="s">
        <v>629</v>
      </c>
      <c r="AN55">
        <v>25200</v>
      </c>
      <c r="AT55">
        <v>1.3</v>
      </c>
      <c r="AU55" t="s">
        <v>134</v>
      </c>
      <c r="AV55" t="s">
        <v>664</v>
      </c>
    </row>
    <row r="56" spans="1:48">
      <c r="A56" s="1">
        <f>HYPERLINK("https://lsnyc.legalserver.org/matter/dynamic-profile/view/1900064","19-1900064")</f>
        <v>0</v>
      </c>
      <c r="B56" t="s">
        <v>50</v>
      </c>
      <c r="C56" t="s">
        <v>54</v>
      </c>
      <c r="D56" t="s">
        <v>102</v>
      </c>
      <c r="E56" t="s">
        <v>114</v>
      </c>
      <c r="F56" t="s">
        <v>197</v>
      </c>
      <c r="G56" t="s">
        <v>271</v>
      </c>
      <c r="H56" t="s">
        <v>347</v>
      </c>
      <c r="I56" t="s">
        <v>402</v>
      </c>
      <c r="J56">
        <v>11203</v>
      </c>
      <c r="K56" t="s">
        <v>422</v>
      </c>
      <c r="L56" t="s">
        <v>422</v>
      </c>
      <c r="P56" t="s">
        <v>447</v>
      </c>
      <c r="Q56" t="s">
        <v>450</v>
      </c>
      <c r="T56" t="s">
        <v>453</v>
      </c>
      <c r="W56">
        <v>0</v>
      </c>
      <c r="X56" t="s">
        <v>458</v>
      </c>
      <c r="Z56" t="s">
        <v>470</v>
      </c>
      <c r="AA56" t="s">
        <v>531</v>
      </c>
      <c r="AD56">
        <v>0</v>
      </c>
      <c r="AG56">
        <v>0</v>
      </c>
      <c r="AH56">
        <v>3</v>
      </c>
      <c r="AI56">
        <v>1</v>
      </c>
      <c r="AJ56">
        <v>156.5</v>
      </c>
      <c r="AM56" t="s">
        <v>630</v>
      </c>
      <c r="AN56">
        <v>40300</v>
      </c>
      <c r="AT56">
        <v>0.8</v>
      </c>
      <c r="AU56" t="s">
        <v>114</v>
      </c>
      <c r="AV56" t="s">
        <v>50</v>
      </c>
    </row>
    <row r="57" spans="1:48">
      <c r="A57" s="1">
        <f>HYPERLINK("https://lsnyc.legalserver.org/matter/dynamic-profile/view/1875242","18-1875242")</f>
        <v>0</v>
      </c>
      <c r="B57" t="s">
        <v>50</v>
      </c>
      <c r="C57" t="s">
        <v>55</v>
      </c>
      <c r="D57" t="s">
        <v>103</v>
      </c>
      <c r="F57" t="s">
        <v>198</v>
      </c>
      <c r="G57" t="s">
        <v>272</v>
      </c>
      <c r="H57" t="s">
        <v>348</v>
      </c>
      <c r="I57" t="s">
        <v>410</v>
      </c>
      <c r="J57">
        <v>11226</v>
      </c>
      <c r="K57" t="s">
        <v>422</v>
      </c>
      <c r="L57" t="s">
        <v>422</v>
      </c>
      <c r="Q57" t="s">
        <v>450</v>
      </c>
      <c r="T57" t="s">
        <v>453</v>
      </c>
      <c r="W57">
        <v>0</v>
      </c>
      <c r="X57" t="s">
        <v>458</v>
      </c>
      <c r="AA57" t="s">
        <v>532</v>
      </c>
      <c r="AC57" t="s">
        <v>601</v>
      </c>
      <c r="AD57">
        <v>0</v>
      </c>
      <c r="AG57">
        <v>0</v>
      </c>
      <c r="AH57">
        <v>2</v>
      </c>
      <c r="AI57">
        <v>0</v>
      </c>
      <c r="AJ57">
        <v>157.96</v>
      </c>
      <c r="AM57" t="s">
        <v>629</v>
      </c>
      <c r="AN57">
        <v>26000</v>
      </c>
      <c r="AT57">
        <v>0</v>
      </c>
      <c r="AV57" t="s">
        <v>50</v>
      </c>
    </row>
    <row r="58" spans="1:48">
      <c r="A58" s="1">
        <f>HYPERLINK("https://lsnyc.legalserver.org/matter/dynamic-profile/view/1902595","19-1902595")</f>
        <v>0</v>
      </c>
      <c r="B58" t="s">
        <v>50</v>
      </c>
      <c r="C58" t="s">
        <v>54</v>
      </c>
      <c r="D58" t="s">
        <v>104</v>
      </c>
      <c r="E58" t="s">
        <v>137</v>
      </c>
      <c r="F58" t="s">
        <v>199</v>
      </c>
      <c r="G58" t="s">
        <v>273</v>
      </c>
      <c r="H58" t="s">
        <v>349</v>
      </c>
      <c r="I58" t="s">
        <v>392</v>
      </c>
      <c r="J58">
        <v>11230</v>
      </c>
      <c r="K58" t="s">
        <v>422</v>
      </c>
      <c r="L58" t="s">
        <v>422</v>
      </c>
      <c r="P58" t="s">
        <v>447</v>
      </c>
      <c r="Q58" t="s">
        <v>450</v>
      </c>
      <c r="T58" t="s">
        <v>453</v>
      </c>
      <c r="W58">
        <v>0</v>
      </c>
      <c r="X58" t="s">
        <v>458</v>
      </c>
      <c r="Z58" t="s">
        <v>470</v>
      </c>
      <c r="AA58" t="s">
        <v>533</v>
      </c>
      <c r="AC58" t="s">
        <v>602</v>
      </c>
      <c r="AD58">
        <v>0</v>
      </c>
      <c r="AG58">
        <v>0</v>
      </c>
      <c r="AH58">
        <v>2</v>
      </c>
      <c r="AI58">
        <v>2</v>
      </c>
      <c r="AJ58">
        <v>159.84</v>
      </c>
      <c r="AM58" t="s">
        <v>629</v>
      </c>
      <c r="AN58">
        <v>41160</v>
      </c>
      <c r="AT58">
        <v>1.2</v>
      </c>
      <c r="AU58" t="s">
        <v>137</v>
      </c>
      <c r="AV58" t="s">
        <v>50</v>
      </c>
    </row>
    <row r="59" spans="1:48">
      <c r="A59" s="1">
        <f>HYPERLINK("https://lsnyc.legalserver.org/matter/dynamic-profile/view/1882536","18-1882536")</f>
        <v>0</v>
      </c>
      <c r="B59" t="s">
        <v>50</v>
      </c>
      <c r="C59" t="s">
        <v>54</v>
      </c>
      <c r="D59" t="s">
        <v>105</v>
      </c>
      <c r="E59" t="s">
        <v>138</v>
      </c>
      <c r="F59" t="s">
        <v>200</v>
      </c>
      <c r="G59" t="s">
        <v>274</v>
      </c>
      <c r="H59" t="s">
        <v>350</v>
      </c>
      <c r="I59" t="s">
        <v>411</v>
      </c>
      <c r="J59">
        <v>11203</v>
      </c>
      <c r="K59" t="s">
        <v>422</v>
      </c>
      <c r="L59" t="s">
        <v>422</v>
      </c>
      <c r="P59" t="s">
        <v>447</v>
      </c>
      <c r="Q59" t="s">
        <v>450</v>
      </c>
      <c r="T59" t="s">
        <v>453</v>
      </c>
      <c r="W59">
        <v>0</v>
      </c>
      <c r="X59" t="s">
        <v>458</v>
      </c>
      <c r="Z59" t="s">
        <v>470</v>
      </c>
      <c r="AA59" t="s">
        <v>534</v>
      </c>
      <c r="AC59" t="s">
        <v>603</v>
      </c>
      <c r="AD59">
        <v>39</v>
      </c>
      <c r="AG59">
        <v>0</v>
      </c>
      <c r="AH59">
        <v>1</v>
      </c>
      <c r="AI59">
        <v>2</v>
      </c>
      <c r="AJ59">
        <v>173.24</v>
      </c>
      <c r="AM59" t="s">
        <v>629</v>
      </c>
      <c r="AN59">
        <v>36000</v>
      </c>
      <c r="AT59">
        <v>2.6</v>
      </c>
      <c r="AU59" t="s">
        <v>138</v>
      </c>
      <c r="AV59" t="s">
        <v>50</v>
      </c>
    </row>
    <row r="60" spans="1:48">
      <c r="A60" s="1">
        <f>HYPERLINK("https://lsnyc.legalserver.org/matter/dynamic-profile/view/1872568","18-1872568")</f>
        <v>0</v>
      </c>
      <c r="B60" t="s">
        <v>50</v>
      </c>
      <c r="C60" t="s">
        <v>54</v>
      </c>
      <c r="D60" t="s">
        <v>89</v>
      </c>
      <c r="E60" t="s">
        <v>131</v>
      </c>
      <c r="F60" t="s">
        <v>201</v>
      </c>
      <c r="G60" t="s">
        <v>275</v>
      </c>
      <c r="H60" t="s">
        <v>351</v>
      </c>
      <c r="I60" t="s">
        <v>412</v>
      </c>
      <c r="J60">
        <v>11226</v>
      </c>
      <c r="K60" t="s">
        <v>422</v>
      </c>
      <c r="L60" t="s">
        <v>422</v>
      </c>
      <c r="N60" t="s">
        <v>435</v>
      </c>
      <c r="O60" t="s">
        <v>443</v>
      </c>
      <c r="P60" t="s">
        <v>448</v>
      </c>
      <c r="Q60" t="s">
        <v>450</v>
      </c>
      <c r="R60" t="s">
        <v>423</v>
      </c>
      <c r="T60" t="s">
        <v>453</v>
      </c>
      <c r="W60">
        <v>1900</v>
      </c>
      <c r="X60" t="s">
        <v>458</v>
      </c>
      <c r="Y60" t="s">
        <v>463</v>
      </c>
      <c r="Z60" t="s">
        <v>473</v>
      </c>
      <c r="AA60" t="s">
        <v>535</v>
      </c>
      <c r="AC60" t="s">
        <v>604</v>
      </c>
      <c r="AD60">
        <v>0</v>
      </c>
      <c r="AE60" t="s">
        <v>622</v>
      </c>
      <c r="AF60" t="s">
        <v>625</v>
      </c>
      <c r="AG60">
        <v>-1</v>
      </c>
      <c r="AH60">
        <v>3</v>
      </c>
      <c r="AI60">
        <v>0</v>
      </c>
      <c r="AJ60">
        <v>182.87</v>
      </c>
      <c r="AM60" t="s">
        <v>629</v>
      </c>
      <c r="AN60">
        <v>38000</v>
      </c>
      <c r="AT60">
        <v>5.5</v>
      </c>
      <c r="AU60" t="s">
        <v>131</v>
      </c>
      <c r="AV60" t="s">
        <v>665</v>
      </c>
    </row>
    <row r="61" spans="1:48">
      <c r="A61" s="1">
        <f>HYPERLINK("https://lsnyc.legalserver.org/matter/dynamic-profile/view/1870178","18-1870178")</f>
        <v>0</v>
      </c>
      <c r="B61" t="s">
        <v>50</v>
      </c>
      <c r="C61" t="s">
        <v>54</v>
      </c>
      <c r="D61" t="s">
        <v>106</v>
      </c>
      <c r="E61" t="s">
        <v>123</v>
      </c>
      <c r="F61" t="s">
        <v>202</v>
      </c>
      <c r="G61" t="s">
        <v>276</v>
      </c>
      <c r="H61" t="s">
        <v>352</v>
      </c>
      <c r="I61" t="s">
        <v>382</v>
      </c>
      <c r="J61">
        <v>11235</v>
      </c>
      <c r="K61" t="s">
        <v>422</v>
      </c>
      <c r="L61" t="s">
        <v>422</v>
      </c>
      <c r="P61" t="s">
        <v>447</v>
      </c>
      <c r="Q61" t="s">
        <v>450</v>
      </c>
      <c r="T61" t="s">
        <v>453</v>
      </c>
      <c r="W61">
        <v>1200</v>
      </c>
      <c r="X61" t="s">
        <v>458</v>
      </c>
      <c r="Y61" t="s">
        <v>464</v>
      </c>
      <c r="Z61" t="s">
        <v>470</v>
      </c>
      <c r="AA61" t="s">
        <v>536</v>
      </c>
      <c r="AC61" t="s">
        <v>605</v>
      </c>
      <c r="AD61">
        <v>46</v>
      </c>
      <c r="AF61" t="s">
        <v>627</v>
      </c>
      <c r="AG61">
        <v>30</v>
      </c>
      <c r="AH61">
        <v>1</v>
      </c>
      <c r="AI61">
        <v>0</v>
      </c>
      <c r="AJ61">
        <v>199.67</v>
      </c>
      <c r="AM61" t="s">
        <v>629</v>
      </c>
      <c r="AN61">
        <v>24240</v>
      </c>
      <c r="AT61">
        <v>1.54</v>
      </c>
      <c r="AU61" t="s">
        <v>123</v>
      </c>
      <c r="AV61" t="s">
        <v>663</v>
      </c>
    </row>
    <row r="62" spans="1:48">
      <c r="A62" s="1">
        <f>HYPERLINK("https://lsnyc.legalserver.org/matter/dynamic-profile/view/1878036","18-1878036")</f>
        <v>0</v>
      </c>
      <c r="B62" t="s">
        <v>50</v>
      </c>
      <c r="C62" t="s">
        <v>54</v>
      </c>
      <c r="D62" t="s">
        <v>77</v>
      </c>
      <c r="E62" t="s">
        <v>133</v>
      </c>
      <c r="F62" t="s">
        <v>202</v>
      </c>
      <c r="G62" t="s">
        <v>277</v>
      </c>
      <c r="H62" t="s">
        <v>353</v>
      </c>
      <c r="I62" t="s">
        <v>381</v>
      </c>
      <c r="J62">
        <v>11226</v>
      </c>
      <c r="K62" t="s">
        <v>422</v>
      </c>
      <c r="L62" t="s">
        <v>422</v>
      </c>
      <c r="N62" t="s">
        <v>437</v>
      </c>
      <c r="P62" t="s">
        <v>449</v>
      </c>
      <c r="Q62" t="s">
        <v>450</v>
      </c>
      <c r="T62" t="s">
        <v>453</v>
      </c>
      <c r="W62">
        <v>0</v>
      </c>
      <c r="X62" t="s">
        <v>458</v>
      </c>
      <c r="Z62" t="s">
        <v>474</v>
      </c>
      <c r="AA62" t="s">
        <v>537</v>
      </c>
      <c r="AC62" t="s">
        <v>606</v>
      </c>
      <c r="AD62">
        <v>0</v>
      </c>
      <c r="AG62">
        <v>0</v>
      </c>
      <c r="AH62">
        <v>1</v>
      </c>
      <c r="AI62">
        <v>0</v>
      </c>
      <c r="AJ62">
        <v>214.17</v>
      </c>
      <c r="AM62" t="s">
        <v>629</v>
      </c>
      <c r="AN62">
        <v>26000</v>
      </c>
      <c r="AT62">
        <v>3</v>
      </c>
      <c r="AU62" t="s">
        <v>133</v>
      </c>
      <c r="AV62" t="s">
        <v>50</v>
      </c>
    </row>
    <row r="63" spans="1:48">
      <c r="A63" s="1">
        <f>HYPERLINK("https://lsnyc.legalserver.org/matter/dynamic-profile/view/1884967","18-1884967")</f>
        <v>0</v>
      </c>
      <c r="B63" t="s">
        <v>50</v>
      </c>
      <c r="C63" t="s">
        <v>54</v>
      </c>
      <c r="D63" t="s">
        <v>69</v>
      </c>
      <c r="E63" t="s">
        <v>134</v>
      </c>
      <c r="F63" t="s">
        <v>203</v>
      </c>
      <c r="G63" t="s">
        <v>278</v>
      </c>
      <c r="H63" t="s">
        <v>354</v>
      </c>
      <c r="J63">
        <v>11226</v>
      </c>
      <c r="K63" t="s">
        <v>422</v>
      </c>
      <c r="L63" t="s">
        <v>422</v>
      </c>
      <c r="M63" t="s">
        <v>425</v>
      </c>
      <c r="P63" t="s">
        <v>447</v>
      </c>
      <c r="Q63" t="s">
        <v>450</v>
      </c>
      <c r="T63" t="s">
        <v>453</v>
      </c>
      <c r="W63">
        <v>0</v>
      </c>
      <c r="X63" t="s">
        <v>458</v>
      </c>
      <c r="Z63" t="s">
        <v>470</v>
      </c>
      <c r="AA63" t="s">
        <v>538</v>
      </c>
      <c r="AD63">
        <v>0</v>
      </c>
      <c r="AG63">
        <v>0</v>
      </c>
      <c r="AH63">
        <v>2</v>
      </c>
      <c r="AI63">
        <v>1</v>
      </c>
      <c r="AJ63">
        <v>216.55</v>
      </c>
      <c r="AM63" t="s">
        <v>629</v>
      </c>
      <c r="AN63">
        <v>45000</v>
      </c>
      <c r="AO63" t="s">
        <v>637</v>
      </c>
      <c r="AT63">
        <v>0.9</v>
      </c>
      <c r="AU63" t="s">
        <v>134</v>
      </c>
      <c r="AV63" t="s">
        <v>50</v>
      </c>
    </row>
    <row r="64" spans="1:48">
      <c r="A64" s="1">
        <f>HYPERLINK("https://lsnyc.legalserver.org/matter/dynamic-profile/view/1882623","18-1882623")</f>
        <v>0</v>
      </c>
      <c r="B64" t="s">
        <v>51</v>
      </c>
      <c r="C64" t="s">
        <v>54</v>
      </c>
      <c r="D64" t="s">
        <v>107</v>
      </c>
      <c r="E64" t="s">
        <v>139</v>
      </c>
      <c r="F64" t="s">
        <v>204</v>
      </c>
      <c r="G64" t="s">
        <v>279</v>
      </c>
      <c r="H64" t="s">
        <v>355</v>
      </c>
      <c r="I64" t="s">
        <v>413</v>
      </c>
      <c r="J64">
        <v>11233</v>
      </c>
      <c r="K64" t="s">
        <v>423</v>
      </c>
      <c r="L64" t="s">
        <v>423</v>
      </c>
      <c r="M64" t="s">
        <v>426</v>
      </c>
      <c r="N64" t="s">
        <v>438</v>
      </c>
      <c r="P64" t="s">
        <v>448</v>
      </c>
      <c r="Q64" t="s">
        <v>450</v>
      </c>
      <c r="R64" t="s">
        <v>423</v>
      </c>
      <c r="T64" t="s">
        <v>453</v>
      </c>
      <c r="U64" t="s">
        <v>456</v>
      </c>
      <c r="W64">
        <v>50</v>
      </c>
      <c r="X64" t="s">
        <v>458</v>
      </c>
      <c r="Y64" t="s">
        <v>465</v>
      </c>
      <c r="Z64" t="s">
        <v>473</v>
      </c>
      <c r="AA64" t="s">
        <v>539</v>
      </c>
      <c r="AB64" t="s">
        <v>557</v>
      </c>
      <c r="AC64" t="s">
        <v>607</v>
      </c>
      <c r="AD64">
        <v>2</v>
      </c>
      <c r="AE64" t="s">
        <v>623</v>
      </c>
      <c r="AF64" t="s">
        <v>628</v>
      </c>
      <c r="AG64">
        <v>0</v>
      </c>
      <c r="AH64">
        <v>1</v>
      </c>
      <c r="AI64">
        <v>0</v>
      </c>
      <c r="AJ64">
        <v>128.5</v>
      </c>
      <c r="AM64" t="s">
        <v>629</v>
      </c>
      <c r="AN64">
        <v>15600</v>
      </c>
      <c r="AT64">
        <v>7.75</v>
      </c>
      <c r="AU64" t="s">
        <v>131</v>
      </c>
      <c r="AV64" t="s">
        <v>666</v>
      </c>
    </row>
    <row r="65" spans="1:48">
      <c r="A65" s="1">
        <f>HYPERLINK("https://lsnyc.legalserver.org/matter/dynamic-profile/view/1896149","19-1896149")</f>
        <v>0</v>
      </c>
      <c r="B65" t="s">
        <v>51</v>
      </c>
      <c r="C65" t="s">
        <v>55</v>
      </c>
      <c r="D65" t="s">
        <v>108</v>
      </c>
      <c r="F65" t="s">
        <v>205</v>
      </c>
      <c r="G65" t="s">
        <v>280</v>
      </c>
      <c r="H65" t="s">
        <v>356</v>
      </c>
      <c r="I65">
        <v>3</v>
      </c>
      <c r="J65">
        <v>11208</v>
      </c>
      <c r="K65" t="s">
        <v>424</v>
      </c>
      <c r="L65" t="s">
        <v>424</v>
      </c>
      <c r="N65" t="s">
        <v>434</v>
      </c>
      <c r="O65" t="s">
        <v>444</v>
      </c>
      <c r="Q65" t="s">
        <v>450</v>
      </c>
      <c r="R65" t="s">
        <v>423</v>
      </c>
      <c r="T65" t="s">
        <v>453</v>
      </c>
      <c r="W65">
        <v>1300</v>
      </c>
      <c r="X65" t="s">
        <v>458</v>
      </c>
      <c r="AA65" t="s">
        <v>540</v>
      </c>
      <c r="AC65" t="s">
        <v>608</v>
      </c>
      <c r="AD65">
        <v>0</v>
      </c>
      <c r="AG65">
        <v>9</v>
      </c>
      <c r="AH65">
        <v>2</v>
      </c>
      <c r="AI65">
        <v>0</v>
      </c>
      <c r="AJ65">
        <v>484.92</v>
      </c>
      <c r="AM65" t="s">
        <v>629</v>
      </c>
      <c r="AN65">
        <v>82000</v>
      </c>
      <c r="AO65" t="s">
        <v>638</v>
      </c>
      <c r="AT65">
        <v>1</v>
      </c>
      <c r="AU65" t="s">
        <v>652</v>
      </c>
      <c r="AV65" t="s">
        <v>660</v>
      </c>
    </row>
    <row r="66" spans="1:48">
      <c r="A66" s="1">
        <f>HYPERLINK("https://lsnyc.legalserver.org/matter/dynamic-profile/view/1837471","17-1837471")</f>
        <v>0</v>
      </c>
      <c r="B66" t="s">
        <v>52</v>
      </c>
      <c r="C66" t="s">
        <v>55</v>
      </c>
      <c r="D66" t="s">
        <v>109</v>
      </c>
      <c r="F66" t="s">
        <v>166</v>
      </c>
      <c r="G66" t="s">
        <v>281</v>
      </c>
      <c r="H66" t="s">
        <v>357</v>
      </c>
      <c r="I66" t="s">
        <v>414</v>
      </c>
      <c r="J66">
        <v>11209</v>
      </c>
      <c r="K66" t="s">
        <v>423</v>
      </c>
      <c r="L66" t="s">
        <v>422</v>
      </c>
      <c r="M66" t="s">
        <v>427</v>
      </c>
      <c r="N66" t="s">
        <v>436</v>
      </c>
      <c r="O66" t="s">
        <v>445</v>
      </c>
      <c r="Q66" t="s">
        <v>450</v>
      </c>
      <c r="T66" t="s">
        <v>453</v>
      </c>
      <c r="W66">
        <v>0</v>
      </c>
      <c r="X66" t="s">
        <v>458</v>
      </c>
      <c r="AA66" t="s">
        <v>541</v>
      </c>
      <c r="AC66" t="s">
        <v>609</v>
      </c>
      <c r="AD66">
        <v>0</v>
      </c>
      <c r="AG66">
        <v>0</v>
      </c>
      <c r="AH66">
        <v>1</v>
      </c>
      <c r="AI66">
        <v>0</v>
      </c>
      <c r="AJ66">
        <v>42.79</v>
      </c>
      <c r="AM66" t="s">
        <v>629</v>
      </c>
      <c r="AN66">
        <v>5160</v>
      </c>
      <c r="AT66">
        <v>46.9</v>
      </c>
      <c r="AU66" t="s">
        <v>653</v>
      </c>
      <c r="AV66" t="s">
        <v>667</v>
      </c>
    </row>
    <row r="67" spans="1:48">
      <c r="A67" s="1">
        <f>HYPERLINK("https://lsnyc.legalserver.org/matter/dynamic-profile/view/0831895","17-0831895")</f>
        <v>0</v>
      </c>
      <c r="B67" t="s">
        <v>52</v>
      </c>
      <c r="C67" t="s">
        <v>55</v>
      </c>
      <c r="D67" t="s">
        <v>110</v>
      </c>
      <c r="F67" t="s">
        <v>206</v>
      </c>
      <c r="G67" t="s">
        <v>282</v>
      </c>
      <c r="H67" t="s">
        <v>358</v>
      </c>
      <c r="I67" t="s">
        <v>375</v>
      </c>
      <c r="J67">
        <v>11238</v>
      </c>
      <c r="K67" t="s">
        <v>424</v>
      </c>
      <c r="L67" t="s">
        <v>424</v>
      </c>
      <c r="M67" t="s">
        <v>428</v>
      </c>
      <c r="N67" t="s">
        <v>437</v>
      </c>
      <c r="O67" t="s">
        <v>445</v>
      </c>
      <c r="Q67" t="s">
        <v>450</v>
      </c>
      <c r="R67" t="s">
        <v>423</v>
      </c>
      <c r="S67" t="s">
        <v>451</v>
      </c>
      <c r="T67" t="s">
        <v>453</v>
      </c>
      <c r="W67">
        <v>783</v>
      </c>
      <c r="X67" t="s">
        <v>458</v>
      </c>
      <c r="Y67" t="s">
        <v>466</v>
      </c>
      <c r="Z67" t="s">
        <v>475</v>
      </c>
      <c r="AA67" t="s">
        <v>542</v>
      </c>
      <c r="AB67" t="s">
        <v>423</v>
      </c>
      <c r="AD67">
        <v>19</v>
      </c>
      <c r="AE67" t="s">
        <v>622</v>
      </c>
      <c r="AF67" t="s">
        <v>625</v>
      </c>
      <c r="AG67">
        <v>27</v>
      </c>
      <c r="AH67">
        <v>1</v>
      </c>
      <c r="AI67">
        <v>0</v>
      </c>
      <c r="AJ67">
        <v>257.05</v>
      </c>
      <c r="AM67" t="s">
        <v>629</v>
      </c>
      <c r="AN67">
        <v>31000</v>
      </c>
      <c r="AT67">
        <v>85</v>
      </c>
      <c r="AU67" t="s">
        <v>654</v>
      </c>
      <c r="AV67" t="s">
        <v>667</v>
      </c>
    </row>
    <row r="68" spans="1:48">
      <c r="A68" s="1">
        <f>HYPERLINK("https://lsnyc.legalserver.org/matter/dynamic-profile/view/1862663","18-1862663")</f>
        <v>0</v>
      </c>
      <c r="B68" t="s">
        <v>52</v>
      </c>
      <c r="C68" t="s">
        <v>55</v>
      </c>
      <c r="D68" t="s">
        <v>111</v>
      </c>
      <c r="F68" t="s">
        <v>207</v>
      </c>
      <c r="G68" t="s">
        <v>283</v>
      </c>
      <c r="H68" t="s">
        <v>359</v>
      </c>
      <c r="I68" t="s">
        <v>415</v>
      </c>
      <c r="J68">
        <v>11226</v>
      </c>
      <c r="K68" t="s">
        <v>423</v>
      </c>
      <c r="L68" t="s">
        <v>422</v>
      </c>
      <c r="M68" t="s">
        <v>429</v>
      </c>
      <c r="N68" t="s">
        <v>439</v>
      </c>
      <c r="O68" t="s">
        <v>445</v>
      </c>
      <c r="Q68" t="s">
        <v>450</v>
      </c>
      <c r="R68" t="s">
        <v>424</v>
      </c>
      <c r="T68" t="s">
        <v>453</v>
      </c>
      <c r="W68">
        <v>0</v>
      </c>
      <c r="X68" t="s">
        <v>458</v>
      </c>
      <c r="Y68" t="s">
        <v>463</v>
      </c>
      <c r="AA68" t="s">
        <v>543</v>
      </c>
      <c r="AC68" t="s">
        <v>610</v>
      </c>
      <c r="AD68">
        <v>61</v>
      </c>
      <c r="AE68" t="s">
        <v>622</v>
      </c>
      <c r="AG68">
        <v>18</v>
      </c>
      <c r="AH68">
        <v>2</v>
      </c>
      <c r="AI68">
        <v>2</v>
      </c>
      <c r="AJ68">
        <v>278.88</v>
      </c>
      <c r="AM68" t="s">
        <v>629</v>
      </c>
      <c r="AN68">
        <v>70000</v>
      </c>
      <c r="AT68">
        <v>0</v>
      </c>
      <c r="AV68" t="s">
        <v>665</v>
      </c>
    </row>
    <row r="69" spans="1:48">
      <c r="A69" s="1">
        <f>HYPERLINK("https://lsnyc.legalserver.org/matter/dynamic-profile/view/1863740","18-1863740")</f>
        <v>0</v>
      </c>
      <c r="B69" t="s">
        <v>52</v>
      </c>
      <c r="C69" t="s">
        <v>55</v>
      </c>
      <c r="D69" t="s">
        <v>112</v>
      </c>
      <c r="F69" t="s">
        <v>208</v>
      </c>
      <c r="G69" t="s">
        <v>284</v>
      </c>
      <c r="H69" t="s">
        <v>360</v>
      </c>
      <c r="I69" t="s">
        <v>416</v>
      </c>
      <c r="J69">
        <v>11226</v>
      </c>
      <c r="K69" t="s">
        <v>422</v>
      </c>
      <c r="L69" t="s">
        <v>422</v>
      </c>
      <c r="M69" t="s">
        <v>430</v>
      </c>
      <c r="N69" t="s">
        <v>436</v>
      </c>
      <c r="O69" t="s">
        <v>445</v>
      </c>
      <c r="Q69" t="s">
        <v>450</v>
      </c>
      <c r="R69" t="s">
        <v>424</v>
      </c>
      <c r="S69" t="s">
        <v>452</v>
      </c>
      <c r="T69" t="s">
        <v>453</v>
      </c>
      <c r="W69">
        <v>1632</v>
      </c>
      <c r="X69" t="s">
        <v>458</v>
      </c>
      <c r="Y69" t="s">
        <v>460</v>
      </c>
      <c r="AA69" t="s">
        <v>544</v>
      </c>
      <c r="AC69" t="s">
        <v>611</v>
      </c>
      <c r="AD69">
        <v>6</v>
      </c>
      <c r="AG69">
        <v>2</v>
      </c>
      <c r="AH69">
        <v>2</v>
      </c>
      <c r="AI69">
        <v>0</v>
      </c>
      <c r="AJ69">
        <v>292.22</v>
      </c>
      <c r="AM69" t="s">
        <v>629</v>
      </c>
      <c r="AN69">
        <v>48100</v>
      </c>
      <c r="AT69">
        <v>3.6</v>
      </c>
      <c r="AU69" t="s">
        <v>655</v>
      </c>
      <c r="AV69" t="s">
        <v>668</v>
      </c>
    </row>
    <row r="70" spans="1:48">
      <c r="A70" s="1">
        <f>HYPERLINK("https://lsnyc.legalserver.org/matter/dynamic-profile/view/1871869","18-1871869")</f>
        <v>0</v>
      </c>
      <c r="B70" t="s">
        <v>52</v>
      </c>
      <c r="C70" t="s">
        <v>55</v>
      </c>
      <c r="D70" t="s">
        <v>113</v>
      </c>
      <c r="F70" t="s">
        <v>209</v>
      </c>
      <c r="G70" t="s">
        <v>285</v>
      </c>
      <c r="H70" t="s">
        <v>361</v>
      </c>
      <c r="I70" t="s">
        <v>417</v>
      </c>
      <c r="J70">
        <v>11225</v>
      </c>
      <c r="K70" t="s">
        <v>422</v>
      </c>
      <c r="L70" t="s">
        <v>422</v>
      </c>
      <c r="N70" t="s">
        <v>436</v>
      </c>
      <c r="O70" t="s">
        <v>444</v>
      </c>
      <c r="Q70" t="s">
        <v>450</v>
      </c>
      <c r="R70" t="s">
        <v>424</v>
      </c>
      <c r="S70" t="s">
        <v>452</v>
      </c>
      <c r="T70" t="s">
        <v>453</v>
      </c>
      <c r="W70">
        <v>1918</v>
      </c>
      <c r="X70" t="s">
        <v>458</v>
      </c>
      <c r="Y70" t="s">
        <v>463</v>
      </c>
      <c r="AA70" t="s">
        <v>545</v>
      </c>
      <c r="AD70">
        <v>51</v>
      </c>
      <c r="AE70" t="s">
        <v>622</v>
      </c>
      <c r="AG70">
        <v>6</v>
      </c>
      <c r="AH70">
        <v>2</v>
      </c>
      <c r="AI70">
        <v>0</v>
      </c>
      <c r="AJ70">
        <v>388.82</v>
      </c>
      <c r="AM70" t="s">
        <v>629</v>
      </c>
      <c r="AN70">
        <v>64000</v>
      </c>
      <c r="AT70">
        <v>0</v>
      </c>
      <c r="AV70" t="s">
        <v>665</v>
      </c>
    </row>
    <row r="71" spans="1:48">
      <c r="A71" s="1">
        <f>HYPERLINK("https://lsnyc.legalserver.org/matter/dynamic-profile/view/1900158","19-1900158")</f>
        <v>0</v>
      </c>
      <c r="B71" t="s">
        <v>53</v>
      </c>
      <c r="C71" t="s">
        <v>55</v>
      </c>
      <c r="D71" t="s">
        <v>114</v>
      </c>
      <c r="F71" t="s">
        <v>210</v>
      </c>
      <c r="G71" t="s">
        <v>286</v>
      </c>
      <c r="H71" t="s">
        <v>362</v>
      </c>
      <c r="I71" t="s">
        <v>418</v>
      </c>
      <c r="J71">
        <v>11238</v>
      </c>
      <c r="K71" t="s">
        <v>422</v>
      </c>
      <c r="L71" t="s">
        <v>422</v>
      </c>
      <c r="M71" t="s">
        <v>431</v>
      </c>
      <c r="N71" t="s">
        <v>440</v>
      </c>
      <c r="O71" t="s">
        <v>444</v>
      </c>
      <c r="Q71" t="s">
        <v>450</v>
      </c>
      <c r="R71" t="s">
        <v>424</v>
      </c>
      <c r="T71" t="s">
        <v>453</v>
      </c>
      <c r="U71" t="s">
        <v>457</v>
      </c>
      <c r="W71">
        <v>0</v>
      </c>
      <c r="X71" t="s">
        <v>458</v>
      </c>
      <c r="Y71" t="s">
        <v>467</v>
      </c>
      <c r="AA71" t="s">
        <v>546</v>
      </c>
      <c r="AC71" t="s">
        <v>612</v>
      </c>
      <c r="AD71">
        <v>29</v>
      </c>
      <c r="AE71" t="s">
        <v>622</v>
      </c>
      <c r="AG71">
        <v>0</v>
      </c>
      <c r="AH71">
        <v>1</v>
      </c>
      <c r="AI71">
        <v>0</v>
      </c>
      <c r="AJ71">
        <v>0</v>
      </c>
      <c r="AM71" t="s">
        <v>629</v>
      </c>
      <c r="AN71">
        <v>0</v>
      </c>
      <c r="AT71">
        <v>4</v>
      </c>
      <c r="AU71" t="s">
        <v>656</v>
      </c>
      <c r="AV71" t="s">
        <v>53</v>
      </c>
    </row>
    <row r="72" spans="1:48">
      <c r="A72" s="1">
        <f>HYPERLINK("https://lsnyc.legalserver.org/matter/dynamic-profile/view/1881858","18-1881858")</f>
        <v>0</v>
      </c>
      <c r="B72" t="s">
        <v>53</v>
      </c>
      <c r="C72" t="s">
        <v>54</v>
      </c>
      <c r="D72" t="s">
        <v>57</v>
      </c>
      <c r="E72" t="s">
        <v>140</v>
      </c>
      <c r="F72" t="s">
        <v>211</v>
      </c>
      <c r="G72" t="s">
        <v>287</v>
      </c>
      <c r="H72" t="s">
        <v>363</v>
      </c>
      <c r="I72">
        <v>3</v>
      </c>
      <c r="J72">
        <v>11238</v>
      </c>
      <c r="K72" t="s">
        <v>424</v>
      </c>
      <c r="L72" t="s">
        <v>422</v>
      </c>
      <c r="O72" t="s">
        <v>441</v>
      </c>
      <c r="P72" t="s">
        <v>447</v>
      </c>
      <c r="Q72" t="s">
        <v>450</v>
      </c>
      <c r="T72" t="s">
        <v>453</v>
      </c>
      <c r="W72">
        <v>1150</v>
      </c>
      <c r="X72" t="s">
        <v>458</v>
      </c>
      <c r="Z72" t="s">
        <v>476</v>
      </c>
      <c r="AA72" t="s">
        <v>547</v>
      </c>
      <c r="AD72">
        <v>0</v>
      </c>
      <c r="AF72" t="s">
        <v>625</v>
      </c>
      <c r="AG72">
        <v>19</v>
      </c>
      <c r="AH72">
        <v>1</v>
      </c>
      <c r="AI72">
        <v>0</v>
      </c>
      <c r="AJ72">
        <v>0</v>
      </c>
      <c r="AM72" t="s">
        <v>629</v>
      </c>
      <c r="AN72">
        <v>0</v>
      </c>
      <c r="AT72">
        <v>1.5</v>
      </c>
      <c r="AU72" t="s">
        <v>140</v>
      </c>
      <c r="AV72" t="s">
        <v>669</v>
      </c>
    </row>
    <row r="73" spans="1:48">
      <c r="A73" s="1">
        <f>HYPERLINK("https://lsnyc.legalserver.org/matter/dynamic-profile/view/1901563","19-1901563")</f>
        <v>0</v>
      </c>
      <c r="B73" t="s">
        <v>53</v>
      </c>
      <c r="C73" t="s">
        <v>55</v>
      </c>
      <c r="D73" t="s">
        <v>115</v>
      </c>
      <c r="F73" t="s">
        <v>212</v>
      </c>
      <c r="G73" t="s">
        <v>145</v>
      </c>
      <c r="H73" t="s">
        <v>364</v>
      </c>
      <c r="I73" t="s">
        <v>419</v>
      </c>
      <c r="J73">
        <v>11206</v>
      </c>
      <c r="K73" t="s">
        <v>422</v>
      </c>
      <c r="L73" t="s">
        <v>422</v>
      </c>
      <c r="O73" t="s">
        <v>442</v>
      </c>
      <c r="Q73" t="s">
        <v>450</v>
      </c>
      <c r="T73" t="s">
        <v>453</v>
      </c>
      <c r="W73">
        <v>0</v>
      </c>
      <c r="X73" t="s">
        <v>458</v>
      </c>
      <c r="AA73" t="s">
        <v>548</v>
      </c>
      <c r="AC73" t="s">
        <v>613</v>
      </c>
      <c r="AD73">
        <v>0</v>
      </c>
      <c r="AG73">
        <v>0</v>
      </c>
      <c r="AH73">
        <v>1</v>
      </c>
      <c r="AI73">
        <v>0</v>
      </c>
      <c r="AJ73">
        <v>14.78</v>
      </c>
      <c r="AM73" t="s">
        <v>629</v>
      </c>
      <c r="AN73">
        <v>1846</v>
      </c>
      <c r="AT73">
        <v>0.1</v>
      </c>
      <c r="AU73" t="s">
        <v>115</v>
      </c>
      <c r="AV73" t="s">
        <v>50</v>
      </c>
    </row>
    <row r="74" spans="1:48">
      <c r="A74" s="1">
        <f>HYPERLINK("https://lsnyc.legalserver.org/matter/dynamic-profile/view/1859989","18-1859989")</f>
        <v>0</v>
      </c>
      <c r="B74" t="s">
        <v>53</v>
      </c>
      <c r="C74" t="s">
        <v>54</v>
      </c>
      <c r="D74" t="s">
        <v>116</v>
      </c>
      <c r="E74" t="s">
        <v>141</v>
      </c>
      <c r="F74" t="s">
        <v>213</v>
      </c>
      <c r="G74" t="s">
        <v>288</v>
      </c>
      <c r="H74" t="s">
        <v>363</v>
      </c>
      <c r="I74">
        <v>2</v>
      </c>
      <c r="J74">
        <v>11238</v>
      </c>
      <c r="K74" t="s">
        <v>424</v>
      </c>
      <c r="L74" t="s">
        <v>422</v>
      </c>
      <c r="M74" t="s">
        <v>432</v>
      </c>
      <c r="N74" t="s">
        <v>435</v>
      </c>
      <c r="O74" t="s">
        <v>442</v>
      </c>
      <c r="P74" t="s">
        <v>448</v>
      </c>
      <c r="Q74" t="s">
        <v>450</v>
      </c>
      <c r="R74" t="s">
        <v>423</v>
      </c>
      <c r="T74" t="s">
        <v>453</v>
      </c>
      <c r="W74">
        <v>927</v>
      </c>
      <c r="X74" t="s">
        <v>458</v>
      </c>
      <c r="Y74" t="s">
        <v>468</v>
      </c>
      <c r="Z74" t="s">
        <v>473</v>
      </c>
      <c r="AA74" t="s">
        <v>549</v>
      </c>
      <c r="AC74" t="s">
        <v>614</v>
      </c>
      <c r="AD74">
        <v>41</v>
      </c>
      <c r="AE74" t="s">
        <v>622</v>
      </c>
      <c r="AF74" t="s">
        <v>625</v>
      </c>
      <c r="AG74">
        <v>4</v>
      </c>
      <c r="AH74">
        <v>2</v>
      </c>
      <c r="AI74">
        <v>0</v>
      </c>
      <c r="AJ74">
        <v>81.13</v>
      </c>
      <c r="AM74" t="s">
        <v>629</v>
      </c>
      <c r="AN74">
        <v>13176</v>
      </c>
      <c r="AO74" t="s">
        <v>639</v>
      </c>
      <c r="AT74">
        <v>11.35</v>
      </c>
      <c r="AU74" t="s">
        <v>657</v>
      </c>
      <c r="AV74" t="s">
        <v>665</v>
      </c>
    </row>
    <row r="75" spans="1:48">
      <c r="A75" s="1">
        <f>HYPERLINK("https://lsnyc.legalserver.org/matter/dynamic-profile/view/1874458","18-1874458")</f>
        <v>0</v>
      </c>
      <c r="B75" t="s">
        <v>53</v>
      </c>
      <c r="C75" t="s">
        <v>55</v>
      </c>
      <c r="D75" t="s">
        <v>117</v>
      </c>
      <c r="F75" t="s">
        <v>214</v>
      </c>
      <c r="G75" t="s">
        <v>289</v>
      </c>
      <c r="H75" t="s">
        <v>365</v>
      </c>
      <c r="I75" t="s">
        <v>394</v>
      </c>
      <c r="J75">
        <v>11226</v>
      </c>
      <c r="K75" t="s">
        <v>422</v>
      </c>
      <c r="L75" t="s">
        <v>422</v>
      </c>
      <c r="N75" t="s">
        <v>440</v>
      </c>
      <c r="O75" t="s">
        <v>446</v>
      </c>
      <c r="Q75" t="s">
        <v>450</v>
      </c>
      <c r="R75" t="s">
        <v>423</v>
      </c>
      <c r="T75" t="s">
        <v>453</v>
      </c>
      <c r="W75">
        <v>859.1900000000001</v>
      </c>
      <c r="X75" t="s">
        <v>458</v>
      </c>
      <c r="Y75" t="s">
        <v>469</v>
      </c>
      <c r="AA75" t="s">
        <v>550</v>
      </c>
      <c r="AC75" t="s">
        <v>615</v>
      </c>
      <c r="AD75">
        <v>0</v>
      </c>
      <c r="AE75" t="s">
        <v>622</v>
      </c>
      <c r="AF75" t="s">
        <v>625</v>
      </c>
      <c r="AG75">
        <v>10</v>
      </c>
      <c r="AH75">
        <v>2</v>
      </c>
      <c r="AI75">
        <v>2</v>
      </c>
      <c r="AJ75">
        <v>111.55</v>
      </c>
      <c r="AM75" t="s">
        <v>629</v>
      </c>
      <c r="AN75">
        <v>28000</v>
      </c>
      <c r="AT75">
        <v>0.6</v>
      </c>
      <c r="AU75" t="s">
        <v>117</v>
      </c>
      <c r="AV75" t="s">
        <v>665</v>
      </c>
    </row>
    <row r="76" spans="1:48">
      <c r="A76" s="1">
        <f>HYPERLINK("https://lsnyc.legalserver.org/matter/dynamic-profile/view/1867777","18-1867777")</f>
        <v>0</v>
      </c>
      <c r="B76" t="s">
        <v>53</v>
      </c>
      <c r="C76" t="s">
        <v>54</v>
      </c>
      <c r="D76" t="s">
        <v>118</v>
      </c>
      <c r="E76" t="s">
        <v>142</v>
      </c>
      <c r="F76" t="s">
        <v>215</v>
      </c>
      <c r="G76" t="s">
        <v>290</v>
      </c>
      <c r="H76" t="s">
        <v>366</v>
      </c>
      <c r="I76" t="s">
        <v>420</v>
      </c>
      <c r="J76">
        <v>11238</v>
      </c>
      <c r="K76" t="s">
        <v>423</v>
      </c>
      <c r="L76" t="s">
        <v>422</v>
      </c>
      <c r="N76" t="s">
        <v>434</v>
      </c>
      <c r="O76" t="s">
        <v>443</v>
      </c>
      <c r="P76" t="s">
        <v>447</v>
      </c>
      <c r="Q76" t="s">
        <v>450</v>
      </c>
      <c r="R76" t="s">
        <v>423</v>
      </c>
      <c r="T76" t="s">
        <v>453</v>
      </c>
      <c r="W76">
        <v>935.79</v>
      </c>
      <c r="X76" t="s">
        <v>458</v>
      </c>
      <c r="Y76" t="s">
        <v>468</v>
      </c>
      <c r="Z76" t="s">
        <v>470</v>
      </c>
      <c r="AA76" t="s">
        <v>551</v>
      </c>
      <c r="AC76" t="s">
        <v>616</v>
      </c>
      <c r="AD76">
        <v>39</v>
      </c>
      <c r="AE76" t="s">
        <v>622</v>
      </c>
      <c r="AF76" t="s">
        <v>625</v>
      </c>
      <c r="AG76">
        <v>8</v>
      </c>
      <c r="AH76">
        <v>1</v>
      </c>
      <c r="AI76">
        <v>0</v>
      </c>
      <c r="AJ76">
        <v>115.32</v>
      </c>
      <c r="AM76" t="s">
        <v>629</v>
      </c>
      <c r="AN76">
        <v>14000</v>
      </c>
      <c r="AT76">
        <v>11.5</v>
      </c>
      <c r="AU76" t="s">
        <v>94</v>
      </c>
      <c r="AV76" t="s">
        <v>665</v>
      </c>
    </row>
    <row r="77" spans="1:48">
      <c r="A77" s="1">
        <f>HYPERLINK("https://lsnyc.legalserver.org/matter/dynamic-profile/view/1871956","18-1871956")</f>
        <v>0</v>
      </c>
      <c r="B77" t="s">
        <v>53</v>
      </c>
      <c r="C77" t="s">
        <v>54</v>
      </c>
      <c r="D77" t="s">
        <v>119</v>
      </c>
      <c r="E77" t="s">
        <v>143</v>
      </c>
      <c r="F77" t="s">
        <v>216</v>
      </c>
      <c r="G77" t="s">
        <v>291</v>
      </c>
      <c r="H77" t="s">
        <v>367</v>
      </c>
      <c r="J77">
        <v>11226</v>
      </c>
      <c r="K77" t="s">
        <v>423</v>
      </c>
      <c r="L77" t="s">
        <v>423</v>
      </c>
      <c r="N77" t="s">
        <v>434</v>
      </c>
      <c r="O77" t="s">
        <v>441</v>
      </c>
      <c r="P77" t="s">
        <v>447</v>
      </c>
      <c r="Q77" t="s">
        <v>450</v>
      </c>
      <c r="R77" t="s">
        <v>423</v>
      </c>
      <c r="T77" t="s">
        <v>453</v>
      </c>
      <c r="W77">
        <v>900</v>
      </c>
      <c r="X77" t="s">
        <v>458</v>
      </c>
      <c r="Y77" t="s">
        <v>463</v>
      </c>
      <c r="Z77" t="s">
        <v>470</v>
      </c>
      <c r="AA77" t="s">
        <v>552</v>
      </c>
      <c r="AC77" t="s">
        <v>617</v>
      </c>
      <c r="AD77">
        <v>11</v>
      </c>
      <c r="AE77" t="s">
        <v>623</v>
      </c>
      <c r="AF77" t="s">
        <v>625</v>
      </c>
      <c r="AG77">
        <v>3</v>
      </c>
      <c r="AH77">
        <v>1</v>
      </c>
      <c r="AI77">
        <v>0</v>
      </c>
      <c r="AJ77">
        <v>146.29</v>
      </c>
      <c r="AM77" t="s">
        <v>629</v>
      </c>
      <c r="AN77">
        <v>17760</v>
      </c>
      <c r="AT77">
        <v>1</v>
      </c>
      <c r="AU77" t="s">
        <v>658</v>
      </c>
      <c r="AV77" t="s">
        <v>665</v>
      </c>
    </row>
    <row r="78" spans="1:48">
      <c r="A78" s="1">
        <f>HYPERLINK("https://lsnyc.legalserver.org/matter/dynamic-profile/view/1870401","18-1870401")</f>
        <v>0</v>
      </c>
      <c r="B78" t="s">
        <v>53</v>
      </c>
      <c r="C78" t="s">
        <v>54</v>
      </c>
      <c r="D78" t="s">
        <v>65</v>
      </c>
      <c r="E78" t="s">
        <v>144</v>
      </c>
      <c r="F78" t="s">
        <v>217</v>
      </c>
      <c r="G78" t="s">
        <v>292</v>
      </c>
      <c r="H78" t="s">
        <v>368</v>
      </c>
      <c r="I78">
        <v>2</v>
      </c>
      <c r="J78">
        <v>11207</v>
      </c>
      <c r="K78" t="s">
        <v>424</v>
      </c>
      <c r="L78" t="s">
        <v>422</v>
      </c>
      <c r="M78" t="s">
        <v>433</v>
      </c>
      <c r="N78" t="s">
        <v>434</v>
      </c>
      <c r="O78" t="s">
        <v>443</v>
      </c>
      <c r="P78" t="s">
        <v>448</v>
      </c>
      <c r="Q78" t="s">
        <v>450</v>
      </c>
      <c r="R78" t="s">
        <v>423</v>
      </c>
      <c r="T78" t="s">
        <v>453</v>
      </c>
      <c r="W78">
        <v>950</v>
      </c>
      <c r="X78" t="s">
        <v>458</v>
      </c>
      <c r="Y78" t="s">
        <v>463</v>
      </c>
      <c r="Z78" t="s">
        <v>473</v>
      </c>
      <c r="AA78" t="s">
        <v>542</v>
      </c>
      <c r="AB78" t="s">
        <v>558</v>
      </c>
      <c r="AC78" t="s">
        <v>618</v>
      </c>
      <c r="AD78">
        <v>2</v>
      </c>
      <c r="AE78" t="s">
        <v>623</v>
      </c>
      <c r="AF78" t="s">
        <v>625</v>
      </c>
      <c r="AG78">
        <v>16</v>
      </c>
      <c r="AH78">
        <v>3</v>
      </c>
      <c r="AI78">
        <v>0</v>
      </c>
      <c r="AJ78">
        <v>153.99</v>
      </c>
      <c r="AM78" t="s">
        <v>629</v>
      </c>
      <c r="AN78">
        <v>32000</v>
      </c>
      <c r="AO78" t="s">
        <v>640</v>
      </c>
      <c r="AT78">
        <v>1.5</v>
      </c>
      <c r="AU78" t="s">
        <v>101</v>
      </c>
      <c r="AV78" t="s">
        <v>665</v>
      </c>
    </row>
    <row r="79" spans="1:48">
      <c r="A79" s="1">
        <f>HYPERLINK("https://lsnyc.legalserver.org/matter/dynamic-profile/view/1901561","19-1901561")</f>
        <v>0</v>
      </c>
      <c r="B79" t="s">
        <v>53</v>
      </c>
      <c r="C79" t="s">
        <v>55</v>
      </c>
      <c r="D79" t="s">
        <v>115</v>
      </c>
      <c r="F79" t="s">
        <v>218</v>
      </c>
      <c r="G79" t="s">
        <v>293</v>
      </c>
      <c r="H79" t="s">
        <v>369</v>
      </c>
      <c r="J79">
        <v>11238</v>
      </c>
      <c r="K79" t="s">
        <v>422</v>
      </c>
      <c r="L79" t="s">
        <v>422</v>
      </c>
      <c r="Q79" t="s">
        <v>450</v>
      </c>
      <c r="T79" t="s">
        <v>453</v>
      </c>
      <c r="W79">
        <v>0</v>
      </c>
      <c r="X79" t="s">
        <v>458</v>
      </c>
      <c r="AA79" t="s">
        <v>553</v>
      </c>
      <c r="AD79">
        <v>0</v>
      </c>
      <c r="AG79">
        <v>0</v>
      </c>
      <c r="AH79">
        <v>2</v>
      </c>
      <c r="AI79">
        <v>1</v>
      </c>
      <c r="AJ79">
        <v>187.53</v>
      </c>
      <c r="AM79" t="s">
        <v>629</v>
      </c>
      <c r="AN79">
        <v>40000</v>
      </c>
      <c r="AT79">
        <v>2.2</v>
      </c>
      <c r="AU79" t="s">
        <v>115</v>
      </c>
      <c r="AV79" t="s">
        <v>50</v>
      </c>
    </row>
    <row r="80" spans="1:48">
      <c r="A80" s="1">
        <f>HYPERLINK("https://lsnyc.legalserver.org/matter/dynamic-profile/view/1901828","19-1901828")</f>
        <v>0</v>
      </c>
      <c r="B80" t="s">
        <v>53</v>
      </c>
      <c r="C80" t="s">
        <v>55</v>
      </c>
      <c r="D80" t="s">
        <v>120</v>
      </c>
      <c r="F80" t="s">
        <v>219</v>
      </c>
      <c r="G80" t="s">
        <v>294</v>
      </c>
      <c r="H80" t="s">
        <v>370</v>
      </c>
      <c r="I80" t="s">
        <v>421</v>
      </c>
      <c r="J80">
        <v>11225</v>
      </c>
      <c r="K80" t="s">
        <v>422</v>
      </c>
      <c r="L80" t="s">
        <v>422</v>
      </c>
      <c r="Q80" t="s">
        <v>450</v>
      </c>
      <c r="T80" t="s">
        <v>453</v>
      </c>
      <c r="W80">
        <v>0</v>
      </c>
      <c r="X80" t="s">
        <v>458</v>
      </c>
      <c r="AA80" t="s">
        <v>554</v>
      </c>
      <c r="AC80" t="s">
        <v>619</v>
      </c>
      <c r="AD80">
        <v>0</v>
      </c>
      <c r="AG80">
        <v>0</v>
      </c>
      <c r="AH80">
        <v>2</v>
      </c>
      <c r="AI80">
        <v>0</v>
      </c>
      <c r="AJ80">
        <v>214.67</v>
      </c>
      <c r="AM80" t="s">
        <v>629</v>
      </c>
      <c r="AN80">
        <v>36300</v>
      </c>
      <c r="AT80">
        <v>3.7</v>
      </c>
      <c r="AU80" t="s">
        <v>104</v>
      </c>
      <c r="AV80" t="s">
        <v>50</v>
      </c>
    </row>
    <row r="81" spans="1:48">
      <c r="A81" s="1">
        <f>HYPERLINK("https://lsnyc.legalserver.org/matter/dynamic-profile/view/1883160","18-1883160")</f>
        <v>0</v>
      </c>
      <c r="B81" t="s">
        <v>53</v>
      </c>
      <c r="C81" t="s">
        <v>55</v>
      </c>
      <c r="D81" t="s">
        <v>97</v>
      </c>
      <c r="F81" t="s">
        <v>220</v>
      </c>
      <c r="G81" t="s">
        <v>295</v>
      </c>
      <c r="H81" t="s">
        <v>363</v>
      </c>
      <c r="I81">
        <v>10</v>
      </c>
      <c r="J81">
        <v>11238</v>
      </c>
      <c r="K81" t="s">
        <v>422</v>
      </c>
      <c r="L81" t="s">
        <v>422</v>
      </c>
      <c r="N81" t="s">
        <v>437</v>
      </c>
      <c r="O81" t="s">
        <v>444</v>
      </c>
      <c r="Q81" t="s">
        <v>450</v>
      </c>
      <c r="T81" t="s">
        <v>453</v>
      </c>
      <c r="W81">
        <v>0</v>
      </c>
      <c r="X81" t="s">
        <v>458</v>
      </c>
      <c r="AA81" t="s">
        <v>555</v>
      </c>
      <c r="AC81" t="s">
        <v>620</v>
      </c>
      <c r="AD81">
        <v>0</v>
      </c>
      <c r="AG81">
        <v>0</v>
      </c>
      <c r="AH81">
        <v>2</v>
      </c>
      <c r="AI81">
        <v>0</v>
      </c>
      <c r="AJ81">
        <v>236.94</v>
      </c>
      <c r="AM81" t="s">
        <v>629</v>
      </c>
      <c r="AN81">
        <v>39000</v>
      </c>
      <c r="AT81">
        <v>4.5</v>
      </c>
      <c r="AU81" t="s">
        <v>659</v>
      </c>
      <c r="AV81" t="s">
        <v>53</v>
      </c>
    </row>
    <row r="82" spans="1:48">
      <c r="A82" s="1">
        <f>HYPERLINK("https://lsnyc.legalserver.org/matter/dynamic-profile/view/1884563","18-1884563")</f>
        <v>0</v>
      </c>
      <c r="B82" t="s">
        <v>53</v>
      </c>
      <c r="C82" t="s">
        <v>55</v>
      </c>
      <c r="D82" t="s">
        <v>121</v>
      </c>
      <c r="F82" t="s">
        <v>220</v>
      </c>
      <c r="G82" t="s">
        <v>295</v>
      </c>
      <c r="H82" t="s">
        <v>363</v>
      </c>
      <c r="I82">
        <v>10</v>
      </c>
      <c r="J82">
        <v>11238</v>
      </c>
      <c r="K82" t="s">
        <v>422</v>
      </c>
      <c r="L82" t="s">
        <v>422</v>
      </c>
      <c r="O82" t="s">
        <v>444</v>
      </c>
      <c r="Q82" t="s">
        <v>450</v>
      </c>
      <c r="T82" t="s">
        <v>453</v>
      </c>
      <c r="W82">
        <v>0</v>
      </c>
      <c r="X82" t="s">
        <v>458</v>
      </c>
      <c r="AA82" t="s">
        <v>555</v>
      </c>
      <c r="AD82">
        <v>0</v>
      </c>
      <c r="AG82">
        <v>0</v>
      </c>
      <c r="AH82">
        <v>2</v>
      </c>
      <c r="AI82">
        <v>0</v>
      </c>
      <c r="AJ82">
        <v>1439.85</v>
      </c>
      <c r="AM82" t="s">
        <v>629</v>
      </c>
      <c r="AN82">
        <v>237000</v>
      </c>
      <c r="AT82">
        <v>1</v>
      </c>
      <c r="AU82" t="s">
        <v>656</v>
      </c>
      <c r="AV82" t="s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307"/>
  <sheetViews>
    <sheetView workbookViewId="0"/>
  </sheetViews>
  <sheetFormatPr defaultRowHeight="15"/>
  <cols>
    <col min="1" max="1" width="20.7109375" style="1" customWidth="1"/>
  </cols>
  <sheetData>
    <row r="1" spans="1:4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spans="1:49">
      <c r="A2" s="1">
        <f>HYPERLINK("https://lsnyc.legalserver.org/matter/dynamic-profile/view/1887422","19-1887422")</f>
        <v>0</v>
      </c>
      <c r="B2" t="s">
        <v>672</v>
      </c>
      <c r="C2" t="s">
        <v>55</v>
      </c>
      <c r="D2" t="s">
        <v>698</v>
      </c>
      <c r="F2" t="s">
        <v>848</v>
      </c>
      <c r="G2" t="s">
        <v>1090</v>
      </c>
      <c r="H2" t="s">
        <v>1326</v>
      </c>
      <c r="I2">
        <v>2</v>
      </c>
      <c r="J2">
        <v>11233</v>
      </c>
      <c r="K2" t="s">
        <v>424</v>
      </c>
      <c r="L2" t="s">
        <v>424</v>
      </c>
      <c r="M2" t="s">
        <v>1691</v>
      </c>
      <c r="N2" t="s">
        <v>434</v>
      </c>
      <c r="O2" t="s">
        <v>443</v>
      </c>
      <c r="Q2" t="s">
        <v>450</v>
      </c>
      <c r="R2" t="s">
        <v>423</v>
      </c>
      <c r="T2" t="s">
        <v>453</v>
      </c>
      <c r="W2">
        <v>0</v>
      </c>
      <c r="X2" t="s">
        <v>458</v>
      </c>
      <c r="AA2" t="s">
        <v>1851</v>
      </c>
      <c r="AC2" t="s">
        <v>2171</v>
      </c>
      <c r="AD2">
        <v>2</v>
      </c>
      <c r="AE2" t="s">
        <v>623</v>
      </c>
      <c r="AF2" t="s">
        <v>625</v>
      </c>
      <c r="AG2">
        <v>6</v>
      </c>
      <c r="AH2">
        <v>4</v>
      </c>
      <c r="AI2">
        <v>0</v>
      </c>
      <c r="AJ2">
        <v>0</v>
      </c>
      <c r="AM2" t="s">
        <v>629</v>
      </c>
      <c r="AN2">
        <v>0</v>
      </c>
      <c r="AT2">
        <v>0</v>
      </c>
      <c r="AV2" t="s">
        <v>674</v>
      </c>
    </row>
    <row r="3" spans="1:49">
      <c r="A3" s="1">
        <f>HYPERLINK("https://lsnyc.legalserver.org/matter/dynamic-profile/view/1902656","19-1902656")</f>
        <v>0</v>
      </c>
      <c r="B3" t="s">
        <v>672</v>
      </c>
      <c r="C3" t="s">
        <v>55</v>
      </c>
      <c r="D3" t="s">
        <v>699</v>
      </c>
      <c r="F3" t="s">
        <v>849</v>
      </c>
      <c r="G3" t="s">
        <v>1091</v>
      </c>
      <c r="H3" t="s">
        <v>1327</v>
      </c>
      <c r="I3" t="s">
        <v>1585</v>
      </c>
      <c r="J3">
        <v>11233</v>
      </c>
      <c r="K3" t="s">
        <v>424</v>
      </c>
      <c r="L3" t="s">
        <v>422</v>
      </c>
      <c r="M3" t="s">
        <v>625</v>
      </c>
      <c r="N3" t="s">
        <v>435</v>
      </c>
      <c r="Q3" t="s">
        <v>450</v>
      </c>
      <c r="R3" t="s">
        <v>423</v>
      </c>
      <c r="T3" t="s">
        <v>453</v>
      </c>
      <c r="U3" t="s">
        <v>457</v>
      </c>
      <c r="W3">
        <v>333</v>
      </c>
      <c r="X3" t="s">
        <v>458</v>
      </c>
      <c r="Y3" t="s">
        <v>1835</v>
      </c>
      <c r="AA3" t="s">
        <v>1852</v>
      </c>
      <c r="AB3" t="s">
        <v>1810</v>
      </c>
      <c r="AC3" t="s">
        <v>2172</v>
      </c>
      <c r="AD3">
        <v>6</v>
      </c>
      <c r="AE3" t="s">
        <v>623</v>
      </c>
      <c r="AF3" t="s">
        <v>626</v>
      </c>
      <c r="AG3">
        <v>10</v>
      </c>
      <c r="AH3">
        <v>1</v>
      </c>
      <c r="AI3">
        <v>0</v>
      </c>
      <c r="AJ3">
        <v>0</v>
      </c>
      <c r="AM3" t="s">
        <v>629</v>
      </c>
      <c r="AN3">
        <v>0</v>
      </c>
      <c r="AT3">
        <v>5</v>
      </c>
      <c r="AU3" t="s">
        <v>719</v>
      </c>
      <c r="AV3" t="s">
        <v>666</v>
      </c>
      <c r="AW3" t="s">
        <v>671</v>
      </c>
    </row>
    <row r="4" spans="1:49">
      <c r="A4" s="1">
        <f>HYPERLINK("https://lsnyc.legalserver.org/matter/dynamic-profile/view/1894931","19-1894931")</f>
        <v>0</v>
      </c>
      <c r="B4" t="s">
        <v>672</v>
      </c>
      <c r="C4" t="s">
        <v>55</v>
      </c>
      <c r="D4" t="s">
        <v>700</v>
      </c>
      <c r="F4" t="s">
        <v>850</v>
      </c>
      <c r="G4" t="s">
        <v>1092</v>
      </c>
      <c r="H4" t="s">
        <v>1328</v>
      </c>
      <c r="I4" t="s">
        <v>1586</v>
      </c>
      <c r="J4">
        <v>11233</v>
      </c>
      <c r="K4" t="s">
        <v>423</v>
      </c>
      <c r="L4" t="s">
        <v>423</v>
      </c>
      <c r="M4" t="s">
        <v>1692</v>
      </c>
      <c r="N4" t="s">
        <v>434</v>
      </c>
      <c r="O4" t="s">
        <v>444</v>
      </c>
      <c r="Q4" t="s">
        <v>450</v>
      </c>
      <c r="R4" t="s">
        <v>423</v>
      </c>
      <c r="T4" t="s">
        <v>453</v>
      </c>
      <c r="U4" t="s">
        <v>456</v>
      </c>
      <c r="W4">
        <v>700</v>
      </c>
      <c r="X4" t="s">
        <v>458</v>
      </c>
      <c r="Y4" t="s">
        <v>1836</v>
      </c>
      <c r="AA4" t="s">
        <v>1853</v>
      </c>
      <c r="AB4" t="s">
        <v>2131</v>
      </c>
      <c r="AD4">
        <v>3</v>
      </c>
      <c r="AE4" t="s">
        <v>621</v>
      </c>
      <c r="AF4" t="s">
        <v>625</v>
      </c>
      <c r="AG4">
        <v>17</v>
      </c>
      <c r="AH4">
        <v>2</v>
      </c>
      <c r="AI4">
        <v>0</v>
      </c>
      <c r="AJ4">
        <v>55.21</v>
      </c>
      <c r="AM4" t="s">
        <v>629</v>
      </c>
      <c r="AN4">
        <v>9336</v>
      </c>
      <c r="AT4">
        <v>0</v>
      </c>
      <c r="AV4" t="s">
        <v>666</v>
      </c>
    </row>
    <row r="5" spans="1:49">
      <c r="A5" s="1">
        <f>HYPERLINK("https://lsnyc.legalserver.org/matter/dynamic-profile/view/1895591","19-1895591")</f>
        <v>0</v>
      </c>
      <c r="B5" t="s">
        <v>672</v>
      </c>
      <c r="C5" t="s">
        <v>55</v>
      </c>
      <c r="D5" t="s">
        <v>91</v>
      </c>
      <c r="F5" t="s">
        <v>851</v>
      </c>
      <c r="G5" t="s">
        <v>1093</v>
      </c>
      <c r="H5" t="s">
        <v>1329</v>
      </c>
      <c r="I5" t="s">
        <v>1587</v>
      </c>
      <c r="J5">
        <v>11207</v>
      </c>
      <c r="K5" t="s">
        <v>423</v>
      </c>
      <c r="L5" t="s">
        <v>423</v>
      </c>
      <c r="M5" t="s">
        <v>1693</v>
      </c>
      <c r="N5" t="s">
        <v>434</v>
      </c>
      <c r="O5" t="s">
        <v>444</v>
      </c>
      <c r="Q5" t="s">
        <v>450</v>
      </c>
      <c r="T5" t="s">
        <v>453</v>
      </c>
      <c r="U5" t="s">
        <v>457</v>
      </c>
      <c r="W5">
        <v>1000</v>
      </c>
      <c r="X5" t="s">
        <v>458</v>
      </c>
      <c r="AA5" t="s">
        <v>1854</v>
      </c>
      <c r="AC5" t="s">
        <v>2173</v>
      </c>
      <c r="AD5">
        <v>2</v>
      </c>
      <c r="AE5" t="s">
        <v>621</v>
      </c>
      <c r="AF5" t="s">
        <v>625</v>
      </c>
      <c r="AG5">
        <v>4</v>
      </c>
      <c r="AH5">
        <v>1</v>
      </c>
      <c r="AI5">
        <v>0</v>
      </c>
      <c r="AJ5">
        <v>145.72</v>
      </c>
      <c r="AM5" t="s">
        <v>629</v>
      </c>
      <c r="AN5">
        <v>18200</v>
      </c>
      <c r="AT5">
        <v>1</v>
      </c>
      <c r="AU5" t="s">
        <v>91</v>
      </c>
      <c r="AV5" t="s">
        <v>2511</v>
      </c>
    </row>
    <row r="6" spans="1:49">
      <c r="A6" s="1">
        <f>HYPERLINK("https://lsnyc.legalserver.org/matter/dynamic-profile/view/1862128","18-1862128")</f>
        <v>0</v>
      </c>
      <c r="B6" t="s">
        <v>672</v>
      </c>
      <c r="C6" t="s">
        <v>54</v>
      </c>
      <c r="D6" t="s">
        <v>701</v>
      </c>
      <c r="E6" t="s">
        <v>830</v>
      </c>
      <c r="F6" t="s">
        <v>852</v>
      </c>
      <c r="G6" t="s">
        <v>1094</v>
      </c>
      <c r="H6" t="s">
        <v>1330</v>
      </c>
      <c r="I6" t="s">
        <v>392</v>
      </c>
      <c r="J6">
        <v>11233</v>
      </c>
      <c r="K6" t="s">
        <v>423</v>
      </c>
      <c r="L6" t="s">
        <v>423</v>
      </c>
      <c r="M6" t="s">
        <v>1694</v>
      </c>
      <c r="N6" t="s">
        <v>434</v>
      </c>
      <c r="O6" t="s">
        <v>445</v>
      </c>
      <c r="P6" t="s">
        <v>1826</v>
      </c>
      <c r="Q6" t="s">
        <v>450</v>
      </c>
      <c r="R6" t="s">
        <v>423</v>
      </c>
      <c r="T6" t="s">
        <v>453</v>
      </c>
      <c r="U6" t="s">
        <v>457</v>
      </c>
      <c r="W6">
        <v>1645</v>
      </c>
      <c r="X6" t="s">
        <v>458</v>
      </c>
      <c r="Y6" t="s">
        <v>462</v>
      </c>
      <c r="Z6" t="s">
        <v>1842</v>
      </c>
      <c r="AA6" t="s">
        <v>1855</v>
      </c>
      <c r="AC6" t="s">
        <v>2174</v>
      </c>
      <c r="AD6">
        <v>25</v>
      </c>
      <c r="AE6" t="s">
        <v>622</v>
      </c>
      <c r="AF6" t="s">
        <v>626</v>
      </c>
      <c r="AG6">
        <v>4</v>
      </c>
      <c r="AH6">
        <v>1</v>
      </c>
      <c r="AI6">
        <v>1</v>
      </c>
      <c r="AJ6">
        <v>211.25</v>
      </c>
      <c r="AM6" t="s">
        <v>629</v>
      </c>
      <c r="AN6">
        <v>34772</v>
      </c>
      <c r="AT6">
        <v>21.25</v>
      </c>
      <c r="AU6" t="s">
        <v>139</v>
      </c>
      <c r="AV6" t="s">
        <v>663</v>
      </c>
    </row>
    <row r="7" spans="1:49">
      <c r="A7" s="1">
        <f>HYPERLINK("https://lsnyc.legalserver.org/matter/dynamic-profile/view/1852796","17-1852796")</f>
        <v>0</v>
      </c>
      <c r="B7" t="s">
        <v>673</v>
      </c>
      <c r="C7" t="s">
        <v>54</v>
      </c>
      <c r="D7" t="s">
        <v>702</v>
      </c>
      <c r="E7" t="s">
        <v>780</v>
      </c>
      <c r="F7" t="s">
        <v>853</v>
      </c>
      <c r="G7" t="s">
        <v>1095</v>
      </c>
      <c r="H7" t="s">
        <v>1331</v>
      </c>
      <c r="I7" t="s">
        <v>1588</v>
      </c>
      <c r="J7">
        <v>11208</v>
      </c>
      <c r="K7" t="s">
        <v>424</v>
      </c>
      <c r="L7" t="s">
        <v>424</v>
      </c>
      <c r="O7" t="s">
        <v>442</v>
      </c>
      <c r="P7" t="s">
        <v>447</v>
      </c>
      <c r="Q7" t="s">
        <v>450</v>
      </c>
      <c r="T7" t="s">
        <v>454</v>
      </c>
      <c r="W7">
        <v>0</v>
      </c>
      <c r="X7" t="s">
        <v>458</v>
      </c>
      <c r="Z7" t="s">
        <v>1843</v>
      </c>
      <c r="AA7" t="s">
        <v>1856</v>
      </c>
      <c r="AC7" t="s">
        <v>2175</v>
      </c>
      <c r="AD7">
        <v>0</v>
      </c>
      <c r="AG7">
        <v>0</v>
      </c>
      <c r="AH7">
        <v>2</v>
      </c>
      <c r="AI7">
        <v>0</v>
      </c>
      <c r="AJ7">
        <v>0</v>
      </c>
      <c r="AM7" t="s">
        <v>629</v>
      </c>
      <c r="AN7">
        <v>0</v>
      </c>
      <c r="AT7">
        <v>0.3</v>
      </c>
      <c r="AU7" t="s">
        <v>702</v>
      </c>
      <c r="AV7" t="s">
        <v>50</v>
      </c>
    </row>
    <row r="8" spans="1:49">
      <c r="A8" s="1">
        <f>HYPERLINK("https://lsnyc.legalserver.org/matter/dynamic-profile/view/1892934","19-1892934")</f>
        <v>0</v>
      </c>
      <c r="B8" t="s">
        <v>674</v>
      </c>
      <c r="C8" t="s">
        <v>54</v>
      </c>
      <c r="D8" t="s">
        <v>703</v>
      </c>
      <c r="E8" t="s">
        <v>642</v>
      </c>
      <c r="F8" t="s">
        <v>854</v>
      </c>
      <c r="G8" t="s">
        <v>1096</v>
      </c>
      <c r="H8" t="s">
        <v>1332</v>
      </c>
      <c r="I8" t="s">
        <v>1589</v>
      </c>
      <c r="J8">
        <v>11208</v>
      </c>
      <c r="K8" t="s">
        <v>422</v>
      </c>
      <c r="L8" t="s">
        <v>422</v>
      </c>
      <c r="N8" t="s">
        <v>437</v>
      </c>
      <c r="O8" t="s">
        <v>441</v>
      </c>
      <c r="P8" t="s">
        <v>447</v>
      </c>
      <c r="Q8" t="s">
        <v>450</v>
      </c>
      <c r="T8" t="s">
        <v>453</v>
      </c>
      <c r="W8">
        <v>0</v>
      </c>
      <c r="X8" t="s">
        <v>458</v>
      </c>
      <c r="Z8" t="s">
        <v>470</v>
      </c>
      <c r="AA8" t="s">
        <v>1857</v>
      </c>
      <c r="AC8" t="s">
        <v>2176</v>
      </c>
      <c r="AD8">
        <v>0</v>
      </c>
      <c r="AG8">
        <v>15</v>
      </c>
      <c r="AH8">
        <v>1</v>
      </c>
      <c r="AI8">
        <v>1</v>
      </c>
      <c r="AJ8">
        <v>0</v>
      </c>
      <c r="AM8" t="s">
        <v>629</v>
      </c>
      <c r="AN8">
        <v>0</v>
      </c>
      <c r="AT8">
        <v>1</v>
      </c>
      <c r="AU8" t="s">
        <v>703</v>
      </c>
      <c r="AV8" t="s">
        <v>2511</v>
      </c>
    </row>
    <row r="9" spans="1:49">
      <c r="A9" s="1">
        <f>HYPERLINK("https://lsnyc.legalserver.org/matter/dynamic-profile/view/1888236","19-1888236")</f>
        <v>0</v>
      </c>
      <c r="B9" t="s">
        <v>674</v>
      </c>
      <c r="C9" t="s">
        <v>54</v>
      </c>
      <c r="D9" t="s">
        <v>704</v>
      </c>
      <c r="E9" t="s">
        <v>704</v>
      </c>
      <c r="F9" t="s">
        <v>855</v>
      </c>
      <c r="G9" t="s">
        <v>1097</v>
      </c>
      <c r="H9" t="s">
        <v>1333</v>
      </c>
      <c r="I9" t="s">
        <v>1590</v>
      </c>
      <c r="J9">
        <v>11208</v>
      </c>
      <c r="K9" t="s">
        <v>423</v>
      </c>
      <c r="L9" t="s">
        <v>423</v>
      </c>
      <c r="M9" t="s">
        <v>1695</v>
      </c>
      <c r="P9" t="s">
        <v>447</v>
      </c>
      <c r="Q9" t="s">
        <v>450</v>
      </c>
      <c r="T9" t="s">
        <v>453</v>
      </c>
      <c r="W9">
        <v>900</v>
      </c>
      <c r="X9" t="s">
        <v>458</v>
      </c>
      <c r="Y9" t="s">
        <v>464</v>
      </c>
      <c r="Z9" t="s">
        <v>470</v>
      </c>
      <c r="AA9" t="s">
        <v>1858</v>
      </c>
      <c r="AC9" t="s">
        <v>2177</v>
      </c>
      <c r="AD9">
        <v>3</v>
      </c>
      <c r="AG9">
        <v>9</v>
      </c>
      <c r="AH9">
        <v>1</v>
      </c>
      <c r="AI9">
        <v>0</v>
      </c>
      <c r="AJ9">
        <v>0</v>
      </c>
      <c r="AM9" t="s">
        <v>631</v>
      </c>
      <c r="AN9">
        <v>0</v>
      </c>
      <c r="AT9">
        <v>1</v>
      </c>
      <c r="AU9" t="s">
        <v>704</v>
      </c>
      <c r="AV9" t="s">
        <v>2512</v>
      </c>
    </row>
    <row r="10" spans="1:49">
      <c r="A10" s="1">
        <f>HYPERLINK("https://lsnyc.legalserver.org/matter/dynamic-profile/view/1881581","18-1881581")</f>
        <v>0</v>
      </c>
      <c r="B10" t="s">
        <v>674</v>
      </c>
      <c r="C10" t="s">
        <v>54</v>
      </c>
      <c r="D10" t="s">
        <v>705</v>
      </c>
      <c r="E10" t="s">
        <v>648</v>
      </c>
      <c r="F10" t="s">
        <v>856</v>
      </c>
      <c r="G10" t="s">
        <v>1098</v>
      </c>
      <c r="H10" t="s">
        <v>1334</v>
      </c>
      <c r="I10" t="s">
        <v>401</v>
      </c>
      <c r="J10">
        <v>11212</v>
      </c>
      <c r="K10" t="s">
        <v>422</v>
      </c>
      <c r="L10" t="s">
        <v>422</v>
      </c>
      <c r="N10" t="s">
        <v>435</v>
      </c>
      <c r="O10" t="s">
        <v>441</v>
      </c>
      <c r="P10" t="s">
        <v>447</v>
      </c>
      <c r="Q10" t="s">
        <v>450</v>
      </c>
      <c r="R10" t="s">
        <v>423</v>
      </c>
      <c r="T10" t="s">
        <v>453</v>
      </c>
      <c r="W10">
        <v>1700</v>
      </c>
      <c r="X10" t="s">
        <v>458</v>
      </c>
      <c r="Y10" t="s">
        <v>464</v>
      </c>
      <c r="Z10" t="s">
        <v>470</v>
      </c>
      <c r="AA10" t="s">
        <v>1859</v>
      </c>
      <c r="AC10" t="s">
        <v>2178</v>
      </c>
      <c r="AD10">
        <v>4</v>
      </c>
      <c r="AE10" t="s">
        <v>621</v>
      </c>
      <c r="AF10" t="s">
        <v>2427</v>
      </c>
      <c r="AG10">
        <v>2</v>
      </c>
      <c r="AH10">
        <v>1</v>
      </c>
      <c r="AI10">
        <v>4</v>
      </c>
      <c r="AJ10">
        <v>20.64</v>
      </c>
      <c r="AM10" t="s">
        <v>631</v>
      </c>
      <c r="AN10">
        <v>6072</v>
      </c>
      <c r="AT10">
        <v>0.75</v>
      </c>
      <c r="AU10" t="s">
        <v>705</v>
      </c>
      <c r="AV10" t="s">
        <v>2513</v>
      </c>
    </row>
    <row r="11" spans="1:49">
      <c r="A11" s="1">
        <f>HYPERLINK("https://lsnyc.legalserver.org/matter/dynamic-profile/view/1898434","19-1898434")</f>
        <v>0</v>
      </c>
      <c r="B11" t="s">
        <v>674</v>
      </c>
      <c r="C11" t="s">
        <v>54</v>
      </c>
      <c r="D11" t="s">
        <v>652</v>
      </c>
      <c r="E11" t="s">
        <v>777</v>
      </c>
      <c r="F11" t="s">
        <v>857</v>
      </c>
      <c r="G11" t="s">
        <v>1099</v>
      </c>
      <c r="H11" t="s">
        <v>1335</v>
      </c>
      <c r="I11" t="s">
        <v>1591</v>
      </c>
      <c r="J11">
        <v>11212</v>
      </c>
      <c r="K11" t="s">
        <v>422</v>
      </c>
      <c r="L11" t="s">
        <v>422</v>
      </c>
      <c r="N11" t="s">
        <v>435</v>
      </c>
      <c r="O11" t="s">
        <v>441</v>
      </c>
      <c r="P11" t="s">
        <v>447</v>
      </c>
      <c r="Q11" t="s">
        <v>450</v>
      </c>
      <c r="T11" t="s">
        <v>453</v>
      </c>
      <c r="W11">
        <v>1098</v>
      </c>
      <c r="X11" t="s">
        <v>458</v>
      </c>
      <c r="Z11" t="s">
        <v>470</v>
      </c>
      <c r="AA11" t="s">
        <v>1860</v>
      </c>
      <c r="AC11" t="s">
        <v>2179</v>
      </c>
      <c r="AD11">
        <v>8</v>
      </c>
      <c r="AE11" t="s">
        <v>622</v>
      </c>
      <c r="AF11" t="s">
        <v>2427</v>
      </c>
      <c r="AG11">
        <v>14</v>
      </c>
      <c r="AH11">
        <v>1</v>
      </c>
      <c r="AI11">
        <v>2</v>
      </c>
      <c r="AJ11">
        <v>27.06</v>
      </c>
      <c r="AM11" t="s">
        <v>629</v>
      </c>
      <c r="AN11">
        <v>5772</v>
      </c>
      <c r="AT11">
        <v>1</v>
      </c>
      <c r="AU11" t="s">
        <v>652</v>
      </c>
      <c r="AV11" t="s">
        <v>2511</v>
      </c>
    </row>
    <row r="12" spans="1:49">
      <c r="A12" s="1">
        <f>HYPERLINK("https://lsnyc.legalserver.org/matter/dynamic-profile/view/1902675","19-1902675")</f>
        <v>0</v>
      </c>
      <c r="B12" t="s">
        <v>674</v>
      </c>
      <c r="C12" t="s">
        <v>55</v>
      </c>
      <c r="D12" t="s">
        <v>699</v>
      </c>
      <c r="F12" t="s">
        <v>858</v>
      </c>
      <c r="G12" t="s">
        <v>1100</v>
      </c>
      <c r="H12" t="s">
        <v>1336</v>
      </c>
      <c r="I12">
        <v>2</v>
      </c>
      <c r="J12">
        <v>11208</v>
      </c>
      <c r="K12" t="s">
        <v>422</v>
      </c>
      <c r="L12" t="s">
        <v>422</v>
      </c>
      <c r="Q12" t="s">
        <v>450</v>
      </c>
      <c r="T12" t="s">
        <v>453</v>
      </c>
      <c r="W12">
        <v>900</v>
      </c>
      <c r="X12" t="s">
        <v>458</v>
      </c>
      <c r="AA12" t="s">
        <v>1861</v>
      </c>
      <c r="AC12" t="s">
        <v>2180</v>
      </c>
      <c r="AD12">
        <v>0</v>
      </c>
      <c r="AF12" t="s">
        <v>625</v>
      </c>
      <c r="AG12">
        <v>3</v>
      </c>
      <c r="AH12">
        <v>1</v>
      </c>
      <c r="AI12">
        <v>2</v>
      </c>
      <c r="AJ12">
        <v>33.76</v>
      </c>
      <c r="AM12" t="s">
        <v>629</v>
      </c>
      <c r="AN12">
        <v>7200</v>
      </c>
      <c r="AT12">
        <v>1</v>
      </c>
      <c r="AU12" t="s">
        <v>699</v>
      </c>
      <c r="AV12" t="s">
        <v>2511</v>
      </c>
    </row>
    <row r="13" spans="1:49">
      <c r="A13" s="1">
        <f>HYPERLINK("https://lsnyc.legalserver.org/matter/dynamic-profile/view/1885733","18-1885733")</f>
        <v>0</v>
      </c>
      <c r="B13" t="s">
        <v>674</v>
      </c>
      <c r="C13" t="s">
        <v>54</v>
      </c>
      <c r="D13" t="s">
        <v>130</v>
      </c>
      <c r="E13" t="s">
        <v>831</v>
      </c>
      <c r="F13" t="s">
        <v>859</v>
      </c>
      <c r="G13" t="s">
        <v>1101</v>
      </c>
      <c r="H13" t="s">
        <v>1337</v>
      </c>
      <c r="I13">
        <v>2</v>
      </c>
      <c r="J13">
        <v>11208</v>
      </c>
      <c r="K13" t="s">
        <v>423</v>
      </c>
      <c r="L13" t="s">
        <v>423</v>
      </c>
      <c r="M13" t="s">
        <v>1696</v>
      </c>
      <c r="N13" t="s">
        <v>434</v>
      </c>
      <c r="P13" t="s">
        <v>447</v>
      </c>
      <c r="Q13" t="s">
        <v>450</v>
      </c>
      <c r="R13" t="s">
        <v>423</v>
      </c>
      <c r="T13" t="s">
        <v>453</v>
      </c>
      <c r="W13">
        <v>710</v>
      </c>
      <c r="X13" t="s">
        <v>458</v>
      </c>
      <c r="Y13" t="s">
        <v>1837</v>
      </c>
      <c r="Z13" t="s">
        <v>470</v>
      </c>
      <c r="AA13" t="s">
        <v>1862</v>
      </c>
      <c r="AC13" t="s">
        <v>2181</v>
      </c>
      <c r="AD13">
        <v>2</v>
      </c>
      <c r="AE13" t="s">
        <v>621</v>
      </c>
      <c r="AF13" t="s">
        <v>625</v>
      </c>
      <c r="AG13">
        <v>25</v>
      </c>
      <c r="AH13">
        <v>1</v>
      </c>
      <c r="AI13">
        <v>0</v>
      </c>
      <c r="AJ13">
        <v>59.31</v>
      </c>
      <c r="AM13" t="s">
        <v>629</v>
      </c>
      <c r="AN13">
        <v>7200</v>
      </c>
      <c r="AT13">
        <v>0.5</v>
      </c>
      <c r="AU13" t="s">
        <v>130</v>
      </c>
      <c r="AV13" t="s">
        <v>2514</v>
      </c>
    </row>
    <row r="14" spans="1:49">
      <c r="A14" s="1">
        <f>HYPERLINK("https://lsnyc.legalserver.org/matter/dynamic-profile/view/1897047","19-1897047")</f>
        <v>0</v>
      </c>
      <c r="B14" t="s">
        <v>674</v>
      </c>
      <c r="C14" t="s">
        <v>54</v>
      </c>
      <c r="D14" t="s">
        <v>651</v>
      </c>
      <c r="E14" t="s">
        <v>651</v>
      </c>
      <c r="F14" t="s">
        <v>860</v>
      </c>
      <c r="G14" t="s">
        <v>1102</v>
      </c>
      <c r="H14" t="s">
        <v>1338</v>
      </c>
      <c r="I14">
        <v>1</v>
      </c>
      <c r="J14">
        <v>11208</v>
      </c>
      <c r="K14" t="s">
        <v>422</v>
      </c>
      <c r="L14" t="s">
        <v>422</v>
      </c>
      <c r="N14" t="s">
        <v>434</v>
      </c>
      <c r="O14" t="s">
        <v>441</v>
      </c>
      <c r="P14" t="s">
        <v>447</v>
      </c>
      <c r="Q14" t="s">
        <v>450</v>
      </c>
      <c r="T14" t="s">
        <v>453</v>
      </c>
      <c r="W14">
        <v>1600</v>
      </c>
      <c r="X14" t="s">
        <v>458</v>
      </c>
      <c r="Z14" t="s">
        <v>1844</v>
      </c>
      <c r="AA14" t="s">
        <v>1863</v>
      </c>
      <c r="AC14" t="s">
        <v>2182</v>
      </c>
      <c r="AD14">
        <v>0</v>
      </c>
      <c r="AF14" t="s">
        <v>625</v>
      </c>
      <c r="AG14">
        <v>1</v>
      </c>
      <c r="AH14">
        <v>1</v>
      </c>
      <c r="AI14">
        <v>2</v>
      </c>
      <c r="AJ14">
        <v>60.95</v>
      </c>
      <c r="AM14" t="s">
        <v>629</v>
      </c>
      <c r="AN14">
        <v>13000</v>
      </c>
      <c r="AT14">
        <v>1</v>
      </c>
      <c r="AU14" t="s">
        <v>651</v>
      </c>
      <c r="AV14" t="s">
        <v>2511</v>
      </c>
    </row>
    <row r="15" spans="1:49">
      <c r="A15" s="1">
        <f>HYPERLINK("https://lsnyc.legalserver.org/matter/dynamic-profile/view/1900318","19-1900318")</f>
        <v>0</v>
      </c>
      <c r="B15" t="s">
        <v>674</v>
      </c>
      <c r="C15" t="s">
        <v>54</v>
      </c>
      <c r="D15" t="s">
        <v>706</v>
      </c>
      <c r="E15" t="s">
        <v>706</v>
      </c>
      <c r="F15" t="s">
        <v>861</v>
      </c>
      <c r="G15" t="s">
        <v>1103</v>
      </c>
      <c r="H15" t="s">
        <v>1339</v>
      </c>
      <c r="I15" t="s">
        <v>1592</v>
      </c>
      <c r="J15">
        <v>11207</v>
      </c>
      <c r="K15" t="s">
        <v>422</v>
      </c>
      <c r="L15" t="s">
        <v>422</v>
      </c>
      <c r="P15" t="s">
        <v>447</v>
      </c>
      <c r="Q15" t="s">
        <v>450</v>
      </c>
      <c r="T15" t="s">
        <v>1830</v>
      </c>
      <c r="W15">
        <v>500</v>
      </c>
      <c r="X15" t="s">
        <v>458</v>
      </c>
      <c r="Z15" t="s">
        <v>470</v>
      </c>
      <c r="AA15" t="s">
        <v>1864</v>
      </c>
      <c r="AC15" t="s">
        <v>2183</v>
      </c>
      <c r="AD15">
        <v>3</v>
      </c>
      <c r="AG15">
        <v>23</v>
      </c>
      <c r="AH15">
        <v>1</v>
      </c>
      <c r="AI15">
        <v>0</v>
      </c>
      <c r="AJ15">
        <v>62.45</v>
      </c>
      <c r="AM15" t="s">
        <v>629</v>
      </c>
      <c r="AN15">
        <v>7800</v>
      </c>
      <c r="AT15">
        <v>1</v>
      </c>
      <c r="AU15" t="s">
        <v>706</v>
      </c>
      <c r="AV15" t="s">
        <v>2515</v>
      </c>
    </row>
    <row r="16" spans="1:49">
      <c r="A16" s="1">
        <f>HYPERLINK("https://lsnyc.legalserver.org/matter/dynamic-profile/view/1897895","19-1897895")</f>
        <v>0</v>
      </c>
      <c r="B16" t="s">
        <v>674</v>
      </c>
      <c r="C16" t="s">
        <v>54</v>
      </c>
      <c r="D16" t="s">
        <v>134</v>
      </c>
      <c r="E16" t="s">
        <v>706</v>
      </c>
      <c r="F16" t="s">
        <v>862</v>
      </c>
      <c r="G16" t="s">
        <v>1104</v>
      </c>
      <c r="H16" t="s">
        <v>1340</v>
      </c>
      <c r="I16" t="s">
        <v>1590</v>
      </c>
      <c r="J16">
        <v>11212</v>
      </c>
      <c r="K16" t="s">
        <v>422</v>
      </c>
      <c r="L16" t="s">
        <v>422</v>
      </c>
      <c r="N16" t="s">
        <v>435</v>
      </c>
      <c r="O16" t="s">
        <v>441</v>
      </c>
      <c r="P16" t="s">
        <v>447</v>
      </c>
      <c r="Q16" t="s">
        <v>450</v>
      </c>
      <c r="T16" t="s">
        <v>453</v>
      </c>
      <c r="W16">
        <v>204</v>
      </c>
      <c r="X16" t="s">
        <v>458</v>
      </c>
      <c r="Z16" t="s">
        <v>470</v>
      </c>
      <c r="AA16" t="s">
        <v>1865</v>
      </c>
      <c r="AC16" t="s">
        <v>2184</v>
      </c>
      <c r="AD16">
        <v>0</v>
      </c>
      <c r="AG16">
        <v>2</v>
      </c>
      <c r="AH16">
        <v>1</v>
      </c>
      <c r="AI16">
        <v>0</v>
      </c>
      <c r="AJ16">
        <v>72.06</v>
      </c>
      <c r="AM16" t="s">
        <v>629</v>
      </c>
      <c r="AN16">
        <v>9000</v>
      </c>
      <c r="AT16">
        <v>1.2</v>
      </c>
      <c r="AU16" t="s">
        <v>699</v>
      </c>
      <c r="AV16" t="s">
        <v>2511</v>
      </c>
    </row>
    <row r="17" spans="1:48">
      <c r="A17" s="1">
        <f>HYPERLINK("https://lsnyc.legalserver.org/matter/dynamic-profile/view/1901579","19-1901579")</f>
        <v>0</v>
      </c>
      <c r="B17" t="s">
        <v>674</v>
      </c>
      <c r="C17" t="s">
        <v>54</v>
      </c>
      <c r="D17" t="s">
        <v>641</v>
      </c>
      <c r="E17" t="s">
        <v>641</v>
      </c>
      <c r="F17" t="s">
        <v>863</v>
      </c>
      <c r="G17" t="s">
        <v>1105</v>
      </c>
      <c r="H17" t="s">
        <v>1341</v>
      </c>
      <c r="I17" t="s">
        <v>1593</v>
      </c>
      <c r="J17">
        <v>11207</v>
      </c>
      <c r="K17" t="s">
        <v>422</v>
      </c>
      <c r="L17" t="s">
        <v>422</v>
      </c>
      <c r="O17" t="s">
        <v>441</v>
      </c>
      <c r="P17" t="s">
        <v>447</v>
      </c>
      <c r="Q17" t="s">
        <v>450</v>
      </c>
      <c r="T17" t="s">
        <v>453</v>
      </c>
      <c r="W17">
        <v>0</v>
      </c>
      <c r="X17" t="s">
        <v>458</v>
      </c>
      <c r="Z17" t="s">
        <v>470</v>
      </c>
      <c r="AA17" t="s">
        <v>1866</v>
      </c>
      <c r="AC17" t="s">
        <v>2185</v>
      </c>
      <c r="AD17">
        <v>0</v>
      </c>
      <c r="AG17">
        <v>3</v>
      </c>
      <c r="AH17">
        <v>1</v>
      </c>
      <c r="AI17">
        <v>0</v>
      </c>
      <c r="AJ17">
        <v>78.20999999999999</v>
      </c>
      <c r="AM17" t="s">
        <v>629</v>
      </c>
      <c r="AN17">
        <v>9768</v>
      </c>
      <c r="AT17">
        <v>0.6</v>
      </c>
      <c r="AU17" t="s">
        <v>641</v>
      </c>
      <c r="AV17" t="s">
        <v>664</v>
      </c>
    </row>
    <row r="18" spans="1:48">
      <c r="A18" s="1">
        <f>HYPERLINK("https://lsnyc.legalserver.org/matter/dynamic-profile/view/1886257","18-1886257")</f>
        <v>0</v>
      </c>
      <c r="B18" t="s">
        <v>674</v>
      </c>
      <c r="C18" t="s">
        <v>54</v>
      </c>
      <c r="D18" t="s">
        <v>707</v>
      </c>
      <c r="E18" t="s">
        <v>716</v>
      </c>
      <c r="F18" t="s">
        <v>864</v>
      </c>
      <c r="G18" t="s">
        <v>1106</v>
      </c>
      <c r="H18" t="s">
        <v>1342</v>
      </c>
      <c r="I18" t="s">
        <v>1594</v>
      </c>
      <c r="J18">
        <v>11208</v>
      </c>
      <c r="K18" t="s">
        <v>422</v>
      </c>
      <c r="L18" t="s">
        <v>422</v>
      </c>
      <c r="N18" t="s">
        <v>434</v>
      </c>
      <c r="O18" t="s">
        <v>441</v>
      </c>
      <c r="P18" t="s">
        <v>447</v>
      </c>
      <c r="Q18" t="s">
        <v>450</v>
      </c>
      <c r="R18" t="s">
        <v>423</v>
      </c>
      <c r="T18" t="s">
        <v>453</v>
      </c>
      <c r="W18">
        <v>650</v>
      </c>
      <c r="X18" t="s">
        <v>458</v>
      </c>
      <c r="Y18" t="s">
        <v>464</v>
      </c>
      <c r="Z18" t="s">
        <v>470</v>
      </c>
      <c r="AA18" t="s">
        <v>1867</v>
      </c>
      <c r="AD18">
        <v>5</v>
      </c>
      <c r="AE18" t="s">
        <v>621</v>
      </c>
      <c r="AF18" t="s">
        <v>625</v>
      </c>
      <c r="AG18">
        <v>1</v>
      </c>
      <c r="AH18">
        <v>1</v>
      </c>
      <c r="AI18">
        <v>0</v>
      </c>
      <c r="AJ18">
        <v>83.03</v>
      </c>
      <c r="AM18" t="s">
        <v>629</v>
      </c>
      <c r="AN18">
        <v>10080</v>
      </c>
      <c r="AT18">
        <v>0.86</v>
      </c>
      <c r="AU18" t="s">
        <v>708</v>
      </c>
      <c r="AV18" t="s">
        <v>2513</v>
      </c>
    </row>
    <row r="19" spans="1:48">
      <c r="A19" s="1">
        <f>HYPERLINK("https://lsnyc.legalserver.org/matter/dynamic-profile/view/1900288","19-1900288")</f>
        <v>0</v>
      </c>
      <c r="B19" t="s">
        <v>674</v>
      </c>
      <c r="C19" t="s">
        <v>55</v>
      </c>
      <c r="D19" t="s">
        <v>706</v>
      </c>
      <c r="F19" t="s">
        <v>865</v>
      </c>
      <c r="G19" t="s">
        <v>1107</v>
      </c>
      <c r="H19" t="s">
        <v>1343</v>
      </c>
      <c r="I19">
        <v>1</v>
      </c>
      <c r="J19">
        <v>11207</v>
      </c>
      <c r="K19" t="s">
        <v>422</v>
      </c>
      <c r="L19" t="s">
        <v>422</v>
      </c>
      <c r="O19" t="s">
        <v>444</v>
      </c>
      <c r="Q19" t="s">
        <v>450</v>
      </c>
      <c r="T19" t="s">
        <v>453</v>
      </c>
      <c r="W19">
        <v>2450</v>
      </c>
      <c r="X19" t="s">
        <v>458</v>
      </c>
      <c r="Y19" t="s">
        <v>462</v>
      </c>
      <c r="AA19" t="s">
        <v>1868</v>
      </c>
      <c r="AC19" t="s">
        <v>2186</v>
      </c>
      <c r="AD19">
        <v>3245</v>
      </c>
      <c r="AG19">
        <v>0</v>
      </c>
      <c r="AH19">
        <v>1</v>
      </c>
      <c r="AI19">
        <v>0</v>
      </c>
      <c r="AJ19">
        <v>96.08</v>
      </c>
      <c r="AM19" t="s">
        <v>629</v>
      </c>
      <c r="AN19">
        <v>12000</v>
      </c>
      <c r="AT19">
        <v>1</v>
      </c>
      <c r="AU19" t="s">
        <v>706</v>
      </c>
      <c r="AV19" t="s">
        <v>663</v>
      </c>
    </row>
    <row r="20" spans="1:48">
      <c r="A20" s="1">
        <f>HYPERLINK("https://lsnyc.legalserver.org/matter/dynamic-profile/view/1886861","19-1886861")</f>
        <v>0</v>
      </c>
      <c r="B20" t="s">
        <v>674</v>
      </c>
      <c r="C20" t="s">
        <v>54</v>
      </c>
      <c r="D20" t="s">
        <v>708</v>
      </c>
      <c r="E20" t="s">
        <v>708</v>
      </c>
      <c r="F20" t="s">
        <v>866</v>
      </c>
      <c r="G20" t="s">
        <v>1108</v>
      </c>
      <c r="H20" t="s">
        <v>1344</v>
      </c>
      <c r="I20" t="s">
        <v>1595</v>
      </c>
      <c r="J20">
        <v>11212</v>
      </c>
      <c r="K20" t="s">
        <v>422</v>
      </c>
      <c r="L20" t="s">
        <v>422</v>
      </c>
      <c r="N20" t="s">
        <v>437</v>
      </c>
      <c r="O20" t="s">
        <v>441</v>
      </c>
      <c r="P20" t="s">
        <v>447</v>
      </c>
      <c r="Q20" t="s">
        <v>450</v>
      </c>
      <c r="R20" t="s">
        <v>423</v>
      </c>
      <c r="T20" t="s">
        <v>453</v>
      </c>
      <c r="W20">
        <v>817</v>
      </c>
      <c r="X20" t="s">
        <v>458</v>
      </c>
      <c r="Z20" t="s">
        <v>470</v>
      </c>
      <c r="AA20" t="s">
        <v>1869</v>
      </c>
      <c r="AC20" t="s">
        <v>2187</v>
      </c>
      <c r="AD20">
        <v>3</v>
      </c>
      <c r="AF20" t="s">
        <v>626</v>
      </c>
      <c r="AG20">
        <v>9</v>
      </c>
      <c r="AH20">
        <v>2</v>
      </c>
      <c r="AI20">
        <v>1</v>
      </c>
      <c r="AJ20">
        <v>97.81999999999999</v>
      </c>
      <c r="AM20" t="s">
        <v>631</v>
      </c>
      <c r="AN20">
        <v>20328</v>
      </c>
      <c r="AT20">
        <v>0.5</v>
      </c>
      <c r="AU20" t="s">
        <v>708</v>
      </c>
      <c r="AV20" t="s">
        <v>2514</v>
      </c>
    </row>
    <row r="21" spans="1:48">
      <c r="A21" s="1">
        <f>HYPERLINK("https://lsnyc.legalserver.org/matter/dynamic-profile/view/1884836","18-1884836")</f>
        <v>0</v>
      </c>
      <c r="B21" t="s">
        <v>674</v>
      </c>
      <c r="C21" t="s">
        <v>54</v>
      </c>
      <c r="D21" t="s">
        <v>128</v>
      </c>
      <c r="E21" t="s">
        <v>643</v>
      </c>
      <c r="F21" t="s">
        <v>867</v>
      </c>
      <c r="G21" t="s">
        <v>1109</v>
      </c>
      <c r="H21" t="s">
        <v>1345</v>
      </c>
      <c r="I21">
        <v>3</v>
      </c>
      <c r="J21">
        <v>11208</v>
      </c>
      <c r="K21" t="s">
        <v>422</v>
      </c>
      <c r="L21" t="s">
        <v>422</v>
      </c>
      <c r="N21" t="s">
        <v>435</v>
      </c>
      <c r="O21" t="s">
        <v>441</v>
      </c>
      <c r="P21" t="s">
        <v>447</v>
      </c>
      <c r="Q21" t="s">
        <v>450</v>
      </c>
      <c r="T21" t="s">
        <v>453</v>
      </c>
      <c r="W21">
        <v>1250</v>
      </c>
      <c r="X21" t="s">
        <v>458</v>
      </c>
      <c r="Z21" t="s">
        <v>470</v>
      </c>
      <c r="AA21" t="s">
        <v>1870</v>
      </c>
      <c r="AC21" t="s">
        <v>2188</v>
      </c>
      <c r="AD21">
        <v>0</v>
      </c>
      <c r="AE21" t="s">
        <v>621</v>
      </c>
      <c r="AF21" t="s">
        <v>625</v>
      </c>
      <c r="AG21">
        <v>0</v>
      </c>
      <c r="AH21">
        <v>1</v>
      </c>
      <c r="AI21">
        <v>1</v>
      </c>
      <c r="AJ21">
        <v>102.67</v>
      </c>
      <c r="AM21" t="s">
        <v>629</v>
      </c>
      <c r="AN21">
        <v>16900</v>
      </c>
      <c r="AT21">
        <v>1</v>
      </c>
      <c r="AU21" t="s">
        <v>128</v>
      </c>
      <c r="AV21" t="s">
        <v>2511</v>
      </c>
    </row>
    <row r="22" spans="1:48">
      <c r="A22" s="1">
        <f>HYPERLINK("https://lsnyc.legalserver.org/matter/dynamic-profile/view/1903399","19-1903399")</f>
        <v>0</v>
      </c>
      <c r="B22" t="s">
        <v>674</v>
      </c>
      <c r="C22" t="s">
        <v>55</v>
      </c>
      <c r="D22" t="s">
        <v>709</v>
      </c>
      <c r="F22" t="s">
        <v>868</v>
      </c>
      <c r="G22" t="s">
        <v>1110</v>
      </c>
      <c r="H22" t="s">
        <v>1346</v>
      </c>
      <c r="J22">
        <v>11208</v>
      </c>
      <c r="K22" t="s">
        <v>422</v>
      </c>
      <c r="L22" t="s">
        <v>422</v>
      </c>
      <c r="M22" t="s">
        <v>435</v>
      </c>
      <c r="N22" t="s">
        <v>435</v>
      </c>
      <c r="O22" t="s">
        <v>441</v>
      </c>
      <c r="Q22" t="s">
        <v>450</v>
      </c>
      <c r="R22" t="s">
        <v>423</v>
      </c>
      <c r="T22" t="s">
        <v>453</v>
      </c>
      <c r="W22">
        <v>710</v>
      </c>
      <c r="X22" t="s">
        <v>458</v>
      </c>
      <c r="Y22" t="s">
        <v>467</v>
      </c>
      <c r="AA22" t="s">
        <v>1871</v>
      </c>
      <c r="AC22" t="s">
        <v>2189</v>
      </c>
      <c r="AD22">
        <v>2</v>
      </c>
      <c r="AE22" t="s">
        <v>623</v>
      </c>
      <c r="AF22" t="s">
        <v>625</v>
      </c>
      <c r="AG22">
        <v>3</v>
      </c>
      <c r="AH22">
        <v>1</v>
      </c>
      <c r="AI22">
        <v>0</v>
      </c>
      <c r="AJ22">
        <v>124.9</v>
      </c>
      <c r="AM22" t="s">
        <v>629</v>
      </c>
      <c r="AN22">
        <v>15600</v>
      </c>
      <c r="AT22">
        <v>0.5</v>
      </c>
      <c r="AU22" t="s">
        <v>709</v>
      </c>
      <c r="AV22" t="s">
        <v>662</v>
      </c>
    </row>
    <row r="23" spans="1:48">
      <c r="A23" s="1">
        <f>HYPERLINK("https://lsnyc.legalserver.org/matter/dynamic-profile/view/1886017","18-1886017")</f>
        <v>0</v>
      </c>
      <c r="B23" t="s">
        <v>674</v>
      </c>
      <c r="C23" t="s">
        <v>54</v>
      </c>
      <c r="D23" t="s">
        <v>710</v>
      </c>
      <c r="E23" t="s">
        <v>831</v>
      </c>
      <c r="F23" t="s">
        <v>869</v>
      </c>
      <c r="G23" t="s">
        <v>1111</v>
      </c>
      <c r="H23" t="s">
        <v>1347</v>
      </c>
      <c r="I23">
        <v>1</v>
      </c>
      <c r="J23">
        <v>11208</v>
      </c>
      <c r="K23" t="s">
        <v>423</v>
      </c>
      <c r="L23" t="s">
        <v>423</v>
      </c>
      <c r="N23" t="s">
        <v>435</v>
      </c>
      <c r="P23" t="s">
        <v>447</v>
      </c>
      <c r="Q23" t="s">
        <v>450</v>
      </c>
      <c r="R23" t="s">
        <v>423</v>
      </c>
      <c r="T23" t="s">
        <v>453</v>
      </c>
      <c r="W23">
        <v>1700</v>
      </c>
      <c r="X23" t="s">
        <v>458</v>
      </c>
      <c r="Y23" t="s">
        <v>1837</v>
      </c>
      <c r="Z23" t="s">
        <v>470</v>
      </c>
      <c r="AA23" t="s">
        <v>1872</v>
      </c>
      <c r="AC23" t="s">
        <v>2190</v>
      </c>
      <c r="AD23">
        <v>3</v>
      </c>
      <c r="AE23" t="s">
        <v>623</v>
      </c>
      <c r="AF23" t="s">
        <v>625</v>
      </c>
      <c r="AG23">
        <v>1</v>
      </c>
      <c r="AH23">
        <v>1</v>
      </c>
      <c r="AI23">
        <v>0</v>
      </c>
      <c r="AJ23">
        <v>149.92</v>
      </c>
      <c r="AM23" t="s">
        <v>629</v>
      </c>
      <c r="AN23">
        <v>18200</v>
      </c>
      <c r="AT23">
        <v>0.5</v>
      </c>
      <c r="AU23" t="s">
        <v>710</v>
      </c>
      <c r="AV23" t="s">
        <v>2513</v>
      </c>
    </row>
    <row r="24" spans="1:48">
      <c r="A24" s="1">
        <f>HYPERLINK("https://lsnyc.legalserver.org/matter/dynamic-profile/view/1884529","18-1884529")</f>
        <v>0</v>
      </c>
      <c r="B24" t="s">
        <v>674</v>
      </c>
      <c r="C24" t="s">
        <v>54</v>
      </c>
      <c r="D24" t="s">
        <v>121</v>
      </c>
      <c r="E24" t="s">
        <v>648</v>
      </c>
      <c r="F24" t="s">
        <v>870</v>
      </c>
      <c r="G24" t="s">
        <v>1112</v>
      </c>
      <c r="H24" t="s">
        <v>1348</v>
      </c>
      <c r="I24" t="s">
        <v>1596</v>
      </c>
      <c r="J24">
        <v>11208</v>
      </c>
      <c r="K24" t="s">
        <v>422</v>
      </c>
      <c r="L24" t="s">
        <v>422</v>
      </c>
      <c r="O24" t="s">
        <v>441</v>
      </c>
      <c r="P24" t="s">
        <v>448</v>
      </c>
      <c r="Q24" t="s">
        <v>450</v>
      </c>
      <c r="T24" t="s">
        <v>453</v>
      </c>
      <c r="W24">
        <v>1155</v>
      </c>
      <c r="X24" t="s">
        <v>458</v>
      </c>
      <c r="Z24" t="s">
        <v>470</v>
      </c>
      <c r="AA24" t="s">
        <v>1873</v>
      </c>
      <c r="AC24" t="s">
        <v>2191</v>
      </c>
      <c r="AD24">
        <v>0</v>
      </c>
      <c r="AE24" t="s">
        <v>2419</v>
      </c>
      <c r="AG24">
        <v>0</v>
      </c>
      <c r="AH24">
        <v>1</v>
      </c>
      <c r="AI24">
        <v>0</v>
      </c>
      <c r="AJ24">
        <v>152.82</v>
      </c>
      <c r="AM24" t="s">
        <v>629</v>
      </c>
      <c r="AN24">
        <v>18552</v>
      </c>
      <c r="AT24">
        <v>0.6</v>
      </c>
      <c r="AU24" t="s">
        <v>121</v>
      </c>
      <c r="AV24" t="s">
        <v>664</v>
      </c>
    </row>
    <row r="25" spans="1:48">
      <c r="A25" s="1">
        <f>HYPERLINK("https://lsnyc.legalserver.org/matter/dynamic-profile/view/1883783","18-1883783")</f>
        <v>0</v>
      </c>
      <c r="B25" t="s">
        <v>674</v>
      </c>
      <c r="C25" t="s">
        <v>54</v>
      </c>
      <c r="D25" t="s">
        <v>85</v>
      </c>
      <c r="E25" t="s">
        <v>643</v>
      </c>
      <c r="F25" t="s">
        <v>871</v>
      </c>
      <c r="G25" t="s">
        <v>1113</v>
      </c>
      <c r="H25" t="s">
        <v>1349</v>
      </c>
      <c r="I25">
        <v>2</v>
      </c>
      <c r="J25">
        <v>11208</v>
      </c>
      <c r="K25" t="s">
        <v>423</v>
      </c>
      <c r="L25" t="s">
        <v>423</v>
      </c>
      <c r="M25" t="s">
        <v>1697</v>
      </c>
      <c r="N25" t="s">
        <v>434</v>
      </c>
      <c r="P25" t="s">
        <v>447</v>
      </c>
      <c r="Q25" t="s">
        <v>450</v>
      </c>
      <c r="T25" t="s">
        <v>453</v>
      </c>
      <c r="W25">
        <v>1200</v>
      </c>
      <c r="X25" t="s">
        <v>458</v>
      </c>
      <c r="Y25" t="s">
        <v>464</v>
      </c>
      <c r="Z25" t="s">
        <v>470</v>
      </c>
      <c r="AA25" t="s">
        <v>1874</v>
      </c>
      <c r="AC25" t="s">
        <v>2192</v>
      </c>
      <c r="AD25">
        <v>2</v>
      </c>
      <c r="AE25" t="s">
        <v>623</v>
      </c>
      <c r="AF25" t="s">
        <v>625</v>
      </c>
      <c r="AG25">
        <v>3</v>
      </c>
      <c r="AH25">
        <v>2</v>
      </c>
      <c r="AI25">
        <v>2</v>
      </c>
      <c r="AJ25">
        <v>160.76</v>
      </c>
      <c r="AM25" t="s">
        <v>631</v>
      </c>
      <c r="AN25">
        <v>40352</v>
      </c>
      <c r="AT25">
        <v>1</v>
      </c>
      <c r="AU25" t="s">
        <v>85</v>
      </c>
      <c r="AV25" t="s">
        <v>661</v>
      </c>
    </row>
    <row r="26" spans="1:48">
      <c r="A26" s="1">
        <f>HYPERLINK("https://lsnyc.legalserver.org/matter/dynamic-profile/view/1901634","19-1901634")</f>
        <v>0</v>
      </c>
      <c r="B26" t="s">
        <v>674</v>
      </c>
      <c r="C26" t="s">
        <v>54</v>
      </c>
      <c r="D26" t="s">
        <v>641</v>
      </c>
      <c r="E26" t="s">
        <v>120</v>
      </c>
      <c r="F26" t="s">
        <v>162</v>
      </c>
      <c r="G26" t="s">
        <v>1114</v>
      </c>
      <c r="H26" t="s">
        <v>1350</v>
      </c>
      <c r="I26" t="s">
        <v>1597</v>
      </c>
      <c r="J26">
        <v>11207</v>
      </c>
      <c r="K26" t="s">
        <v>422</v>
      </c>
      <c r="L26" t="s">
        <v>422</v>
      </c>
      <c r="N26" t="s">
        <v>1813</v>
      </c>
      <c r="P26" t="s">
        <v>447</v>
      </c>
      <c r="Q26" t="s">
        <v>450</v>
      </c>
      <c r="T26" t="s">
        <v>453</v>
      </c>
      <c r="W26">
        <v>835</v>
      </c>
      <c r="X26" t="s">
        <v>458</v>
      </c>
      <c r="Y26" t="s">
        <v>464</v>
      </c>
      <c r="Z26" t="s">
        <v>470</v>
      </c>
      <c r="AA26" t="s">
        <v>1875</v>
      </c>
      <c r="AC26" t="s">
        <v>2193</v>
      </c>
      <c r="AD26">
        <v>52</v>
      </c>
      <c r="AG26">
        <v>30</v>
      </c>
      <c r="AH26">
        <v>1</v>
      </c>
      <c r="AI26">
        <v>0</v>
      </c>
      <c r="AJ26">
        <v>187.35</v>
      </c>
      <c r="AM26" t="s">
        <v>629</v>
      </c>
      <c r="AN26">
        <v>23400</v>
      </c>
      <c r="AT26">
        <v>1</v>
      </c>
      <c r="AU26" t="s">
        <v>641</v>
      </c>
      <c r="AV26" t="s">
        <v>2512</v>
      </c>
    </row>
    <row r="27" spans="1:48">
      <c r="A27" s="1">
        <f>HYPERLINK("https://lsnyc.legalserver.org/matter/dynamic-profile/view/1889207","19-1889207")</f>
        <v>0</v>
      </c>
      <c r="B27" t="s">
        <v>674</v>
      </c>
      <c r="C27" t="s">
        <v>54</v>
      </c>
      <c r="D27" t="s">
        <v>711</v>
      </c>
      <c r="E27" t="s">
        <v>723</v>
      </c>
      <c r="F27" t="s">
        <v>872</v>
      </c>
      <c r="G27" t="s">
        <v>1115</v>
      </c>
      <c r="H27" t="s">
        <v>1351</v>
      </c>
      <c r="I27" t="s">
        <v>1598</v>
      </c>
      <c r="J27">
        <v>11207</v>
      </c>
      <c r="K27" t="s">
        <v>423</v>
      </c>
      <c r="L27" t="s">
        <v>423</v>
      </c>
      <c r="M27" t="s">
        <v>435</v>
      </c>
      <c r="O27" t="s">
        <v>441</v>
      </c>
      <c r="P27" t="s">
        <v>447</v>
      </c>
      <c r="Q27" t="s">
        <v>450</v>
      </c>
      <c r="R27" t="s">
        <v>423</v>
      </c>
      <c r="T27" t="s">
        <v>453</v>
      </c>
      <c r="U27" t="s">
        <v>457</v>
      </c>
      <c r="W27">
        <v>900</v>
      </c>
      <c r="X27" t="s">
        <v>458</v>
      </c>
      <c r="Y27" t="s">
        <v>464</v>
      </c>
      <c r="Z27" t="s">
        <v>1845</v>
      </c>
      <c r="AA27" t="s">
        <v>1876</v>
      </c>
      <c r="AC27" t="s">
        <v>2194</v>
      </c>
      <c r="AD27">
        <v>6</v>
      </c>
      <c r="AG27">
        <v>1</v>
      </c>
      <c r="AH27">
        <v>1</v>
      </c>
      <c r="AI27">
        <v>0</v>
      </c>
      <c r="AJ27">
        <v>194.56</v>
      </c>
      <c r="AM27" t="s">
        <v>2436</v>
      </c>
      <c r="AN27">
        <v>24300</v>
      </c>
      <c r="AT27">
        <v>0.5</v>
      </c>
      <c r="AU27" t="s">
        <v>711</v>
      </c>
      <c r="AV27" t="s">
        <v>2512</v>
      </c>
    </row>
    <row r="28" spans="1:48">
      <c r="A28" s="1">
        <f>HYPERLINK("https://lsnyc.legalserver.org/matter/dynamic-profile/view/1895505","19-1895505")</f>
        <v>0</v>
      </c>
      <c r="B28" t="s">
        <v>674</v>
      </c>
      <c r="C28" t="s">
        <v>54</v>
      </c>
      <c r="D28" t="s">
        <v>712</v>
      </c>
      <c r="E28" t="s">
        <v>706</v>
      </c>
      <c r="F28" t="s">
        <v>873</v>
      </c>
      <c r="G28" t="s">
        <v>1116</v>
      </c>
      <c r="H28" t="s">
        <v>1352</v>
      </c>
      <c r="I28" t="s">
        <v>1599</v>
      </c>
      <c r="J28">
        <v>11212</v>
      </c>
      <c r="K28" t="s">
        <v>422</v>
      </c>
      <c r="L28" t="s">
        <v>423</v>
      </c>
      <c r="O28" t="s">
        <v>441</v>
      </c>
      <c r="P28" t="s">
        <v>447</v>
      </c>
      <c r="Q28" t="s">
        <v>450</v>
      </c>
      <c r="T28" t="s">
        <v>453</v>
      </c>
      <c r="W28">
        <v>0</v>
      </c>
      <c r="X28" t="s">
        <v>458</v>
      </c>
      <c r="Y28" t="s">
        <v>467</v>
      </c>
      <c r="Z28" t="s">
        <v>470</v>
      </c>
      <c r="AA28" t="s">
        <v>1877</v>
      </c>
      <c r="AC28" t="s">
        <v>2195</v>
      </c>
      <c r="AD28">
        <v>4</v>
      </c>
      <c r="AF28" t="s">
        <v>625</v>
      </c>
      <c r="AG28">
        <v>38</v>
      </c>
      <c r="AH28">
        <v>1</v>
      </c>
      <c r="AI28">
        <v>0</v>
      </c>
      <c r="AJ28">
        <v>208.58</v>
      </c>
      <c r="AM28" t="s">
        <v>629</v>
      </c>
      <c r="AN28">
        <v>26052</v>
      </c>
      <c r="AT28">
        <v>0.6</v>
      </c>
      <c r="AU28" t="s">
        <v>712</v>
      </c>
      <c r="AV28" t="s">
        <v>664</v>
      </c>
    </row>
    <row r="29" spans="1:48">
      <c r="A29" s="1">
        <f>HYPERLINK("https://lsnyc.legalserver.org/matter/dynamic-profile/view/1885454","18-1885454")</f>
        <v>0</v>
      </c>
      <c r="B29" t="s">
        <v>674</v>
      </c>
      <c r="C29" t="s">
        <v>54</v>
      </c>
      <c r="D29" t="s">
        <v>659</v>
      </c>
      <c r="E29" t="s">
        <v>643</v>
      </c>
      <c r="F29" t="s">
        <v>154</v>
      </c>
      <c r="G29" t="s">
        <v>1117</v>
      </c>
      <c r="H29" t="s">
        <v>1353</v>
      </c>
      <c r="I29">
        <v>1</v>
      </c>
      <c r="J29">
        <v>11208</v>
      </c>
      <c r="K29" t="s">
        <v>422</v>
      </c>
      <c r="L29" t="s">
        <v>422</v>
      </c>
      <c r="O29" t="s">
        <v>441</v>
      </c>
      <c r="P29" t="s">
        <v>447</v>
      </c>
      <c r="Q29" t="s">
        <v>450</v>
      </c>
      <c r="T29" t="s">
        <v>453</v>
      </c>
      <c r="W29">
        <v>1700</v>
      </c>
      <c r="X29" t="s">
        <v>458</v>
      </c>
      <c r="Y29" t="s">
        <v>462</v>
      </c>
      <c r="Z29" t="s">
        <v>470</v>
      </c>
      <c r="AA29" t="s">
        <v>1878</v>
      </c>
      <c r="AC29" t="s">
        <v>2196</v>
      </c>
      <c r="AD29">
        <v>3</v>
      </c>
      <c r="AE29" t="s">
        <v>621</v>
      </c>
      <c r="AG29">
        <v>3</v>
      </c>
      <c r="AH29">
        <v>2</v>
      </c>
      <c r="AI29">
        <v>1</v>
      </c>
      <c r="AJ29">
        <v>237.73</v>
      </c>
      <c r="AM29" t="s">
        <v>631</v>
      </c>
      <c r="AN29">
        <v>49400</v>
      </c>
      <c r="AT29">
        <v>0.4</v>
      </c>
      <c r="AU29" t="s">
        <v>659</v>
      </c>
      <c r="AV29" t="s">
        <v>2516</v>
      </c>
    </row>
    <row r="30" spans="1:48">
      <c r="A30" s="1">
        <f>HYPERLINK("https://lsnyc.legalserver.org/matter/dynamic-profile/view/1895455","19-1895455")</f>
        <v>0</v>
      </c>
      <c r="B30" t="s">
        <v>674</v>
      </c>
      <c r="C30" t="s">
        <v>54</v>
      </c>
      <c r="D30" t="s">
        <v>712</v>
      </c>
      <c r="E30" t="s">
        <v>651</v>
      </c>
      <c r="F30" t="s">
        <v>874</v>
      </c>
      <c r="G30" t="s">
        <v>1118</v>
      </c>
      <c r="H30" t="s">
        <v>1354</v>
      </c>
      <c r="I30" t="s">
        <v>1600</v>
      </c>
      <c r="J30">
        <v>11212</v>
      </c>
      <c r="K30" t="s">
        <v>422</v>
      </c>
      <c r="L30" t="s">
        <v>422</v>
      </c>
      <c r="M30" t="s">
        <v>1698</v>
      </c>
      <c r="O30" t="s">
        <v>441</v>
      </c>
      <c r="P30" t="s">
        <v>447</v>
      </c>
      <c r="Q30" t="s">
        <v>450</v>
      </c>
      <c r="T30" t="s">
        <v>453</v>
      </c>
      <c r="W30">
        <v>1239</v>
      </c>
      <c r="X30" t="s">
        <v>458</v>
      </c>
      <c r="Y30" t="s">
        <v>467</v>
      </c>
      <c r="Z30" t="s">
        <v>470</v>
      </c>
      <c r="AA30" t="s">
        <v>1879</v>
      </c>
      <c r="AC30" t="s">
        <v>2197</v>
      </c>
      <c r="AD30">
        <v>12</v>
      </c>
      <c r="AG30">
        <v>19</v>
      </c>
      <c r="AH30">
        <v>1</v>
      </c>
      <c r="AI30">
        <v>0</v>
      </c>
      <c r="AJ30">
        <v>248.2</v>
      </c>
      <c r="AM30" t="s">
        <v>629</v>
      </c>
      <c r="AN30">
        <v>31000</v>
      </c>
      <c r="AT30">
        <v>1.1</v>
      </c>
      <c r="AU30" t="s">
        <v>2489</v>
      </c>
      <c r="AV30" t="s">
        <v>663</v>
      </c>
    </row>
    <row r="31" spans="1:48">
      <c r="A31" s="1">
        <f>HYPERLINK("https://lsnyc.legalserver.org/matter/dynamic-profile/view/1891887","19-1891887")</f>
        <v>0</v>
      </c>
      <c r="B31" t="s">
        <v>674</v>
      </c>
      <c r="C31" t="s">
        <v>54</v>
      </c>
      <c r="D31" t="s">
        <v>124</v>
      </c>
      <c r="E31" t="s">
        <v>88</v>
      </c>
      <c r="F31" t="s">
        <v>875</v>
      </c>
      <c r="G31" t="s">
        <v>1119</v>
      </c>
      <c r="H31" t="s">
        <v>1355</v>
      </c>
      <c r="I31" t="s">
        <v>402</v>
      </c>
      <c r="J31">
        <v>11207</v>
      </c>
      <c r="K31" t="s">
        <v>422</v>
      </c>
      <c r="L31" t="s">
        <v>422</v>
      </c>
      <c r="O31" t="s">
        <v>441</v>
      </c>
      <c r="P31" t="s">
        <v>447</v>
      </c>
      <c r="Q31" t="s">
        <v>450</v>
      </c>
      <c r="T31" t="s">
        <v>453</v>
      </c>
      <c r="W31">
        <v>1500</v>
      </c>
      <c r="X31" t="s">
        <v>458</v>
      </c>
      <c r="Y31" t="s">
        <v>464</v>
      </c>
      <c r="Z31" t="s">
        <v>1846</v>
      </c>
      <c r="AA31" t="s">
        <v>1880</v>
      </c>
      <c r="AC31" t="s">
        <v>2198</v>
      </c>
      <c r="AD31">
        <v>2</v>
      </c>
      <c r="AF31" t="s">
        <v>625</v>
      </c>
      <c r="AG31">
        <v>6</v>
      </c>
      <c r="AH31">
        <v>1</v>
      </c>
      <c r="AI31">
        <v>1</v>
      </c>
      <c r="AJ31">
        <v>345.95</v>
      </c>
      <c r="AM31" t="s">
        <v>631</v>
      </c>
      <c r="AN31">
        <v>58500</v>
      </c>
      <c r="AT31">
        <v>0.3</v>
      </c>
      <c r="AU31" t="s">
        <v>124</v>
      </c>
      <c r="AV31" t="s">
        <v>2516</v>
      </c>
    </row>
    <row r="32" spans="1:48">
      <c r="A32" s="1">
        <f>HYPERLINK("https://lsnyc.legalserver.org/matter/dynamic-profile/view/1881013","18-1881013")</f>
        <v>0</v>
      </c>
      <c r="B32" t="s">
        <v>675</v>
      </c>
      <c r="C32" t="s">
        <v>54</v>
      </c>
      <c r="D32" t="s">
        <v>713</v>
      </c>
      <c r="E32" t="s">
        <v>769</v>
      </c>
      <c r="F32" t="s">
        <v>876</v>
      </c>
      <c r="G32" t="s">
        <v>1120</v>
      </c>
      <c r="H32" t="s">
        <v>1356</v>
      </c>
      <c r="I32" t="s">
        <v>1601</v>
      </c>
      <c r="J32">
        <v>11206</v>
      </c>
      <c r="K32" t="s">
        <v>422</v>
      </c>
      <c r="L32" t="s">
        <v>422</v>
      </c>
      <c r="N32" t="s">
        <v>437</v>
      </c>
      <c r="O32" t="s">
        <v>443</v>
      </c>
      <c r="P32" t="s">
        <v>449</v>
      </c>
      <c r="Q32" t="s">
        <v>450</v>
      </c>
      <c r="T32" t="s">
        <v>453</v>
      </c>
      <c r="W32">
        <v>0</v>
      </c>
      <c r="X32" t="s">
        <v>458</v>
      </c>
      <c r="Z32" t="s">
        <v>474</v>
      </c>
      <c r="AA32" t="s">
        <v>1881</v>
      </c>
      <c r="AD32">
        <v>0</v>
      </c>
      <c r="AE32" t="s">
        <v>2419</v>
      </c>
      <c r="AG32">
        <v>5</v>
      </c>
      <c r="AH32">
        <v>1</v>
      </c>
      <c r="AI32">
        <v>0</v>
      </c>
      <c r="AJ32">
        <v>0</v>
      </c>
      <c r="AM32" t="s">
        <v>629</v>
      </c>
      <c r="AN32">
        <v>0</v>
      </c>
      <c r="AT32">
        <v>1.8</v>
      </c>
      <c r="AU32" t="s">
        <v>813</v>
      </c>
      <c r="AV32" t="s">
        <v>50</v>
      </c>
    </row>
    <row r="33" spans="1:49">
      <c r="A33" s="1">
        <f>HYPERLINK("https://lsnyc.legalserver.org/matter/dynamic-profile/view/1900448","19-1900448")</f>
        <v>0</v>
      </c>
      <c r="B33" t="s">
        <v>675</v>
      </c>
      <c r="C33" t="s">
        <v>55</v>
      </c>
      <c r="D33" t="s">
        <v>714</v>
      </c>
      <c r="F33" t="s">
        <v>877</v>
      </c>
      <c r="G33" t="s">
        <v>1121</v>
      </c>
      <c r="H33" t="s">
        <v>1357</v>
      </c>
      <c r="I33" t="s">
        <v>1602</v>
      </c>
      <c r="J33">
        <v>11226</v>
      </c>
      <c r="K33" t="s">
        <v>424</v>
      </c>
      <c r="L33" t="s">
        <v>422</v>
      </c>
      <c r="M33" t="s">
        <v>1699</v>
      </c>
      <c r="N33" t="s">
        <v>436</v>
      </c>
      <c r="O33" t="s">
        <v>445</v>
      </c>
      <c r="Q33" t="s">
        <v>450</v>
      </c>
      <c r="R33" t="s">
        <v>424</v>
      </c>
      <c r="T33" t="s">
        <v>453</v>
      </c>
      <c r="U33" t="s">
        <v>457</v>
      </c>
      <c r="W33">
        <v>1050.15</v>
      </c>
      <c r="X33" t="s">
        <v>458</v>
      </c>
      <c r="Y33" t="s">
        <v>469</v>
      </c>
      <c r="AA33" t="s">
        <v>1882</v>
      </c>
      <c r="AD33">
        <v>36</v>
      </c>
      <c r="AE33" t="s">
        <v>622</v>
      </c>
      <c r="AG33">
        <v>21</v>
      </c>
      <c r="AH33">
        <v>2</v>
      </c>
      <c r="AI33">
        <v>1</v>
      </c>
      <c r="AJ33">
        <v>48.76</v>
      </c>
      <c r="AM33" t="s">
        <v>631</v>
      </c>
      <c r="AN33">
        <v>10400</v>
      </c>
      <c r="AT33">
        <v>0.2</v>
      </c>
      <c r="AU33" t="s">
        <v>714</v>
      </c>
      <c r="AV33" t="s">
        <v>50</v>
      </c>
    </row>
    <row r="34" spans="1:49">
      <c r="A34" s="1">
        <f>HYPERLINK("https://lsnyc.legalserver.org/matter/dynamic-profile/view/1880738","18-1880738")</f>
        <v>0</v>
      </c>
      <c r="B34" t="s">
        <v>675</v>
      </c>
      <c r="C34" t="s">
        <v>54</v>
      </c>
      <c r="D34" t="s">
        <v>715</v>
      </c>
      <c r="E34" t="s">
        <v>832</v>
      </c>
      <c r="F34" t="s">
        <v>878</v>
      </c>
      <c r="G34" t="s">
        <v>1122</v>
      </c>
      <c r="H34" t="s">
        <v>309</v>
      </c>
      <c r="I34" t="s">
        <v>392</v>
      </c>
      <c r="J34">
        <v>11226</v>
      </c>
      <c r="K34" t="s">
        <v>424</v>
      </c>
      <c r="L34" t="s">
        <v>424</v>
      </c>
      <c r="N34" t="s">
        <v>436</v>
      </c>
      <c r="O34" t="s">
        <v>443</v>
      </c>
      <c r="P34" t="s">
        <v>448</v>
      </c>
      <c r="Q34" t="s">
        <v>450</v>
      </c>
      <c r="R34" t="s">
        <v>424</v>
      </c>
      <c r="T34" t="s">
        <v>453</v>
      </c>
      <c r="W34">
        <v>945</v>
      </c>
      <c r="X34" t="s">
        <v>458</v>
      </c>
      <c r="Y34" t="s">
        <v>463</v>
      </c>
      <c r="Z34" t="s">
        <v>474</v>
      </c>
      <c r="AA34" t="s">
        <v>1883</v>
      </c>
      <c r="AD34">
        <v>48</v>
      </c>
      <c r="AE34" t="s">
        <v>622</v>
      </c>
      <c r="AF34" t="s">
        <v>625</v>
      </c>
      <c r="AG34">
        <v>30</v>
      </c>
      <c r="AH34">
        <v>2</v>
      </c>
      <c r="AI34">
        <v>0</v>
      </c>
      <c r="AJ34">
        <v>273.39</v>
      </c>
      <c r="AM34" t="s">
        <v>629</v>
      </c>
      <c r="AN34">
        <v>45000</v>
      </c>
      <c r="AO34" t="s">
        <v>2440</v>
      </c>
      <c r="AT34">
        <v>0.5</v>
      </c>
      <c r="AU34" t="s">
        <v>144</v>
      </c>
      <c r="AV34" t="s">
        <v>675</v>
      </c>
    </row>
    <row r="35" spans="1:49">
      <c r="A35" s="1">
        <f>HYPERLINK("https://lsnyc.legalserver.org/matter/dynamic-profile/view/1886364","18-1886364")</f>
        <v>0</v>
      </c>
      <c r="B35" t="s">
        <v>676</v>
      </c>
      <c r="C35" t="s">
        <v>54</v>
      </c>
      <c r="D35" t="s">
        <v>716</v>
      </c>
      <c r="E35" t="s">
        <v>82</v>
      </c>
      <c r="F35" t="s">
        <v>175</v>
      </c>
      <c r="G35" t="s">
        <v>1123</v>
      </c>
      <c r="H35" t="s">
        <v>1358</v>
      </c>
      <c r="I35" t="s">
        <v>1603</v>
      </c>
      <c r="J35">
        <v>11213</v>
      </c>
      <c r="K35" t="s">
        <v>423</v>
      </c>
      <c r="L35" t="s">
        <v>423</v>
      </c>
      <c r="M35" t="s">
        <v>1700</v>
      </c>
      <c r="N35" t="s">
        <v>437</v>
      </c>
      <c r="O35" t="s">
        <v>441</v>
      </c>
      <c r="P35" t="s">
        <v>447</v>
      </c>
      <c r="Q35" t="s">
        <v>1828</v>
      </c>
      <c r="R35" t="s">
        <v>423</v>
      </c>
      <c r="T35" t="s">
        <v>1831</v>
      </c>
      <c r="W35">
        <v>975</v>
      </c>
      <c r="X35" t="s">
        <v>458</v>
      </c>
      <c r="Y35" t="s">
        <v>459</v>
      </c>
      <c r="Z35" t="s">
        <v>470</v>
      </c>
      <c r="AA35" t="s">
        <v>1884</v>
      </c>
      <c r="AD35">
        <v>130</v>
      </c>
      <c r="AE35" t="s">
        <v>2420</v>
      </c>
      <c r="AF35" t="s">
        <v>626</v>
      </c>
      <c r="AG35">
        <v>35</v>
      </c>
      <c r="AH35">
        <v>1</v>
      </c>
      <c r="AI35">
        <v>0</v>
      </c>
      <c r="AJ35">
        <v>0</v>
      </c>
      <c r="AM35" t="s">
        <v>630</v>
      </c>
      <c r="AN35">
        <v>0</v>
      </c>
      <c r="AT35">
        <v>0.4</v>
      </c>
      <c r="AU35" t="s">
        <v>82</v>
      </c>
      <c r="AV35" t="s">
        <v>674</v>
      </c>
    </row>
    <row r="36" spans="1:49">
      <c r="A36" s="1">
        <f>HYPERLINK("https://lsnyc.legalserver.org/matter/dynamic-profile/view/1887340","19-1887340")</f>
        <v>0</v>
      </c>
      <c r="B36" t="s">
        <v>676</v>
      </c>
      <c r="C36" t="s">
        <v>54</v>
      </c>
      <c r="D36" t="s">
        <v>86</v>
      </c>
      <c r="E36" t="s">
        <v>832</v>
      </c>
      <c r="F36" t="s">
        <v>148</v>
      </c>
      <c r="G36" t="s">
        <v>1124</v>
      </c>
      <c r="H36" t="s">
        <v>1359</v>
      </c>
      <c r="I36" t="s">
        <v>1604</v>
      </c>
      <c r="J36">
        <v>11213</v>
      </c>
      <c r="K36" t="s">
        <v>423</v>
      </c>
      <c r="L36" t="s">
        <v>423</v>
      </c>
      <c r="M36" t="s">
        <v>1701</v>
      </c>
      <c r="O36" t="s">
        <v>441</v>
      </c>
      <c r="P36" t="s">
        <v>449</v>
      </c>
      <c r="Q36" t="s">
        <v>450</v>
      </c>
      <c r="R36" t="s">
        <v>423</v>
      </c>
      <c r="T36" t="s">
        <v>1830</v>
      </c>
      <c r="W36">
        <v>0</v>
      </c>
      <c r="X36" t="s">
        <v>458</v>
      </c>
      <c r="Y36" t="s">
        <v>459</v>
      </c>
      <c r="Z36" t="s">
        <v>1847</v>
      </c>
      <c r="AD36">
        <v>0</v>
      </c>
      <c r="AG36">
        <v>0</v>
      </c>
      <c r="AH36">
        <v>1</v>
      </c>
      <c r="AI36">
        <v>0</v>
      </c>
      <c r="AJ36">
        <v>0</v>
      </c>
      <c r="AM36" t="s">
        <v>629</v>
      </c>
      <c r="AN36">
        <v>0</v>
      </c>
      <c r="AT36">
        <v>0.1</v>
      </c>
      <c r="AU36" t="s">
        <v>832</v>
      </c>
      <c r="AV36" t="s">
        <v>674</v>
      </c>
    </row>
    <row r="37" spans="1:49">
      <c r="A37" s="1">
        <f>HYPERLINK("https://lsnyc.legalserver.org/matter/dynamic-profile/view/1892872","19-1892872")</f>
        <v>0</v>
      </c>
      <c r="B37" t="s">
        <v>676</v>
      </c>
      <c r="C37" t="s">
        <v>55</v>
      </c>
      <c r="D37" t="s">
        <v>703</v>
      </c>
      <c r="F37" t="s">
        <v>879</v>
      </c>
      <c r="G37" t="s">
        <v>1098</v>
      </c>
      <c r="H37" t="s">
        <v>1360</v>
      </c>
      <c r="I37" t="s">
        <v>1605</v>
      </c>
      <c r="J37">
        <v>11207</v>
      </c>
      <c r="K37" t="s">
        <v>424</v>
      </c>
      <c r="L37" t="s">
        <v>424</v>
      </c>
      <c r="M37" t="s">
        <v>1702</v>
      </c>
      <c r="N37" t="s">
        <v>437</v>
      </c>
      <c r="O37" t="s">
        <v>445</v>
      </c>
      <c r="Q37" t="s">
        <v>450</v>
      </c>
      <c r="T37" t="s">
        <v>453</v>
      </c>
      <c r="W37">
        <v>1435</v>
      </c>
      <c r="X37" t="s">
        <v>458</v>
      </c>
      <c r="AA37" t="s">
        <v>1885</v>
      </c>
      <c r="AB37">
        <v>9507238</v>
      </c>
      <c r="AC37" t="s">
        <v>2199</v>
      </c>
      <c r="AD37">
        <v>6</v>
      </c>
      <c r="AE37" t="s">
        <v>622</v>
      </c>
      <c r="AG37">
        <v>7</v>
      </c>
      <c r="AH37">
        <v>1</v>
      </c>
      <c r="AI37">
        <v>4</v>
      </c>
      <c r="AJ37">
        <v>10.02</v>
      </c>
      <c r="AM37" t="s">
        <v>629</v>
      </c>
      <c r="AN37">
        <v>3024</v>
      </c>
      <c r="AT37">
        <v>36.7</v>
      </c>
      <c r="AU37" t="s">
        <v>2490</v>
      </c>
      <c r="AV37" t="s">
        <v>674</v>
      </c>
    </row>
    <row r="38" spans="1:49">
      <c r="A38" s="1">
        <f>HYPERLINK("https://lsnyc.legalserver.org/matter/dynamic-profile/view/1887321","19-1887321")</f>
        <v>0</v>
      </c>
      <c r="B38" t="s">
        <v>676</v>
      </c>
      <c r="C38" t="s">
        <v>54</v>
      </c>
      <c r="D38" t="s">
        <v>86</v>
      </c>
      <c r="E38" t="s">
        <v>832</v>
      </c>
      <c r="F38" t="s">
        <v>880</v>
      </c>
      <c r="G38" t="s">
        <v>1125</v>
      </c>
      <c r="H38" t="s">
        <v>1361</v>
      </c>
      <c r="I38" t="s">
        <v>1606</v>
      </c>
      <c r="J38">
        <v>11213</v>
      </c>
      <c r="K38" t="s">
        <v>423</v>
      </c>
      <c r="L38" t="s">
        <v>423</v>
      </c>
      <c r="M38" t="s">
        <v>1703</v>
      </c>
      <c r="N38" t="s">
        <v>437</v>
      </c>
      <c r="O38" t="s">
        <v>443</v>
      </c>
      <c r="P38" t="s">
        <v>448</v>
      </c>
      <c r="Q38" t="s">
        <v>450</v>
      </c>
      <c r="R38" t="s">
        <v>423</v>
      </c>
      <c r="T38" t="s">
        <v>453</v>
      </c>
      <c r="W38">
        <v>213</v>
      </c>
      <c r="X38" t="s">
        <v>458</v>
      </c>
      <c r="Y38" t="s">
        <v>459</v>
      </c>
      <c r="Z38" t="s">
        <v>474</v>
      </c>
      <c r="AA38" t="s">
        <v>1886</v>
      </c>
      <c r="AC38" t="s">
        <v>2200</v>
      </c>
      <c r="AD38">
        <v>80</v>
      </c>
      <c r="AF38" t="s">
        <v>626</v>
      </c>
      <c r="AG38">
        <v>0</v>
      </c>
      <c r="AH38">
        <v>2</v>
      </c>
      <c r="AI38">
        <v>0</v>
      </c>
      <c r="AJ38">
        <v>54.68</v>
      </c>
      <c r="AM38" t="s">
        <v>629</v>
      </c>
      <c r="AN38">
        <v>9000</v>
      </c>
      <c r="AT38">
        <v>0.1</v>
      </c>
      <c r="AU38" t="s">
        <v>832</v>
      </c>
      <c r="AV38" t="s">
        <v>674</v>
      </c>
    </row>
    <row r="39" spans="1:49">
      <c r="A39" s="1">
        <f>HYPERLINK("https://lsnyc.legalserver.org/matter/dynamic-profile/view/1874641","18-1874641")</f>
        <v>0</v>
      </c>
      <c r="B39" t="s">
        <v>676</v>
      </c>
      <c r="C39" t="s">
        <v>54</v>
      </c>
      <c r="D39" t="s">
        <v>82</v>
      </c>
      <c r="E39" t="s">
        <v>82</v>
      </c>
      <c r="F39" t="s">
        <v>881</v>
      </c>
      <c r="G39" t="s">
        <v>1126</v>
      </c>
      <c r="H39" t="s">
        <v>1362</v>
      </c>
      <c r="J39">
        <v>11208</v>
      </c>
      <c r="K39" t="s">
        <v>423</v>
      </c>
      <c r="L39" t="s">
        <v>423</v>
      </c>
      <c r="M39" t="s">
        <v>1704</v>
      </c>
      <c r="N39" t="s">
        <v>434</v>
      </c>
      <c r="O39" t="s">
        <v>441</v>
      </c>
      <c r="P39" t="s">
        <v>447</v>
      </c>
      <c r="Q39" t="s">
        <v>450</v>
      </c>
      <c r="R39" t="s">
        <v>424</v>
      </c>
      <c r="T39" t="s">
        <v>453</v>
      </c>
      <c r="W39">
        <v>0</v>
      </c>
      <c r="X39" t="s">
        <v>458</v>
      </c>
      <c r="Y39" t="s">
        <v>1835</v>
      </c>
      <c r="Z39" t="s">
        <v>470</v>
      </c>
      <c r="AA39" t="s">
        <v>1887</v>
      </c>
      <c r="AD39">
        <v>7</v>
      </c>
      <c r="AE39" t="s">
        <v>622</v>
      </c>
      <c r="AG39">
        <v>9</v>
      </c>
      <c r="AH39">
        <v>2</v>
      </c>
      <c r="AI39">
        <v>0</v>
      </c>
      <c r="AJ39">
        <v>58.32</v>
      </c>
      <c r="AM39" t="s">
        <v>629</v>
      </c>
      <c r="AN39">
        <v>9600</v>
      </c>
      <c r="AO39" t="s">
        <v>2441</v>
      </c>
      <c r="AT39">
        <v>1</v>
      </c>
      <c r="AU39" t="s">
        <v>846</v>
      </c>
      <c r="AV39" t="s">
        <v>676</v>
      </c>
    </row>
    <row r="40" spans="1:49">
      <c r="A40" s="1">
        <f>HYPERLINK("https://lsnyc.legalserver.org/matter/dynamic-profile/view/1874229","18-1874229")</f>
        <v>0</v>
      </c>
      <c r="B40" t="s">
        <v>676</v>
      </c>
      <c r="C40" t="s">
        <v>55</v>
      </c>
      <c r="D40" t="s">
        <v>717</v>
      </c>
      <c r="F40" t="s">
        <v>882</v>
      </c>
      <c r="G40" t="s">
        <v>1127</v>
      </c>
      <c r="H40" t="s">
        <v>1363</v>
      </c>
      <c r="J40">
        <v>11208</v>
      </c>
      <c r="K40" t="s">
        <v>424</v>
      </c>
      <c r="L40" t="s">
        <v>422</v>
      </c>
      <c r="M40" t="s">
        <v>1705</v>
      </c>
      <c r="N40" t="s">
        <v>434</v>
      </c>
      <c r="O40" t="s">
        <v>442</v>
      </c>
      <c r="Q40" t="s">
        <v>450</v>
      </c>
      <c r="T40" t="s">
        <v>453</v>
      </c>
      <c r="W40">
        <v>0</v>
      </c>
      <c r="X40" t="s">
        <v>458</v>
      </c>
      <c r="AA40" t="s">
        <v>1888</v>
      </c>
      <c r="AD40">
        <v>0</v>
      </c>
      <c r="AG40">
        <v>0</v>
      </c>
      <c r="AH40">
        <v>1</v>
      </c>
      <c r="AI40">
        <v>0</v>
      </c>
      <c r="AJ40">
        <v>84.02</v>
      </c>
      <c r="AM40" t="s">
        <v>629</v>
      </c>
      <c r="AN40">
        <v>10200</v>
      </c>
      <c r="AT40">
        <v>10.2</v>
      </c>
      <c r="AU40" t="s">
        <v>69</v>
      </c>
      <c r="AV40" t="s">
        <v>676</v>
      </c>
    </row>
    <row r="41" spans="1:49">
      <c r="A41" s="1">
        <f>HYPERLINK("https://lsnyc.legalserver.org/matter/dynamic-profile/view/1903231","19-1903231")</f>
        <v>0</v>
      </c>
      <c r="B41" t="s">
        <v>676</v>
      </c>
      <c r="C41" t="s">
        <v>55</v>
      </c>
      <c r="D41" t="s">
        <v>56</v>
      </c>
      <c r="F41" t="s">
        <v>883</v>
      </c>
      <c r="G41" t="s">
        <v>1128</v>
      </c>
      <c r="H41" t="s">
        <v>1364</v>
      </c>
      <c r="I41" t="s">
        <v>375</v>
      </c>
      <c r="J41">
        <v>11212</v>
      </c>
      <c r="K41" t="s">
        <v>424</v>
      </c>
      <c r="L41" t="s">
        <v>422</v>
      </c>
      <c r="M41" t="s">
        <v>625</v>
      </c>
      <c r="N41" t="s">
        <v>437</v>
      </c>
      <c r="O41" t="s">
        <v>445</v>
      </c>
      <c r="Q41" t="s">
        <v>450</v>
      </c>
      <c r="R41" t="s">
        <v>423</v>
      </c>
      <c r="T41" t="s">
        <v>453</v>
      </c>
      <c r="U41" t="s">
        <v>457</v>
      </c>
      <c r="W41">
        <v>0</v>
      </c>
      <c r="X41" t="s">
        <v>458</v>
      </c>
      <c r="AA41" t="s">
        <v>1889</v>
      </c>
      <c r="AB41" t="s">
        <v>625</v>
      </c>
      <c r="AC41" t="s">
        <v>2201</v>
      </c>
      <c r="AD41">
        <v>0</v>
      </c>
      <c r="AE41" t="s">
        <v>622</v>
      </c>
      <c r="AF41" t="s">
        <v>625</v>
      </c>
      <c r="AG41">
        <v>0</v>
      </c>
      <c r="AH41">
        <v>1</v>
      </c>
      <c r="AI41">
        <v>0</v>
      </c>
      <c r="AJ41">
        <v>93.19</v>
      </c>
      <c r="AM41" t="s">
        <v>629</v>
      </c>
      <c r="AN41">
        <v>11640</v>
      </c>
      <c r="AT41">
        <v>1</v>
      </c>
      <c r="AU41" t="s">
        <v>726</v>
      </c>
      <c r="AV41" t="s">
        <v>666</v>
      </c>
      <c r="AW41" t="s">
        <v>671</v>
      </c>
    </row>
    <row r="42" spans="1:49">
      <c r="A42" s="1">
        <f>HYPERLINK("https://lsnyc.legalserver.org/matter/dynamic-profile/view/1893189","19-1893189")</f>
        <v>0</v>
      </c>
      <c r="B42" t="s">
        <v>676</v>
      </c>
      <c r="C42" t="s">
        <v>54</v>
      </c>
      <c r="D42" t="s">
        <v>642</v>
      </c>
      <c r="E42" t="s">
        <v>108</v>
      </c>
      <c r="F42" t="s">
        <v>884</v>
      </c>
      <c r="G42" t="s">
        <v>1129</v>
      </c>
      <c r="H42" t="s">
        <v>1365</v>
      </c>
      <c r="I42">
        <v>2</v>
      </c>
      <c r="J42">
        <v>11208</v>
      </c>
      <c r="K42" t="s">
        <v>423</v>
      </c>
      <c r="L42" t="s">
        <v>424</v>
      </c>
      <c r="M42" t="s">
        <v>1706</v>
      </c>
      <c r="N42" t="s">
        <v>434</v>
      </c>
      <c r="O42" t="s">
        <v>441</v>
      </c>
      <c r="P42" t="s">
        <v>447</v>
      </c>
      <c r="Q42" t="s">
        <v>450</v>
      </c>
      <c r="R42" t="s">
        <v>423</v>
      </c>
      <c r="T42" t="s">
        <v>453</v>
      </c>
      <c r="U42" t="s">
        <v>457</v>
      </c>
      <c r="W42">
        <v>0</v>
      </c>
      <c r="X42" t="s">
        <v>458</v>
      </c>
      <c r="Y42" t="s">
        <v>466</v>
      </c>
      <c r="Z42" t="s">
        <v>470</v>
      </c>
      <c r="AA42" t="s">
        <v>1890</v>
      </c>
      <c r="AC42" t="s">
        <v>2202</v>
      </c>
      <c r="AD42">
        <v>2</v>
      </c>
      <c r="AE42" t="s">
        <v>623</v>
      </c>
      <c r="AF42" t="s">
        <v>625</v>
      </c>
      <c r="AG42">
        <v>22</v>
      </c>
      <c r="AH42">
        <v>4</v>
      </c>
      <c r="AI42">
        <v>0</v>
      </c>
      <c r="AJ42">
        <v>93.2</v>
      </c>
      <c r="AN42">
        <v>24000</v>
      </c>
      <c r="AO42" t="s">
        <v>2442</v>
      </c>
      <c r="AT42">
        <v>4.9</v>
      </c>
      <c r="AU42" t="s">
        <v>108</v>
      </c>
      <c r="AV42" t="s">
        <v>666</v>
      </c>
      <c r="AW42" t="s">
        <v>671</v>
      </c>
    </row>
    <row r="43" spans="1:49">
      <c r="A43" s="1">
        <f>HYPERLINK("https://lsnyc.legalserver.org/matter/dynamic-profile/view/1902207","19-1902207")</f>
        <v>0</v>
      </c>
      <c r="B43" t="s">
        <v>676</v>
      </c>
      <c r="C43" t="s">
        <v>55</v>
      </c>
      <c r="D43" t="s">
        <v>718</v>
      </c>
      <c r="F43" t="s">
        <v>885</v>
      </c>
      <c r="G43" t="s">
        <v>1130</v>
      </c>
      <c r="H43" t="s">
        <v>1366</v>
      </c>
      <c r="I43" t="s">
        <v>1590</v>
      </c>
      <c r="J43">
        <v>11207</v>
      </c>
      <c r="K43" t="s">
        <v>424</v>
      </c>
      <c r="L43" t="s">
        <v>422</v>
      </c>
      <c r="N43" t="s">
        <v>437</v>
      </c>
      <c r="O43" t="s">
        <v>445</v>
      </c>
      <c r="Q43" t="s">
        <v>450</v>
      </c>
      <c r="R43" t="s">
        <v>423</v>
      </c>
      <c r="T43" t="s">
        <v>453</v>
      </c>
      <c r="U43" t="s">
        <v>457</v>
      </c>
      <c r="W43">
        <v>1400</v>
      </c>
      <c r="X43" t="s">
        <v>458</v>
      </c>
      <c r="Y43" t="s">
        <v>467</v>
      </c>
      <c r="AA43" t="s">
        <v>1891</v>
      </c>
      <c r="AB43" t="s">
        <v>1810</v>
      </c>
      <c r="AC43" t="s">
        <v>2203</v>
      </c>
      <c r="AD43">
        <v>6</v>
      </c>
      <c r="AE43" t="s">
        <v>622</v>
      </c>
      <c r="AF43" t="s">
        <v>625</v>
      </c>
      <c r="AG43">
        <v>10</v>
      </c>
      <c r="AH43">
        <v>2</v>
      </c>
      <c r="AI43">
        <v>0</v>
      </c>
      <c r="AJ43">
        <v>118.37</v>
      </c>
      <c r="AM43" t="s">
        <v>631</v>
      </c>
      <c r="AN43">
        <v>20016</v>
      </c>
      <c r="AT43">
        <v>6.5</v>
      </c>
      <c r="AU43" t="s">
        <v>719</v>
      </c>
      <c r="AV43" t="s">
        <v>666</v>
      </c>
      <c r="AW43" t="s">
        <v>671</v>
      </c>
    </row>
    <row r="44" spans="1:49">
      <c r="A44" s="1">
        <f>HYPERLINK("https://lsnyc.legalserver.org/matter/dynamic-profile/view/1903031","19-1903031")</f>
        <v>0</v>
      </c>
      <c r="B44" t="s">
        <v>677</v>
      </c>
      <c r="C44" t="s">
        <v>55</v>
      </c>
      <c r="D44" t="s">
        <v>719</v>
      </c>
      <c r="F44" t="s">
        <v>886</v>
      </c>
      <c r="G44" t="s">
        <v>1131</v>
      </c>
      <c r="H44" t="s">
        <v>1367</v>
      </c>
      <c r="I44">
        <v>318</v>
      </c>
      <c r="J44">
        <v>11208</v>
      </c>
      <c r="K44" t="s">
        <v>423</v>
      </c>
      <c r="L44" t="s">
        <v>422</v>
      </c>
      <c r="M44" t="s">
        <v>1707</v>
      </c>
      <c r="N44" t="s">
        <v>437</v>
      </c>
      <c r="Q44" t="s">
        <v>450</v>
      </c>
      <c r="R44" t="s">
        <v>423</v>
      </c>
      <c r="T44" t="s">
        <v>453</v>
      </c>
      <c r="W44">
        <v>1348</v>
      </c>
      <c r="X44" t="s">
        <v>458</v>
      </c>
      <c r="Y44" t="s">
        <v>467</v>
      </c>
      <c r="AA44" t="s">
        <v>1892</v>
      </c>
      <c r="AB44" t="s">
        <v>2132</v>
      </c>
      <c r="AC44" t="s">
        <v>2204</v>
      </c>
      <c r="AD44">
        <v>323</v>
      </c>
      <c r="AE44" t="s">
        <v>622</v>
      </c>
      <c r="AF44" t="s">
        <v>2428</v>
      </c>
      <c r="AG44">
        <v>0</v>
      </c>
      <c r="AH44">
        <v>1</v>
      </c>
      <c r="AI44">
        <v>0</v>
      </c>
      <c r="AJ44">
        <v>0</v>
      </c>
      <c r="AM44" t="s">
        <v>629</v>
      </c>
      <c r="AN44">
        <v>0</v>
      </c>
      <c r="AT44">
        <v>1.2</v>
      </c>
      <c r="AU44" t="s">
        <v>726</v>
      </c>
      <c r="AV44" t="s">
        <v>674</v>
      </c>
    </row>
    <row r="45" spans="1:49">
      <c r="A45" s="1">
        <f>HYPERLINK("https://lsnyc.legalserver.org/matter/dynamic-profile/view/1894449","19-1894449")</f>
        <v>0</v>
      </c>
      <c r="B45" t="s">
        <v>677</v>
      </c>
      <c r="C45" t="s">
        <v>55</v>
      </c>
      <c r="D45" t="s">
        <v>720</v>
      </c>
      <c r="F45" t="s">
        <v>887</v>
      </c>
      <c r="G45" t="s">
        <v>1132</v>
      </c>
      <c r="H45" t="s">
        <v>1368</v>
      </c>
      <c r="I45" t="s">
        <v>375</v>
      </c>
      <c r="J45">
        <v>11233</v>
      </c>
      <c r="K45" t="s">
        <v>423</v>
      </c>
      <c r="L45" t="s">
        <v>423</v>
      </c>
      <c r="M45" t="s">
        <v>1708</v>
      </c>
      <c r="N45" t="s">
        <v>437</v>
      </c>
      <c r="Q45" t="s">
        <v>450</v>
      </c>
      <c r="R45" t="s">
        <v>423</v>
      </c>
      <c r="T45" t="s">
        <v>453</v>
      </c>
      <c r="U45" t="s">
        <v>457</v>
      </c>
      <c r="W45">
        <v>1200</v>
      </c>
      <c r="X45" t="s">
        <v>458</v>
      </c>
      <c r="Y45" t="s">
        <v>467</v>
      </c>
      <c r="AA45" t="s">
        <v>1893</v>
      </c>
      <c r="AB45" t="s">
        <v>2133</v>
      </c>
      <c r="AC45" t="s">
        <v>2205</v>
      </c>
      <c r="AD45">
        <v>6</v>
      </c>
      <c r="AE45" t="s">
        <v>622</v>
      </c>
      <c r="AF45" t="s">
        <v>625</v>
      </c>
      <c r="AG45">
        <v>12</v>
      </c>
      <c r="AH45">
        <v>1</v>
      </c>
      <c r="AI45">
        <v>3</v>
      </c>
      <c r="AJ45">
        <v>35.93</v>
      </c>
      <c r="AM45" t="s">
        <v>629</v>
      </c>
      <c r="AN45">
        <v>9252</v>
      </c>
      <c r="AT45">
        <v>0.3</v>
      </c>
      <c r="AU45" t="s">
        <v>721</v>
      </c>
      <c r="AV45" t="s">
        <v>666</v>
      </c>
    </row>
    <row r="46" spans="1:49">
      <c r="A46" s="1">
        <f>HYPERLINK("https://lsnyc.legalserver.org/matter/dynamic-profile/view/1898776","19-1898776")</f>
        <v>0</v>
      </c>
      <c r="B46" t="s">
        <v>677</v>
      </c>
      <c r="C46" t="s">
        <v>55</v>
      </c>
      <c r="D46" t="s">
        <v>721</v>
      </c>
      <c r="F46" t="s">
        <v>888</v>
      </c>
      <c r="G46" t="s">
        <v>1133</v>
      </c>
      <c r="H46" t="s">
        <v>1369</v>
      </c>
      <c r="I46" t="s">
        <v>371</v>
      </c>
      <c r="J46">
        <v>11212</v>
      </c>
      <c r="K46" t="s">
        <v>423</v>
      </c>
      <c r="L46" t="s">
        <v>423</v>
      </c>
      <c r="M46" t="s">
        <v>1709</v>
      </c>
      <c r="N46" t="s">
        <v>437</v>
      </c>
      <c r="Q46" t="s">
        <v>450</v>
      </c>
      <c r="R46" t="s">
        <v>423</v>
      </c>
      <c r="T46" t="s">
        <v>453</v>
      </c>
      <c r="U46" t="s">
        <v>457</v>
      </c>
      <c r="W46">
        <v>402</v>
      </c>
      <c r="X46" t="s">
        <v>458</v>
      </c>
      <c r="Y46" t="s">
        <v>1835</v>
      </c>
      <c r="AA46" t="s">
        <v>1894</v>
      </c>
      <c r="AB46" t="s">
        <v>2134</v>
      </c>
      <c r="AC46" t="s">
        <v>2206</v>
      </c>
      <c r="AD46">
        <v>24</v>
      </c>
      <c r="AE46" t="s">
        <v>2419</v>
      </c>
      <c r="AF46" t="s">
        <v>626</v>
      </c>
      <c r="AG46">
        <v>34</v>
      </c>
      <c r="AH46">
        <v>1</v>
      </c>
      <c r="AI46">
        <v>0</v>
      </c>
      <c r="AJ46">
        <v>36.61</v>
      </c>
      <c r="AM46" t="s">
        <v>629</v>
      </c>
      <c r="AN46">
        <v>4572</v>
      </c>
      <c r="AT46">
        <v>0.2</v>
      </c>
      <c r="AU46" t="s">
        <v>2491</v>
      </c>
      <c r="AV46" t="s">
        <v>666</v>
      </c>
    </row>
    <row r="47" spans="1:49">
      <c r="A47" s="1">
        <f>HYPERLINK("https://lsnyc.legalserver.org/matter/dynamic-profile/view/1883645","18-1883645")</f>
        <v>0</v>
      </c>
      <c r="B47" t="s">
        <v>677</v>
      </c>
      <c r="C47" t="s">
        <v>54</v>
      </c>
      <c r="D47" t="s">
        <v>722</v>
      </c>
      <c r="E47" t="s">
        <v>815</v>
      </c>
      <c r="F47" t="s">
        <v>889</v>
      </c>
      <c r="G47" t="s">
        <v>1134</v>
      </c>
      <c r="H47" t="s">
        <v>1370</v>
      </c>
      <c r="I47" t="s">
        <v>372</v>
      </c>
      <c r="J47">
        <v>11233</v>
      </c>
      <c r="K47" t="s">
        <v>423</v>
      </c>
      <c r="L47" t="s">
        <v>423</v>
      </c>
      <c r="N47" t="s">
        <v>1814</v>
      </c>
      <c r="O47" t="s">
        <v>441</v>
      </c>
      <c r="P47" t="s">
        <v>447</v>
      </c>
      <c r="Q47" t="s">
        <v>450</v>
      </c>
      <c r="R47" t="s">
        <v>423</v>
      </c>
      <c r="T47" t="s">
        <v>453</v>
      </c>
      <c r="U47" t="s">
        <v>457</v>
      </c>
      <c r="W47">
        <v>1643</v>
      </c>
      <c r="X47" t="s">
        <v>458</v>
      </c>
      <c r="Y47" t="s">
        <v>467</v>
      </c>
      <c r="Z47" t="s">
        <v>470</v>
      </c>
      <c r="AA47" t="s">
        <v>1895</v>
      </c>
      <c r="AB47" t="s">
        <v>2135</v>
      </c>
      <c r="AC47" t="s">
        <v>2207</v>
      </c>
      <c r="AD47">
        <v>6</v>
      </c>
      <c r="AE47" t="s">
        <v>622</v>
      </c>
      <c r="AG47">
        <v>8</v>
      </c>
      <c r="AH47">
        <v>1</v>
      </c>
      <c r="AI47">
        <v>4</v>
      </c>
      <c r="AJ47">
        <v>60.49</v>
      </c>
      <c r="AM47" t="s">
        <v>629</v>
      </c>
      <c r="AN47">
        <v>17796</v>
      </c>
      <c r="AT47">
        <v>1.5</v>
      </c>
      <c r="AU47" t="s">
        <v>69</v>
      </c>
      <c r="AV47" t="s">
        <v>666</v>
      </c>
    </row>
    <row r="48" spans="1:49">
      <c r="A48" s="1">
        <f>HYPERLINK("https://lsnyc.legalserver.org/matter/dynamic-profile/view/1901836","19-1901836")</f>
        <v>0</v>
      </c>
      <c r="B48" t="s">
        <v>677</v>
      </c>
      <c r="C48" t="s">
        <v>55</v>
      </c>
      <c r="D48" t="s">
        <v>120</v>
      </c>
      <c r="F48" t="s">
        <v>157</v>
      </c>
      <c r="G48" t="s">
        <v>1135</v>
      </c>
      <c r="H48" t="s">
        <v>1371</v>
      </c>
      <c r="I48" t="s">
        <v>1607</v>
      </c>
      <c r="J48">
        <v>11233</v>
      </c>
      <c r="K48" t="s">
        <v>423</v>
      </c>
      <c r="L48" t="s">
        <v>422</v>
      </c>
      <c r="M48" t="s">
        <v>1710</v>
      </c>
      <c r="N48" t="s">
        <v>437</v>
      </c>
      <c r="Q48" t="s">
        <v>450</v>
      </c>
      <c r="R48" t="s">
        <v>423</v>
      </c>
      <c r="T48" t="s">
        <v>453</v>
      </c>
      <c r="U48" t="s">
        <v>1834</v>
      </c>
      <c r="W48">
        <v>0</v>
      </c>
      <c r="X48" t="s">
        <v>458</v>
      </c>
      <c r="Y48" t="s">
        <v>1838</v>
      </c>
      <c r="AA48" t="s">
        <v>1896</v>
      </c>
      <c r="AB48" t="s">
        <v>2136</v>
      </c>
      <c r="AC48" t="s">
        <v>2208</v>
      </c>
      <c r="AD48">
        <v>36</v>
      </c>
      <c r="AE48" t="s">
        <v>622</v>
      </c>
      <c r="AF48" t="s">
        <v>626</v>
      </c>
      <c r="AG48">
        <v>15</v>
      </c>
      <c r="AH48">
        <v>2</v>
      </c>
      <c r="AI48">
        <v>0</v>
      </c>
      <c r="AJ48">
        <v>64.87</v>
      </c>
      <c r="AM48" t="s">
        <v>629</v>
      </c>
      <c r="AN48">
        <v>10970.16</v>
      </c>
      <c r="AT48">
        <v>6.6</v>
      </c>
      <c r="AU48" t="s">
        <v>719</v>
      </c>
      <c r="AV48" t="s">
        <v>664</v>
      </c>
      <c r="AW48" t="s">
        <v>2528</v>
      </c>
    </row>
    <row r="49" spans="1:49">
      <c r="A49" s="1">
        <f>HYPERLINK("https://lsnyc.legalserver.org/matter/dynamic-profile/view/1902677","19-1902677")</f>
        <v>0</v>
      </c>
      <c r="B49" t="s">
        <v>677</v>
      </c>
      <c r="C49" t="s">
        <v>55</v>
      </c>
      <c r="D49" t="s">
        <v>699</v>
      </c>
      <c r="F49" t="s">
        <v>890</v>
      </c>
      <c r="G49" t="s">
        <v>1136</v>
      </c>
      <c r="H49" t="s">
        <v>1372</v>
      </c>
      <c r="I49" t="s">
        <v>1608</v>
      </c>
      <c r="J49">
        <v>11213</v>
      </c>
      <c r="K49" t="s">
        <v>423</v>
      </c>
      <c r="L49" t="s">
        <v>422</v>
      </c>
      <c r="M49" t="s">
        <v>625</v>
      </c>
      <c r="Q49" t="s">
        <v>450</v>
      </c>
      <c r="R49" t="s">
        <v>423</v>
      </c>
      <c r="T49" t="s">
        <v>453</v>
      </c>
      <c r="U49" t="s">
        <v>457</v>
      </c>
      <c r="W49">
        <v>831</v>
      </c>
      <c r="X49" t="s">
        <v>458</v>
      </c>
      <c r="Y49" t="s">
        <v>465</v>
      </c>
      <c r="AA49" t="s">
        <v>1897</v>
      </c>
      <c r="AB49" t="s">
        <v>625</v>
      </c>
      <c r="AC49" t="s">
        <v>2209</v>
      </c>
      <c r="AD49">
        <v>200</v>
      </c>
      <c r="AE49" t="s">
        <v>622</v>
      </c>
      <c r="AF49" t="s">
        <v>625</v>
      </c>
      <c r="AG49">
        <v>16</v>
      </c>
      <c r="AH49">
        <v>3</v>
      </c>
      <c r="AI49">
        <v>0</v>
      </c>
      <c r="AJ49">
        <v>93.76000000000001</v>
      </c>
      <c r="AM49" t="s">
        <v>629</v>
      </c>
      <c r="AN49">
        <v>20000</v>
      </c>
      <c r="AT49">
        <v>0</v>
      </c>
      <c r="AV49" t="s">
        <v>666</v>
      </c>
      <c r="AW49" t="s">
        <v>671</v>
      </c>
    </row>
    <row r="50" spans="1:49">
      <c r="A50" s="1">
        <f>HYPERLINK("https://lsnyc.legalserver.org/matter/dynamic-profile/view/1891411","19-1891411")</f>
        <v>0</v>
      </c>
      <c r="B50" t="s">
        <v>677</v>
      </c>
      <c r="C50" t="s">
        <v>55</v>
      </c>
      <c r="D50" t="s">
        <v>723</v>
      </c>
      <c r="F50" t="s">
        <v>891</v>
      </c>
      <c r="G50" t="s">
        <v>1137</v>
      </c>
      <c r="H50" t="s">
        <v>1373</v>
      </c>
      <c r="I50" t="s">
        <v>1609</v>
      </c>
      <c r="J50">
        <v>11233</v>
      </c>
      <c r="K50" t="s">
        <v>423</v>
      </c>
      <c r="L50" t="s">
        <v>423</v>
      </c>
      <c r="M50" t="s">
        <v>1711</v>
      </c>
      <c r="N50" t="s">
        <v>434</v>
      </c>
      <c r="Q50" t="s">
        <v>450</v>
      </c>
      <c r="R50" t="s">
        <v>1829</v>
      </c>
      <c r="T50" t="s">
        <v>453</v>
      </c>
      <c r="U50" t="s">
        <v>457</v>
      </c>
      <c r="W50">
        <v>1350</v>
      </c>
      <c r="X50" t="s">
        <v>458</v>
      </c>
      <c r="Y50" t="s">
        <v>1836</v>
      </c>
      <c r="AA50" t="s">
        <v>1898</v>
      </c>
      <c r="AB50" t="s">
        <v>2137</v>
      </c>
      <c r="AC50" t="s">
        <v>2210</v>
      </c>
      <c r="AD50">
        <v>7</v>
      </c>
      <c r="AE50" t="s">
        <v>623</v>
      </c>
      <c r="AF50" t="s">
        <v>625</v>
      </c>
      <c r="AG50">
        <v>10</v>
      </c>
      <c r="AH50">
        <v>2</v>
      </c>
      <c r="AI50">
        <v>4</v>
      </c>
      <c r="AJ50">
        <v>108.99</v>
      </c>
      <c r="AM50" t="s">
        <v>629</v>
      </c>
      <c r="AN50">
        <v>37700</v>
      </c>
      <c r="AT50">
        <v>0</v>
      </c>
      <c r="AV50" t="s">
        <v>666</v>
      </c>
    </row>
    <row r="51" spans="1:49">
      <c r="A51" s="1">
        <f>HYPERLINK("https://lsnyc.legalserver.org/matter/dynamic-profile/view/1895582","19-1895582")</f>
        <v>0</v>
      </c>
      <c r="B51" t="s">
        <v>677</v>
      </c>
      <c r="C51" t="s">
        <v>55</v>
      </c>
      <c r="D51" t="s">
        <v>91</v>
      </c>
      <c r="F51" t="s">
        <v>892</v>
      </c>
      <c r="G51" t="s">
        <v>248</v>
      </c>
      <c r="H51" t="s">
        <v>1374</v>
      </c>
      <c r="J51">
        <v>11233</v>
      </c>
      <c r="K51" t="s">
        <v>423</v>
      </c>
      <c r="L51" t="s">
        <v>423</v>
      </c>
      <c r="M51" t="s">
        <v>1712</v>
      </c>
      <c r="N51" t="s">
        <v>434</v>
      </c>
      <c r="Q51" t="s">
        <v>450</v>
      </c>
      <c r="R51" t="s">
        <v>423</v>
      </c>
      <c r="T51" t="s">
        <v>453</v>
      </c>
      <c r="U51" t="s">
        <v>457</v>
      </c>
      <c r="W51">
        <v>750</v>
      </c>
      <c r="X51" t="s">
        <v>458</v>
      </c>
      <c r="Y51" t="s">
        <v>1836</v>
      </c>
      <c r="AA51" t="s">
        <v>1899</v>
      </c>
      <c r="AB51" t="s">
        <v>2138</v>
      </c>
      <c r="AC51" t="s">
        <v>2211</v>
      </c>
      <c r="AD51">
        <v>2</v>
      </c>
      <c r="AE51" t="s">
        <v>623</v>
      </c>
      <c r="AF51" t="s">
        <v>625</v>
      </c>
      <c r="AG51">
        <v>2</v>
      </c>
      <c r="AH51">
        <v>1</v>
      </c>
      <c r="AI51">
        <v>0</v>
      </c>
      <c r="AJ51">
        <v>124.11</v>
      </c>
      <c r="AM51" t="s">
        <v>629</v>
      </c>
      <c r="AN51">
        <v>15501.6</v>
      </c>
      <c r="AT51">
        <v>4.25</v>
      </c>
      <c r="AU51" t="s">
        <v>771</v>
      </c>
      <c r="AV51" t="s">
        <v>2516</v>
      </c>
      <c r="AW51" t="s">
        <v>2528</v>
      </c>
    </row>
    <row r="52" spans="1:49">
      <c r="A52" s="1">
        <f>HYPERLINK("https://lsnyc.legalserver.org/matter/dynamic-profile/view/1898702","19-1898702")</f>
        <v>0</v>
      </c>
      <c r="B52" t="s">
        <v>677</v>
      </c>
      <c r="C52" t="s">
        <v>55</v>
      </c>
      <c r="D52" t="s">
        <v>721</v>
      </c>
      <c r="F52" t="s">
        <v>893</v>
      </c>
      <c r="G52" t="s">
        <v>1138</v>
      </c>
      <c r="H52" t="s">
        <v>1375</v>
      </c>
      <c r="I52">
        <v>1</v>
      </c>
      <c r="J52">
        <v>11207</v>
      </c>
      <c r="K52" t="s">
        <v>424</v>
      </c>
      <c r="L52" t="s">
        <v>424</v>
      </c>
      <c r="Q52" t="s">
        <v>450</v>
      </c>
      <c r="T52" t="s">
        <v>453</v>
      </c>
      <c r="W52">
        <v>870</v>
      </c>
      <c r="X52" t="s">
        <v>458</v>
      </c>
      <c r="AA52" t="s">
        <v>1900</v>
      </c>
      <c r="AD52">
        <v>2</v>
      </c>
      <c r="AE52" t="s">
        <v>623</v>
      </c>
      <c r="AG52">
        <v>2</v>
      </c>
      <c r="AH52">
        <v>2</v>
      </c>
      <c r="AI52">
        <v>2</v>
      </c>
      <c r="AJ52">
        <v>149.44</v>
      </c>
      <c r="AM52" t="s">
        <v>631</v>
      </c>
      <c r="AN52">
        <v>38480</v>
      </c>
      <c r="AT52">
        <v>0</v>
      </c>
      <c r="AV52" t="s">
        <v>666</v>
      </c>
    </row>
    <row r="53" spans="1:49">
      <c r="A53" s="1">
        <f>HYPERLINK("https://lsnyc.legalserver.org/matter/dynamic-profile/view/1902901","19-1902901")</f>
        <v>0</v>
      </c>
      <c r="B53" t="s">
        <v>677</v>
      </c>
      <c r="C53" t="s">
        <v>55</v>
      </c>
      <c r="D53" t="s">
        <v>137</v>
      </c>
      <c r="F53" t="s">
        <v>162</v>
      </c>
      <c r="G53" t="s">
        <v>1139</v>
      </c>
      <c r="H53" t="s">
        <v>1376</v>
      </c>
      <c r="I53" t="s">
        <v>1610</v>
      </c>
      <c r="J53">
        <v>11208</v>
      </c>
      <c r="K53" t="s">
        <v>423</v>
      </c>
      <c r="L53" t="s">
        <v>422</v>
      </c>
      <c r="M53" t="s">
        <v>1713</v>
      </c>
      <c r="N53" t="s">
        <v>434</v>
      </c>
      <c r="Q53" t="s">
        <v>450</v>
      </c>
      <c r="R53" t="s">
        <v>423</v>
      </c>
      <c r="T53" t="s">
        <v>453</v>
      </c>
      <c r="U53" t="s">
        <v>457</v>
      </c>
      <c r="W53">
        <v>1300</v>
      </c>
      <c r="X53" t="s">
        <v>458</v>
      </c>
      <c r="Y53" t="s">
        <v>462</v>
      </c>
      <c r="AA53" t="s">
        <v>1901</v>
      </c>
      <c r="AB53" t="s">
        <v>2139</v>
      </c>
      <c r="AC53" t="s">
        <v>2212</v>
      </c>
      <c r="AD53">
        <v>2</v>
      </c>
      <c r="AE53" t="s">
        <v>623</v>
      </c>
      <c r="AF53" t="s">
        <v>459</v>
      </c>
      <c r="AG53">
        <v>14</v>
      </c>
      <c r="AH53">
        <v>1</v>
      </c>
      <c r="AI53">
        <v>0</v>
      </c>
      <c r="AJ53">
        <v>176.97</v>
      </c>
      <c r="AM53" t="s">
        <v>629</v>
      </c>
      <c r="AN53">
        <v>22104</v>
      </c>
      <c r="AT53">
        <v>3</v>
      </c>
      <c r="AU53" t="s">
        <v>771</v>
      </c>
      <c r="AV53" t="s">
        <v>663</v>
      </c>
      <c r="AW53" t="s">
        <v>625</v>
      </c>
    </row>
    <row r="54" spans="1:49">
      <c r="A54" s="1">
        <f>HYPERLINK("https://lsnyc.legalserver.org/matter/dynamic-profile/view/1889240","19-1889240")</f>
        <v>0</v>
      </c>
      <c r="B54" t="s">
        <v>677</v>
      </c>
      <c r="C54" t="s">
        <v>55</v>
      </c>
      <c r="D54" t="s">
        <v>711</v>
      </c>
      <c r="F54" t="s">
        <v>885</v>
      </c>
      <c r="G54" t="s">
        <v>1140</v>
      </c>
      <c r="H54" t="s">
        <v>1377</v>
      </c>
      <c r="I54" t="s">
        <v>1611</v>
      </c>
      <c r="J54">
        <v>11233</v>
      </c>
      <c r="K54" t="s">
        <v>423</v>
      </c>
      <c r="L54" t="s">
        <v>423</v>
      </c>
      <c r="M54" t="s">
        <v>435</v>
      </c>
      <c r="N54" t="s">
        <v>437</v>
      </c>
      <c r="Q54" t="s">
        <v>450</v>
      </c>
      <c r="R54" t="s">
        <v>423</v>
      </c>
      <c r="T54" t="s">
        <v>453</v>
      </c>
      <c r="U54" t="s">
        <v>457</v>
      </c>
      <c r="W54">
        <v>956</v>
      </c>
      <c r="X54" t="s">
        <v>458</v>
      </c>
      <c r="Y54" t="s">
        <v>460</v>
      </c>
      <c r="AA54" t="s">
        <v>1902</v>
      </c>
      <c r="AB54" t="s">
        <v>625</v>
      </c>
      <c r="AC54" t="s">
        <v>2213</v>
      </c>
      <c r="AD54">
        <v>34</v>
      </c>
      <c r="AE54" t="s">
        <v>2419</v>
      </c>
      <c r="AF54" t="s">
        <v>625</v>
      </c>
      <c r="AG54">
        <v>5</v>
      </c>
      <c r="AH54">
        <v>1</v>
      </c>
      <c r="AI54">
        <v>0</v>
      </c>
      <c r="AJ54">
        <v>208.17</v>
      </c>
      <c r="AM54" t="s">
        <v>629</v>
      </c>
      <c r="AN54">
        <v>26000</v>
      </c>
      <c r="AT54">
        <v>0</v>
      </c>
      <c r="AV54" t="s">
        <v>666</v>
      </c>
    </row>
    <row r="55" spans="1:49">
      <c r="A55" s="1">
        <f>HYPERLINK("https://lsnyc.legalserver.org/matter/dynamic-profile/view/1902193","19-1902193")</f>
        <v>0</v>
      </c>
      <c r="B55" t="s">
        <v>678</v>
      </c>
      <c r="C55" t="s">
        <v>55</v>
      </c>
      <c r="D55" t="s">
        <v>718</v>
      </c>
      <c r="F55" t="s">
        <v>894</v>
      </c>
      <c r="G55" t="s">
        <v>1141</v>
      </c>
      <c r="H55" t="s">
        <v>1378</v>
      </c>
      <c r="I55">
        <v>2</v>
      </c>
      <c r="J55">
        <v>11207</v>
      </c>
      <c r="K55" t="s">
        <v>422</v>
      </c>
      <c r="L55" t="s">
        <v>422</v>
      </c>
      <c r="M55" t="s">
        <v>1714</v>
      </c>
      <c r="N55" t="s">
        <v>434</v>
      </c>
      <c r="O55" t="s">
        <v>444</v>
      </c>
      <c r="Q55" t="s">
        <v>450</v>
      </c>
      <c r="R55" t="s">
        <v>423</v>
      </c>
      <c r="T55" t="s">
        <v>453</v>
      </c>
      <c r="W55">
        <v>0</v>
      </c>
      <c r="X55" t="s">
        <v>458</v>
      </c>
      <c r="Y55" t="s">
        <v>459</v>
      </c>
      <c r="AA55" t="s">
        <v>1903</v>
      </c>
      <c r="AC55" t="s">
        <v>2214</v>
      </c>
      <c r="AD55">
        <v>9</v>
      </c>
      <c r="AE55" t="s">
        <v>623</v>
      </c>
      <c r="AF55" t="s">
        <v>2429</v>
      </c>
      <c r="AG55">
        <v>3</v>
      </c>
      <c r="AH55">
        <v>1</v>
      </c>
      <c r="AI55">
        <v>0</v>
      </c>
      <c r="AJ55">
        <v>75.52</v>
      </c>
      <c r="AM55" t="s">
        <v>629</v>
      </c>
      <c r="AN55">
        <v>9432</v>
      </c>
      <c r="AT55">
        <v>4.6</v>
      </c>
      <c r="AU55" t="s">
        <v>2492</v>
      </c>
      <c r="AV55" t="s">
        <v>2516</v>
      </c>
    </row>
    <row r="56" spans="1:49">
      <c r="A56" s="1">
        <f>HYPERLINK("https://lsnyc.legalserver.org/matter/dynamic-profile/view/1884625","18-1884625")</f>
        <v>0</v>
      </c>
      <c r="B56" t="s">
        <v>678</v>
      </c>
      <c r="C56" t="s">
        <v>54</v>
      </c>
      <c r="D56" t="s">
        <v>135</v>
      </c>
      <c r="E56" t="s">
        <v>831</v>
      </c>
      <c r="F56" t="s">
        <v>895</v>
      </c>
      <c r="G56" t="s">
        <v>884</v>
      </c>
      <c r="H56" t="s">
        <v>1379</v>
      </c>
      <c r="I56" t="s">
        <v>1612</v>
      </c>
      <c r="J56">
        <v>11213</v>
      </c>
      <c r="K56" t="s">
        <v>423</v>
      </c>
      <c r="L56" t="s">
        <v>423</v>
      </c>
      <c r="M56" t="s">
        <v>1715</v>
      </c>
      <c r="N56" t="s">
        <v>437</v>
      </c>
      <c r="O56" t="s">
        <v>443</v>
      </c>
      <c r="P56" t="s">
        <v>448</v>
      </c>
      <c r="Q56" t="s">
        <v>450</v>
      </c>
      <c r="R56" t="s">
        <v>423</v>
      </c>
      <c r="T56" t="s">
        <v>453</v>
      </c>
      <c r="W56">
        <v>1956</v>
      </c>
      <c r="X56" t="s">
        <v>458</v>
      </c>
      <c r="Y56" t="s">
        <v>467</v>
      </c>
      <c r="Z56" t="s">
        <v>470</v>
      </c>
      <c r="AA56" t="s">
        <v>1904</v>
      </c>
      <c r="AC56" t="s">
        <v>2215</v>
      </c>
      <c r="AD56">
        <v>23</v>
      </c>
      <c r="AE56" t="s">
        <v>622</v>
      </c>
      <c r="AF56" t="s">
        <v>627</v>
      </c>
      <c r="AG56">
        <v>9</v>
      </c>
      <c r="AH56">
        <v>3</v>
      </c>
      <c r="AI56">
        <v>1</v>
      </c>
      <c r="AJ56">
        <v>83.67</v>
      </c>
      <c r="AN56">
        <v>21000</v>
      </c>
      <c r="AT56">
        <v>4.9</v>
      </c>
      <c r="AU56" t="s">
        <v>2493</v>
      </c>
      <c r="AV56" t="s">
        <v>674</v>
      </c>
    </row>
    <row r="57" spans="1:49">
      <c r="A57" s="1">
        <f>HYPERLINK("https://lsnyc.legalserver.org/matter/dynamic-profile/view/1882881","18-1882881")</f>
        <v>0</v>
      </c>
      <c r="B57" t="s">
        <v>678</v>
      </c>
      <c r="C57" t="s">
        <v>54</v>
      </c>
      <c r="D57" t="s">
        <v>96</v>
      </c>
      <c r="E57" t="s">
        <v>792</v>
      </c>
      <c r="F57" t="s">
        <v>896</v>
      </c>
      <c r="G57" t="s">
        <v>1142</v>
      </c>
      <c r="H57" t="s">
        <v>1380</v>
      </c>
      <c r="I57" t="s">
        <v>414</v>
      </c>
      <c r="J57">
        <v>11207</v>
      </c>
      <c r="K57" t="s">
        <v>423</v>
      </c>
      <c r="L57" t="s">
        <v>423</v>
      </c>
      <c r="M57" t="s">
        <v>1716</v>
      </c>
      <c r="N57" t="s">
        <v>437</v>
      </c>
      <c r="P57" t="s">
        <v>447</v>
      </c>
      <c r="Q57" t="s">
        <v>450</v>
      </c>
      <c r="R57" t="s">
        <v>423</v>
      </c>
      <c r="T57" t="s">
        <v>453</v>
      </c>
      <c r="U57" t="s">
        <v>457</v>
      </c>
      <c r="W57">
        <v>1956</v>
      </c>
      <c r="X57" t="s">
        <v>458</v>
      </c>
      <c r="Y57" t="s">
        <v>459</v>
      </c>
      <c r="Z57" t="s">
        <v>470</v>
      </c>
      <c r="AA57" t="s">
        <v>1905</v>
      </c>
      <c r="AB57">
        <v>8323529</v>
      </c>
      <c r="AC57" t="s">
        <v>2216</v>
      </c>
      <c r="AD57">
        <v>4</v>
      </c>
      <c r="AE57" t="s">
        <v>2421</v>
      </c>
      <c r="AG57">
        <v>3</v>
      </c>
      <c r="AH57">
        <v>1</v>
      </c>
      <c r="AI57">
        <v>4</v>
      </c>
      <c r="AJ57">
        <v>95.7</v>
      </c>
      <c r="AM57" t="s">
        <v>629</v>
      </c>
      <c r="AN57">
        <v>28156</v>
      </c>
      <c r="AT57">
        <v>1.1</v>
      </c>
      <c r="AU57" t="s">
        <v>69</v>
      </c>
      <c r="AV57" t="s">
        <v>661</v>
      </c>
    </row>
    <row r="58" spans="1:49">
      <c r="A58" s="1">
        <f>HYPERLINK("https://lsnyc.legalserver.org/matter/dynamic-profile/view/1903680","19-1903680")</f>
        <v>0</v>
      </c>
      <c r="B58" t="s">
        <v>678</v>
      </c>
      <c r="C58" t="s">
        <v>55</v>
      </c>
      <c r="D58" t="s">
        <v>653</v>
      </c>
      <c r="F58" t="s">
        <v>897</v>
      </c>
      <c r="G58" t="s">
        <v>1143</v>
      </c>
      <c r="H58" t="s">
        <v>1381</v>
      </c>
      <c r="I58" t="s">
        <v>1613</v>
      </c>
      <c r="J58">
        <v>11208</v>
      </c>
      <c r="K58" t="s">
        <v>423</v>
      </c>
      <c r="L58" t="s">
        <v>422</v>
      </c>
      <c r="M58" t="s">
        <v>1717</v>
      </c>
      <c r="N58" t="s">
        <v>437</v>
      </c>
      <c r="Q58" t="s">
        <v>450</v>
      </c>
      <c r="R58" t="s">
        <v>423</v>
      </c>
      <c r="T58" t="s">
        <v>453</v>
      </c>
      <c r="U58" t="s">
        <v>456</v>
      </c>
      <c r="W58">
        <v>1700</v>
      </c>
      <c r="X58" t="s">
        <v>458</v>
      </c>
      <c r="Y58" t="s">
        <v>465</v>
      </c>
      <c r="AA58" t="s">
        <v>1906</v>
      </c>
      <c r="AB58" t="s">
        <v>625</v>
      </c>
      <c r="AC58" t="s">
        <v>2217</v>
      </c>
      <c r="AD58">
        <v>20</v>
      </c>
      <c r="AE58" t="s">
        <v>622</v>
      </c>
      <c r="AF58" t="s">
        <v>625</v>
      </c>
      <c r="AG58">
        <v>2</v>
      </c>
      <c r="AH58">
        <v>2</v>
      </c>
      <c r="AI58">
        <v>1</v>
      </c>
      <c r="AJ58">
        <v>221.53</v>
      </c>
      <c r="AM58" t="s">
        <v>629</v>
      </c>
      <c r="AN58">
        <v>47252</v>
      </c>
      <c r="AT58">
        <v>0</v>
      </c>
      <c r="AV58" t="s">
        <v>666</v>
      </c>
      <c r="AW58" t="s">
        <v>625</v>
      </c>
    </row>
    <row r="59" spans="1:49">
      <c r="A59" s="1">
        <f>HYPERLINK("https://lsnyc.legalserver.org/matter/dynamic-profile/view/1899916","19-1899916")</f>
        <v>0</v>
      </c>
      <c r="B59" t="s">
        <v>679</v>
      </c>
      <c r="C59" t="s">
        <v>55</v>
      </c>
      <c r="D59" t="s">
        <v>127</v>
      </c>
      <c r="F59" t="s">
        <v>898</v>
      </c>
      <c r="G59" t="s">
        <v>1144</v>
      </c>
      <c r="H59" t="s">
        <v>1382</v>
      </c>
      <c r="I59" t="s">
        <v>1614</v>
      </c>
      <c r="J59">
        <v>11212</v>
      </c>
      <c r="K59" t="s">
        <v>424</v>
      </c>
      <c r="L59" t="s">
        <v>422</v>
      </c>
      <c r="N59" t="s">
        <v>1813</v>
      </c>
      <c r="Q59" t="s">
        <v>450</v>
      </c>
      <c r="R59" t="s">
        <v>1829</v>
      </c>
      <c r="T59" t="s">
        <v>453</v>
      </c>
      <c r="U59" t="s">
        <v>457</v>
      </c>
      <c r="W59">
        <v>911</v>
      </c>
      <c r="X59" t="s">
        <v>458</v>
      </c>
      <c r="Y59" t="s">
        <v>465</v>
      </c>
      <c r="AA59" t="s">
        <v>1907</v>
      </c>
      <c r="AC59" t="s">
        <v>2218</v>
      </c>
      <c r="AD59">
        <v>0</v>
      </c>
      <c r="AE59" t="s">
        <v>622</v>
      </c>
      <c r="AG59">
        <v>9</v>
      </c>
      <c r="AH59">
        <v>1</v>
      </c>
      <c r="AI59">
        <v>2</v>
      </c>
      <c r="AJ59">
        <v>23.65</v>
      </c>
      <c r="AM59" t="s">
        <v>629</v>
      </c>
      <c r="AN59">
        <v>5044</v>
      </c>
      <c r="AT59">
        <v>1.1</v>
      </c>
      <c r="AU59" t="s">
        <v>58</v>
      </c>
      <c r="AV59" t="s">
        <v>666</v>
      </c>
      <c r="AW59" t="s">
        <v>671</v>
      </c>
    </row>
    <row r="60" spans="1:49">
      <c r="A60" s="1">
        <f>HYPERLINK("https://lsnyc.legalserver.org/matter/dynamic-profile/view/1901391","19-1901391")</f>
        <v>0</v>
      </c>
      <c r="B60" t="s">
        <v>679</v>
      </c>
      <c r="C60" t="s">
        <v>55</v>
      </c>
      <c r="D60" t="s">
        <v>92</v>
      </c>
      <c r="F60" t="s">
        <v>899</v>
      </c>
      <c r="G60" t="s">
        <v>1145</v>
      </c>
      <c r="H60" t="s">
        <v>1383</v>
      </c>
      <c r="I60" t="s">
        <v>1585</v>
      </c>
      <c r="J60">
        <v>11212</v>
      </c>
      <c r="K60" t="s">
        <v>424</v>
      </c>
      <c r="L60" t="s">
        <v>422</v>
      </c>
      <c r="N60" t="s">
        <v>437</v>
      </c>
      <c r="O60" t="s">
        <v>445</v>
      </c>
      <c r="Q60" t="s">
        <v>450</v>
      </c>
      <c r="R60" t="s">
        <v>423</v>
      </c>
      <c r="T60" t="s">
        <v>453</v>
      </c>
      <c r="U60" t="s">
        <v>457</v>
      </c>
      <c r="W60">
        <v>0</v>
      </c>
      <c r="X60" t="s">
        <v>458</v>
      </c>
      <c r="Y60" t="s">
        <v>469</v>
      </c>
      <c r="AA60" t="s">
        <v>1908</v>
      </c>
      <c r="AC60" t="s">
        <v>2219</v>
      </c>
      <c r="AD60">
        <v>23</v>
      </c>
      <c r="AE60" t="s">
        <v>622</v>
      </c>
      <c r="AF60" t="s">
        <v>625</v>
      </c>
      <c r="AG60">
        <v>0</v>
      </c>
      <c r="AH60">
        <v>1</v>
      </c>
      <c r="AI60">
        <v>0</v>
      </c>
      <c r="AJ60">
        <v>88.29000000000001</v>
      </c>
      <c r="AM60" t="s">
        <v>629</v>
      </c>
      <c r="AN60">
        <v>11028</v>
      </c>
      <c r="AO60" t="s">
        <v>2443</v>
      </c>
      <c r="AT60">
        <v>6.5</v>
      </c>
      <c r="AU60" t="s">
        <v>654</v>
      </c>
      <c r="AV60" t="s">
        <v>666</v>
      </c>
      <c r="AW60" t="s">
        <v>671</v>
      </c>
    </row>
    <row r="61" spans="1:49">
      <c r="A61" s="1">
        <f>HYPERLINK("https://lsnyc.legalserver.org/matter/dynamic-profile/view/1893374","19-1893374")</f>
        <v>0</v>
      </c>
      <c r="B61" t="s">
        <v>679</v>
      </c>
      <c r="C61" t="s">
        <v>54</v>
      </c>
      <c r="D61" t="s">
        <v>724</v>
      </c>
      <c r="E61" t="s">
        <v>830</v>
      </c>
      <c r="F61" t="s">
        <v>900</v>
      </c>
      <c r="G61" t="s">
        <v>1141</v>
      </c>
      <c r="H61" t="s">
        <v>1384</v>
      </c>
      <c r="I61" t="s">
        <v>1615</v>
      </c>
      <c r="J61">
        <v>11212</v>
      </c>
      <c r="K61" t="s">
        <v>424</v>
      </c>
      <c r="L61" t="s">
        <v>424</v>
      </c>
      <c r="M61" t="s">
        <v>1718</v>
      </c>
      <c r="N61" t="s">
        <v>436</v>
      </c>
      <c r="O61" t="s">
        <v>441</v>
      </c>
      <c r="P61" t="s">
        <v>447</v>
      </c>
      <c r="Q61" t="s">
        <v>450</v>
      </c>
      <c r="R61" t="s">
        <v>424</v>
      </c>
      <c r="T61" t="s">
        <v>453</v>
      </c>
      <c r="U61" t="s">
        <v>457</v>
      </c>
      <c r="W61">
        <v>1643.13</v>
      </c>
      <c r="X61" t="s">
        <v>458</v>
      </c>
      <c r="Y61" t="s">
        <v>463</v>
      </c>
      <c r="Z61" t="s">
        <v>470</v>
      </c>
      <c r="AA61" t="s">
        <v>1909</v>
      </c>
      <c r="AB61" t="s">
        <v>625</v>
      </c>
      <c r="AC61" t="s">
        <v>2220</v>
      </c>
      <c r="AD61">
        <v>38</v>
      </c>
      <c r="AE61" t="s">
        <v>622</v>
      </c>
      <c r="AF61" t="s">
        <v>625</v>
      </c>
      <c r="AG61">
        <v>9</v>
      </c>
      <c r="AH61">
        <v>4</v>
      </c>
      <c r="AI61">
        <v>0</v>
      </c>
      <c r="AJ61">
        <v>104.85</v>
      </c>
      <c r="AM61" t="s">
        <v>629</v>
      </c>
      <c r="AN61">
        <v>27000</v>
      </c>
      <c r="AT61">
        <v>0.1</v>
      </c>
      <c r="AU61" t="s">
        <v>830</v>
      </c>
      <c r="AV61" t="s">
        <v>666</v>
      </c>
      <c r="AW61" t="s">
        <v>671</v>
      </c>
    </row>
    <row r="62" spans="1:49">
      <c r="A62" s="1">
        <f>HYPERLINK("https://lsnyc.legalserver.org/matter/dynamic-profile/view/1902101","19-1902101")</f>
        <v>0</v>
      </c>
      <c r="B62" t="s">
        <v>679</v>
      </c>
      <c r="C62" t="s">
        <v>55</v>
      </c>
      <c r="D62" t="s">
        <v>725</v>
      </c>
      <c r="F62" t="s">
        <v>901</v>
      </c>
      <c r="G62" t="s">
        <v>1146</v>
      </c>
      <c r="H62" t="s">
        <v>1385</v>
      </c>
      <c r="I62" t="s">
        <v>1616</v>
      </c>
      <c r="J62">
        <v>11216</v>
      </c>
      <c r="K62" t="s">
        <v>424</v>
      </c>
      <c r="L62" t="s">
        <v>422</v>
      </c>
      <c r="M62" t="s">
        <v>1719</v>
      </c>
      <c r="N62" t="s">
        <v>1815</v>
      </c>
      <c r="O62" t="s">
        <v>445</v>
      </c>
      <c r="Q62" t="s">
        <v>450</v>
      </c>
      <c r="R62" t="s">
        <v>424</v>
      </c>
      <c r="T62" t="s">
        <v>453</v>
      </c>
      <c r="U62" t="s">
        <v>457</v>
      </c>
      <c r="W62">
        <v>0</v>
      </c>
      <c r="X62" t="s">
        <v>458</v>
      </c>
      <c r="Y62" t="s">
        <v>469</v>
      </c>
      <c r="AA62" t="s">
        <v>1910</v>
      </c>
      <c r="AB62" t="s">
        <v>625</v>
      </c>
      <c r="AC62" t="s">
        <v>2221</v>
      </c>
      <c r="AD62">
        <v>82</v>
      </c>
      <c r="AE62" t="s">
        <v>622</v>
      </c>
      <c r="AF62" t="s">
        <v>625</v>
      </c>
      <c r="AG62">
        <v>0</v>
      </c>
      <c r="AH62">
        <v>1</v>
      </c>
      <c r="AI62">
        <v>0</v>
      </c>
      <c r="AJ62">
        <v>426.31</v>
      </c>
      <c r="AM62" t="s">
        <v>629</v>
      </c>
      <c r="AN62">
        <v>53246.66</v>
      </c>
      <c r="AO62" t="s">
        <v>2444</v>
      </c>
      <c r="AT62">
        <v>0</v>
      </c>
      <c r="AV62" t="s">
        <v>666</v>
      </c>
      <c r="AW62" t="s">
        <v>671</v>
      </c>
    </row>
    <row r="63" spans="1:49">
      <c r="A63" s="1">
        <f>HYPERLINK("https://lsnyc.legalserver.org/matter/dynamic-profile/view/1903219","19-1903219")</f>
        <v>0</v>
      </c>
      <c r="B63" t="s">
        <v>679</v>
      </c>
      <c r="C63" t="s">
        <v>55</v>
      </c>
      <c r="D63" t="s">
        <v>56</v>
      </c>
      <c r="F63" t="s">
        <v>902</v>
      </c>
      <c r="G63" t="s">
        <v>1147</v>
      </c>
      <c r="H63" t="s">
        <v>1385</v>
      </c>
      <c r="I63" t="s">
        <v>1617</v>
      </c>
      <c r="J63">
        <v>11216</v>
      </c>
      <c r="K63" t="s">
        <v>424</v>
      </c>
      <c r="L63" t="s">
        <v>422</v>
      </c>
      <c r="M63" t="s">
        <v>1720</v>
      </c>
      <c r="N63" t="s">
        <v>1815</v>
      </c>
      <c r="O63" t="s">
        <v>445</v>
      </c>
      <c r="Q63" t="s">
        <v>450</v>
      </c>
      <c r="R63" t="s">
        <v>423</v>
      </c>
      <c r="T63" t="s">
        <v>453</v>
      </c>
      <c r="U63" t="s">
        <v>457</v>
      </c>
      <c r="W63">
        <v>2500</v>
      </c>
      <c r="X63" t="s">
        <v>458</v>
      </c>
      <c r="Y63" t="s">
        <v>469</v>
      </c>
      <c r="AA63" t="s">
        <v>1911</v>
      </c>
      <c r="AB63" t="s">
        <v>1720</v>
      </c>
      <c r="AC63" t="s">
        <v>2222</v>
      </c>
      <c r="AD63">
        <v>82</v>
      </c>
      <c r="AE63" t="s">
        <v>622</v>
      </c>
      <c r="AF63" t="s">
        <v>625</v>
      </c>
      <c r="AG63">
        <v>5</v>
      </c>
      <c r="AH63">
        <v>2</v>
      </c>
      <c r="AI63">
        <v>0</v>
      </c>
      <c r="AJ63">
        <v>650.5</v>
      </c>
      <c r="AM63" t="s">
        <v>2437</v>
      </c>
      <c r="AN63">
        <v>110000</v>
      </c>
      <c r="AO63" t="s">
        <v>2445</v>
      </c>
      <c r="AT63">
        <v>0</v>
      </c>
      <c r="AV63" t="s">
        <v>666</v>
      </c>
      <c r="AW63" t="s">
        <v>671</v>
      </c>
    </row>
    <row r="64" spans="1:49">
      <c r="A64" s="1">
        <f>HYPERLINK("https://lsnyc.legalserver.org/matter/dynamic-profile/view/1903202","19-1903202")</f>
        <v>0</v>
      </c>
      <c r="B64" t="s">
        <v>679</v>
      </c>
      <c r="C64" t="s">
        <v>55</v>
      </c>
      <c r="D64" t="s">
        <v>726</v>
      </c>
      <c r="F64" t="s">
        <v>902</v>
      </c>
      <c r="G64" t="s">
        <v>1147</v>
      </c>
      <c r="H64" t="s">
        <v>1385</v>
      </c>
      <c r="I64" t="s">
        <v>1617</v>
      </c>
      <c r="J64">
        <v>11216</v>
      </c>
      <c r="K64" t="s">
        <v>424</v>
      </c>
      <c r="L64" t="s">
        <v>422</v>
      </c>
      <c r="M64" t="s">
        <v>1701</v>
      </c>
      <c r="N64" t="s">
        <v>435</v>
      </c>
      <c r="O64" t="s">
        <v>443</v>
      </c>
      <c r="Q64" t="s">
        <v>450</v>
      </c>
      <c r="R64" t="s">
        <v>424</v>
      </c>
      <c r="T64" t="s">
        <v>453</v>
      </c>
      <c r="U64" t="s">
        <v>457</v>
      </c>
      <c r="W64">
        <v>2500</v>
      </c>
      <c r="X64" t="s">
        <v>458</v>
      </c>
      <c r="Y64" t="s">
        <v>469</v>
      </c>
      <c r="AA64" t="s">
        <v>1911</v>
      </c>
      <c r="AB64" t="s">
        <v>625</v>
      </c>
      <c r="AC64" t="s">
        <v>2222</v>
      </c>
      <c r="AD64">
        <v>82</v>
      </c>
      <c r="AE64" t="s">
        <v>622</v>
      </c>
      <c r="AF64" t="s">
        <v>625</v>
      </c>
      <c r="AG64">
        <v>5</v>
      </c>
      <c r="AH64">
        <v>2</v>
      </c>
      <c r="AI64">
        <v>0</v>
      </c>
      <c r="AJ64">
        <v>650.5</v>
      </c>
      <c r="AM64" t="s">
        <v>2437</v>
      </c>
      <c r="AN64">
        <v>110000</v>
      </c>
      <c r="AO64" t="s">
        <v>2446</v>
      </c>
      <c r="AT64">
        <v>0</v>
      </c>
      <c r="AV64" t="s">
        <v>666</v>
      </c>
      <c r="AW64" t="s">
        <v>671</v>
      </c>
    </row>
    <row r="65" spans="1:49">
      <c r="A65" s="1">
        <f>HYPERLINK("https://lsnyc.legalserver.org/matter/dynamic-profile/view/1902106","19-1902106")</f>
        <v>0</v>
      </c>
      <c r="B65" t="s">
        <v>679</v>
      </c>
      <c r="C65" t="s">
        <v>55</v>
      </c>
      <c r="D65" t="s">
        <v>725</v>
      </c>
      <c r="F65" t="s">
        <v>903</v>
      </c>
      <c r="G65" t="s">
        <v>1148</v>
      </c>
      <c r="H65" t="s">
        <v>1385</v>
      </c>
      <c r="I65" t="s">
        <v>1618</v>
      </c>
      <c r="J65">
        <v>11216</v>
      </c>
      <c r="K65" t="s">
        <v>424</v>
      </c>
      <c r="L65" t="s">
        <v>422</v>
      </c>
      <c r="M65" t="s">
        <v>1719</v>
      </c>
      <c r="N65" t="s">
        <v>1815</v>
      </c>
      <c r="O65" t="s">
        <v>445</v>
      </c>
      <c r="Q65" t="s">
        <v>450</v>
      </c>
      <c r="R65" t="s">
        <v>424</v>
      </c>
      <c r="T65" t="s">
        <v>453</v>
      </c>
      <c r="U65" t="s">
        <v>457</v>
      </c>
      <c r="W65">
        <v>0</v>
      </c>
      <c r="X65" t="s">
        <v>458</v>
      </c>
      <c r="Y65" t="s">
        <v>469</v>
      </c>
      <c r="AA65" t="s">
        <v>1912</v>
      </c>
      <c r="AB65" t="s">
        <v>1720</v>
      </c>
      <c r="AC65" t="s">
        <v>2223</v>
      </c>
      <c r="AD65">
        <v>82</v>
      </c>
      <c r="AE65" t="s">
        <v>622</v>
      </c>
      <c r="AF65" t="s">
        <v>625</v>
      </c>
      <c r="AG65">
        <v>0</v>
      </c>
      <c r="AH65">
        <v>1</v>
      </c>
      <c r="AI65">
        <v>0</v>
      </c>
      <c r="AJ65">
        <v>730.1799999999999</v>
      </c>
      <c r="AM65" t="s">
        <v>2438</v>
      </c>
      <c r="AN65">
        <v>91200</v>
      </c>
      <c r="AO65" t="s">
        <v>2444</v>
      </c>
      <c r="AT65">
        <v>0</v>
      </c>
      <c r="AV65" t="s">
        <v>666</v>
      </c>
      <c r="AW65" t="s">
        <v>671</v>
      </c>
    </row>
    <row r="66" spans="1:49">
      <c r="A66" s="1">
        <f>HYPERLINK("https://lsnyc.legalserver.org/matter/dynamic-profile/view/1871747","18-1871747")</f>
        <v>0</v>
      </c>
      <c r="B66" t="s">
        <v>680</v>
      </c>
      <c r="C66" t="s">
        <v>55</v>
      </c>
      <c r="D66" t="s">
        <v>727</v>
      </c>
      <c r="F66" t="s">
        <v>904</v>
      </c>
      <c r="G66" t="s">
        <v>1149</v>
      </c>
      <c r="H66" t="s">
        <v>1386</v>
      </c>
      <c r="I66" t="s">
        <v>1619</v>
      </c>
      <c r="J66">
        <v>11206</v>
      </c>
      <c r="K66" t="s">
        <v>424</v>
      </c>
      <c r="L66" t="s">
        <v>423</v>
      </c>
      <c r="N66" t="s">
        <v>1816</v>
      </c>
      <c r="O66" t="s">
        <v>446</v>
      </c>
      <c r="Q66" t="s">
        <v>450</v>
      </c>
      <c r="R66" t="s">
        <v>424</v>
      </c>
      <c r="T66" t="s">
        <v>453</v>
      </c>
      <c r="W66">
        <v>678</v>
      </c>
      <c r="X66" t="s">
        <v>458</v>
      </c>
      <c r="Y66" t="s">
        <v>459</v>
      </c>
      <c r="AA66" t="s">
        <v>1913</v>
      </c>
      <c r="AC66" t="s">
        <v>2224</v>
      </c>
      <c r="AD66">
        <v>25</v>
      </c>
      <c r="AE66" t="s">
        <v>622</v>
      </c>
      <c r="AG66">
        <v>23</v>
      </c>
      <c r="AH66">
        <v>1</v>
      </c>
      <c r="AI66">
        <v>1</v>
      </c>
      <c r="AJ66">
        <v>93.45999999999999</v>
      </c>
      <c r="AM66" t="s">
        <v>629</v>
      </c>
      <c r="AN66">
        <v>15384</v>
      </c>
      <c r="AO66" t="s">
        <v>2447</v>
      </c>
      <c r="AT66">
        <v>1</v>
      </c>
      <c r="AU66" t="s">
        <v>642</v>
      </c>
      <c r="AV66" t="s">
        <v>667</v>
      </c>
    </row>
    <row r="67" spans="1:49">
      <c r="A67" s="1">
        <f>HYPERLINK("https://lsnyc.legalserver.org/matter/dynamic-profile/view/1896769","19-1896769")</f>
        <v>0</v>
      </c>
      <c r="B67" t="s">
        <v>680</v>
      </c>
      <c r="C67" t="s">
        <v>55</v>
      </c>
      <c r="D67" t="s">
        <v>728</v>
      </c>
      <c r="F67" t="s">
        <v>905</v>
      </c>
      <c r="G67" t="s">
        <v>1150</v>
      </c>
      <c r="H67" t="s">
        <v>1387</v>
      </c>
      <c r="I67" t="s">
        <v>401</v>
      </c>
      <c r="J67">
        <v>11213</v>
      </c>
      <c r="K67" t="s">
        <v>424</v>
      </c>
      <c r="L67" t="s">
        <v>423</v>
      </c>
      <c r="M67" t="s">
        <v>625</v>
      </c>
      <c r="N67" t="s">
        <v>440</v>
      </c>
      <c r="O67" t="s">
        <v>446</v>
      </c>
      <c r="Q67" t="s">
        <v>450</v>
      </c>
      <c r="R67" t="s">
        <v>424</v>
      </c>
      <c r="T67" t="s">
        <v>453</v>
      </c>
      <c r="W67">
        <v>719</v>
      </c>
      <c r="X67" t="s">
        <v>458</v>
      </c>
      <c r="Y67" t="s">
        <v>463</v>
      </c>
      <c r="AA67" t="s">
        <v>1914</v>
      </c>
      <c r="AC67" t="s">
        <v>2225</v>
      </c>
      <c r="AD67">
        <v>6</v>
      </c>
      <c r="AE67" t="s">
        <v>622</v>
      </c>
      <c r="AF67" t="s">
        <v>625</v>
      </c>
      <c r="AG67">
        <v>22</v>
      </c>
      <c r="AH67">
        <v>5</v>
      </c>
      <c r="AI67">
        <v>1</v>
      </c>
      <c r="AJ67">
        <v>109.86</v>
      </c>
      <c r="AM67" t="s">
        <v>629</v>
      </c>
      <c r="AN67">
        <v>38000</v>
      </c>
      <c r="AO67" t="s">
        <v>2448</v>
      </c>
      <c r="AT67">
        <v>0</v>
      </c>
      <c r="AV67" t="s">
        <v>674</v>
      </c>
    </row>
    <row r="68" spans="1:49">
      <c r="A68" s="1">
        <f>HYPERLINK("https://lsnyc.legalserver.org/matter/dynamic-profile/view/0821978","16-0821978")</f>
        <v>0</v>
      </c>
      <c r="B68" t="s">
        <v>680</v>
      </c>
      <c r="C68" t="s">
        <v>55</v>
      </c>
      <c r="D68" t="s">
        <v>729</v>
      </c>
      <c r="F68" t="s">
        <v>906</v>
      </c>
      <c r="G68" t="s">
        <v>1151</v>
      </c>
      <c r="H68" t="s">
        <v>1388</v>
      </c>
      <c r="I68">
        <v>3</v>
      </c>
      <c r="J68">
        <v>11207</v>
      </c>
      <c r="K68" t="s">
        <v>423</v>
      </c>
      <c r="L68" t="s">
        <v>422</v>
      </c>
      <c r="N68" t="s">
        <v>435</v>
      </c>
      <c r="O68" t="s">
        <v>444</v>
      </c>
      <c r="Q68" t="s">
        <v>450</v>
      </c>
      <c r="R68" t="s">
        <v>424</v>
      </c>
      <c r="T68" t="s">
        <v>453</v>
      </c>
      <c r="W68">
        <v>1675</v>
      </c>
      <c r="X68" t="s">
        <v>458</v>
      </c>
      <c r="Y68" t="s">
        <v>469</v>
      </c>
      <c r="AA68" t="s">
        <v>1915</v>
      </c>
      <c r="AC68" t="s">
        <v>2226</v>
      </c>
      <c r="AD68">
        <v>6</v>
      </c>
      <c r="AE68" t="s">
        <v>622</v>
      </c>
      <c r="AF68" t="s">
        <v>625</v>
      </c>
      <c r="AG68">
        <v>1</v>
      </c>
      <c r="AH68">
        <v>5</v>
      </c>
      <c r="AI68">
        <v>0</v>
      </c>
      <c r="AJ68">
        <v>258.26</v>
      </c>
      <c r="AM68" t="s">
        <v>629</v>
      </c>
      <c r="AN68">
        <v>73450</v>
      </c>
      <c r="AT68">
        <v>0</v>
      </c>
      <c r="AV68" t="s">
        <v>2517</v>
      </c>
    </row>
    <row r="69" spans="1:49">
      <c r="A69" s="1">
        <f>HYPERLINK("https://lsnyc.legalserver.org/matter/dynamic-profile/view/1887826","19-1887826")</f>
        <v>0</v>
      </c>
      <c r="B69" t="s">
        <v>680</v>
      </c>
      <c r="C69" t="s">
        <v>55</v>
      </c>
      <c r="D69" t="s">
        <v>730</v>
      </c>
      <c r="F69" t="s">
        <v>907</v>
      </c>
      <c r="G69" t="s">
        <v>1152</v>
      </c>
      <c r="H69" t="s">
        <v>1389</v>
      </c>
      <c r="I69" t="s">
        <v>1620</v>
      </c>
      <c r="J69">
        <v>11225</v>
      </c>
      <c r="K69" t="s">
        <v>424</v>
      </c>
      <c r="L69" t="s">
        <v>422</v>
      </c>
      <c r="N69" t="s">
        <v>440</v>
      </c>
      <c r="O69" t="s">
        <v>446</v>
      </c>
      <c r="Q69" t="s">
        <v>450</v>
      </c>
      <c r="R69" t="s">
        <v>424</v>
      </c>
      <c r="T69" t="s">
        <v>453</v>
      </c>
      <c r="W69">
        <v>1740.79</v>
      </c>
      <c r="X69" t="s">
        <v>458</v>
      </c>
      <c r="Y69" t="s">
        <v>469</v>
      </c>
      <c r="AA69" t="s">
        <v>1916</v>
      </c>
      <c r="AC69" t="s">
        <v>2227</v>
      </c>
      <c r="AD69">
        <v>89</v>
      </c>
      <c r="AE69" t="s">
        <v>622</v>
      </c>
      <c r="AF69" t="s">
        <v>625</v>
      </c>
      <c r="AG69">
        <v>7</v>
      </c>
      <c r="AH69">
        <v>1</v>
      </c>
      <c r="AI69">
        <v>0</v>
      </c>
      <c r="AJ69">
        <v>535.42</v>
      </c>
      <c r="AM69" t="s">
        <v>629</v>
      </c>
      <c r="AN69">
        <v>65000</v>
      </c>
      <c r="AT69">
        <v>0</v>
      </c>
      <c r="AV69" t="s">
        <v>674</v>
      </c>
    </row>
    <row r="70" spans="1:49">
      <c r="A70" s="1">
        <f>HYPERLINK("https://lsnyc.legalserver.org/matter/dynamic-profile/view/1864098","18-1864098")</f>
        <v>0</v>
      </c>
      <c r="B70" t="s">
        <v>681</v>
      </c>
      <c r="C70" t="s">
        <v>55</v>
      </c>
      <c r="D70" t="s">
        <v>731</v>
      </c>
      <c r="F70" t="s">
        <v>908</v>
      </c>
      <c r="G70" t="s">
        <v>1153</v>
      </c>
      <c r="H70" t="s">
        <v>1390</v>
      </c>
      <c r="I70" t="s">
        <v>1621</v>
      </c>
      <c r="J70">
        <v>11201</v>
      </c>
      <c r="K70" t="s">
        <v>423</v>
      </c>
      <c r="L70" t="s">
        <v>422</v>
      </c>
      <c r="M70" t="s">
        <v>1721</v>
      </c>
      <c r="N70" t="s">
        <v>434</v>
      </c>
      <c r="O70" t="s">
        <v>445</v>
      </c>
      <c r="Q70" t="s">
        <v>450</v>
      </c>
      <c r="R70" t="s">
        <v>423</v>
      </c>
      <c r="T70" t="s">
        <v>453</v>
      </c>
      <c r="W70">
        <v>400</v>
      </c>
      <c r="X70" t="s">
        <v>458</v>
      </c>
      <c r="Y70" t="s">
        <v>465</v>
      </c>
      <c r="AA70" t="s">
        <v>1917</v>
      </c>
      <c r="AB70" t="s">
        <v>621</v>
      </c>
      <c r="AC70" t="s">
        <v>2228</v>
      </c>
      <c r="AD70">
        <v>72</v>
      </c>
      <c r="AE70" t="s">
        <v>2422</v>
      </c>
      <c r="AF70" t="s">
        <v>625</v>
      </c>
      <c r="AG70">
        <v>25</v>
      </c>
      <c r="AH70">
        <v>1</v>
      </c>
      <c r="AI70">
        <v>0</v>
      </c>
      <c r="AJ70">
        <v>94.73</v>
      </c>
      <c r="AM70" t="s">
        <v>629</v>
      </c>
      <c r="AN70">
        <v>11500</v>
      </c>
      <c r="AT70">
        <v>22.5</v>
      </c>
      <c r="AU70" t="s">
        <v>651</v>
      </c>
      <c r="AV70" t="s">
        <v>666</v>
      </c>
    </row>
    <row r="71" spans="1:49">
      <c r="A71" s="1">
        <f>HYPERLINK("https://lsnyc.legalserver.org/matter/dynamic-profile/view/1873235","18-1873235")</f>
        <v>0</v>
      </c>
      <c r="B71" t="s">
        <v>682</v>
      </c>
      <c r="C71" t="s">
        <v>54</v>
      </c>
      <c r="D71" t="s">
        <v>82</v>
      </c>
      <c r="E71" t="s">
        <v>831</v>
      </c>
      <c r="F71" t="s">
        <v>909</v>
      </c>
      <c r="G71" t="s">
        <v>147</v>
      </c>
      <c r="H71" t="s">
        <v>1391</v>
      </c>
      <c r="I71" t="s">
        <v>401</v>
      </c>
      <c r="J71">
        <v>11203</v>
      </c>
      <c r="K71" t="s">
        <v>423</v>
      </c>
      <c r="L71" t="s">
        <v>423</v>
      </c>
      <c r="O71" t="s">
        <v>441</v>
      </c>
      <c r="P71" t="s">
        <v>447</v>
      </c>
      <c r="Q71" t="s">
        <v>450</v>
      </c>
      <c r="T71" t="s">
        <v>453</v>
      </c>
      <c r="W71">
        <v>0</v>
      </c>
      <c r="X71" t="s">
        <v>458</v>
      </c>
      <c r="Z71" t="s">
        <v>470</v>
      </c>
      <c r="AA71" t="s">
        <v>1918</v>
      </c>
      <c r="AD71">
        <v>0</v>
      </c>
      <c r="AG71">
        <v>0</v>
      </c>
      <c r="AH71">
        <v>1</v>
      </c>
      <c r="AI71">
        <v>0</v>
      </c>
      <c r="AJ71">
        <v>56.11</v>
      </c>
      <c r="AM71" t="s">
        <v>629</v>
      </c>
      <c r="AN71">
        <v>6812</v>
      </c>
      <c r="AT71">
        <v>0.5</v>
      </c>
      <c r="AU71" t="s">
        <v>810</v>
      </c>
      <c r="AV71" t="s">
        <v>682</v>
      </c>
    </row>
    <row r="72" spans="1:49">
      <c r="A72" s="1">
        <f>HYPERLINK("https://lsnyc.legalserver.org/matter/dynamic-profile/view/1879079","18-1879079")</f>
        <v>0</v>
      </c>
      <c r="B72" t="s">
        <v>683</v>
      </c>
      <c r="C72" t="s">
        <v>54</v>
      </c>
      <c r="D72" t="s">
        <v>132</v>
      </c>
      <c r="E72" t="s">
        <v>746</v>
      </c>
      <c r="F72" t="s">
        <v>910</v>
      </c>
      <c r="G72" t="s">
        <v>1154</v>
      </c>
      <c r="H72" t="s">
        <v>1392</v>
      </c>
      <c r="I72" t="s">
        <v>1585</v>
      </c>
      <c r="J72">
        <v>11233</v>
      </c>
      <c r="K72" t="s">
        <v>423</v>
      </c>
      <c r="L72" t="s">
        <v>423</v>
      </c>
      <c r="M72" t="s">
        <v>1722</v>
      </c>
      <c r="N72" t="s">
        <v>437</v>
      </c>
      <c r="O72" t="s">
        <v>441</v>
      </c>
      <c r="P72" t="s">
        <v>447</v>
      </c>
      <c r="Q72" t="s">
        <v>450</v>
      </c>
      <c r="R72" t="s">
        <v>423</v>
      </c>
      <c r="T72" t="s">
        <v>453</v>
      </c>
      <c r="W72">
        <v>1300</v>
      </c>
      <c r="X72" t="s">
        <v>458</v>
      </c>
      <c r="Z72" t="s">
        <v>470</v>
      </c>
      <c r="AA72" t="s">
        <v>1919</v>
      </c>
      <c r="AB72" t="s">
        <v>2140</v>
      </c>
      <c r="AC72" t="s">
        <v>2229</v>
      </c>
      <c r="AD72">
        <v>6</v>
      </c>
      <c r="AE72" t="s">
        <v>622</v>
      </c>
      <c r="AF72" t="s">
        <v>625</v>
      </c>
      <c r="AG72">
        <v>10</v>
      </c>
      <c r="AH72">
        <v>1</v>
      </c>
      <c r="AI72">
        <v>0</v>
      </c>
      <c r="AJ72">
        <v>17.79</v>
      </c>
      <c r="AM72" t="s">
        <v>629</v>
      </c>
      <c r="AN72">
        <v>2160</v>
      </c>
      <c r="AT72">
        <v>2.2</v>
      </c>
      <c r="AU72" t="s">
        <v>746</v>
      </c>
      <c r="AV72" t="s">
        <v>2514</v>
      </c>
    </row>
    <row r="73" spans="1:49">
      <c r="A73" s="1">
        <f>HYPERLINK("https://lsnyc.legalserver.org/matter/dynamic-profile/view/1879481","18-1879481")</f>
        <v>0</v>
      </c>
      <c r="B73" t="s">
        <v>683</v>
      </c>
      <c r="C73" t="s">
        <v>54</v>
      </c>
      <c r="D73" t="s">
        <v>732</v>
      </c>
      <c r="E73" t="s">
        <v>698</v>
      </c>
      <c r="F73" t="s">
        <v>910</v>
      </c>
      <c r="G73" t="s">
        <v>1154</v>
      </c>
      <c r="H73" t="s">
        <v>1392</v>
      </c>
      <c r="I73" t="s">
        <v>1585</v>
      </c>
      <c r="J73">
        <v>11233</v>
      </c>
      <c r="K73" t="s">
        <v>423</v>
      </c>
      <c r="L73" t="s">
        <v>423</v>
      </c>
      <c r="M73" t="s">
        <v>435</v>
      </c>
      <c r="O73" t="s">
        <v>441</v>
      </c>
      <c r="P73" t="s">
        <v>447</v>
      </c>
      <c r="Q73" t="s">
        <v>450</v>
      </c>
      <c r="R73" t="s">
        <v>423</v>
      </c>
      <c r="T73" t="s">
        <v>453</v>
      </c>
      <c r="W73">
        <v>1300</v>
      </c>
      <c r="X73" t="s">
        <v>458</v>
      </c>
      <c r="Y73" t="s">
        <v>460</v>
      </c>
      <c r="Z73" t="s">
        <v>474</v>
      </c>
      <c r="AA73" t="s">
        <v>1919</v>
      </c>
      <c r="AB73" t="s">
        <v>1751</v>
      </c>
      <c r="AC73" t="s">
        <v>2229</v>
      </c>
      <c r="AD73">
        <v>6</v>
      </c>
      <c r="AE73" t="s">
        <v>622</v>
      </c>
      <c r="AF73" t="s">
        <v>625</v>
      </c>
      <c r="AG73">
        <v>10</v>
      </c>
      <c r="AH73">
        <v>1</v>
      </c>
      <c r="AI73">
        <v>0</v>
      </c>
      <c r="AJ73">
        <v>17.79</v>
      </c>
      <c r="AM73" t="s">
        <v>629</v>
      </c>
      <c r="AN73">
        <v>2160</v>
      </c>
      <c r="AT73">
        <v>0.1</v>
      </c>
      <c r="AU73" t="s">
        <v>698</v>
      </c>
      <c r="AV73" t="s">
        <v>666</v>
      </c>
    </row>
    <row r="74" spans="1:49">
      <c r="A74" s="1">
        <f>HYPERLINK("https://lsnyc.legalserver.org/matter/dynamic-profile/view/1862790","18-1862790")</f>
        <v>0</v>
      </c>
      <c r="B74" t="s">
        <v>683</v>
      </c>
      <c r="C74" t="s">
        <v>54</v>
      </c>
      <c r="D74" t="s">
        <v>733</v>
      </c>
      <c r="E74" t="s">
        <v>814</v>
      </c>
      <c r="F74" t="s">
        <v>911</v>
      </c>
      <c r="G74" t="s">
        <v>1155</v>
      </c>
      <c r="H74" t="s">
        <v>1393</v>
      </c>
      <c r="I74" t="s">
        <v>384</v>
      </c>
      <c r="J74">
        <v>11233</v>
      </c>
      <c r="K74" t="s">
        <v>423</v>
      </c>
      <c r="L74" t="s">
        <v>422</v>
      </c>
      <c r="O74" t="s">
        <v>441</v>
      </c>
      <c r="P74" t="s">
        <v>447</v>
      </c>
      <c r="Q74" t="s">
        <v>450</v>
      </c>
      <c r="T74" t="s">
        <v>1830</v>
      </c>
      <c r="W74">
        <v>0</v>
      </c>
      <c r="X74" t="s">
        <v>458</v>
      </c>
      <c r="Z74" t="s">
        <v>470</v>
      </c>
      <c r="AA74" t="s">
        <v>1920</v>
      </c>
      <c r="AD74">
        <v>0</v>
      </c>
      <c r="AG74">
        <v>0</v>
      </c>
      <c r="AH74">
        <v>2</v>
      </c>
      <c r="AI74">
        <v>1</v>
      </c>
      <c r="AJ74">
        <v>41.58</v>
      </c>
      <c r="AN74">
        <v>8640</v>
      </c>
      <c r="AT74">
        <v>3.5</v>
      </c>
      <c r="AU74" t="s">
        <v>758</v>
      </c>
      <c r="AV74" t="s">
        <v>683</v>
      </c>
    </row>
    <row r="75" spans="1:49">
      <c r="A75" s="1">
        <f>HYPERLINK("https://lsnyc.legalserver.org/matter/dynamic-profile/view/1865771","18-1865771")</f>
        <v>0</v>
      </c>
      <c r="B75" t="s">
        <v>683</v>
      </c>
      <c r="C75" t="s">
        <v>54</v>
      </c>
      <c r="D75" t="s">
        <v>734</v>
      </c>
      <c r="E75" t="s">
        <v>657</v>
      </c>
      <c r="F75" t="s">
        <v>159</v>
      </c>
      <c r="G75" t="s">
        <v>1156</v>
      </c>
      <c r="H75" t="s">
        <v>1394</v>
      </c>
      <c r="I75" t="s">
        <v>1622</v>
      </c>
      <c r="J75">
        <v>11233</v>
      </c>
      <c r="K75" t="s">
        <v>424</v>
      </c>
      <c r="L75" t="s">
        <v>423</v>
      </c>
      <c r="M75" t="s">
        <v>1723</v>
      </c>
      <c r="N75" t="s">
        <v>437</v>
      </c>
      <c r="O75" t="s">
        <v>441</v>
      </c>
      <c r="P75" t="s">
        <v>447</v>
      </c>
      <c r="Q75" t="s">
        <v>450</v>
      </c>
      <c r="T75" t="s">
        <v>453</v>
      </c>
      <c r="W75">
        <v>1052</v>
      </c>
      <c r="X75" t="s">
        <v>458</v>
      </c>
      <c r="Y75" t="s">
        <v>467</v>
      </c>
      <c r="Z75" t="s">
        <v>1848</v>
      </c>
      <c r="AA75" t="s">
        <v>1921</v>
      </c>
      <c r="AC75" t="s">
        <v>2230</v>
      </c>
      <c r="AD75">
        <v>97</v>
      </c>
      <c r="AE75" t="s">
        <v>2423</v>
      </c>
      <c r="AF75" t="s">
        <v>459</v>
      </c>
      <c r="AG75">
        <v>4</v>
      </c>
      <c r="AH75">
        <v>2</v>
      </c>
      <c r="AI75">
        <v>2</v>
      </c>
      <c r="AJ75">
        <v>68.91</v>
      </c>
      <c r="AM75" t="s">
        <v>629</v>
      </c>
      <c r="AN75">
        <v>17296</v>
      </c>
      <c r="AT75">
        <v>2.3</v>
      </c>
      <c r="AU75" t="s">
        <v>2494</v>
      </c>
      <c r="AV75" t="s">
        <v>666</v>
      </c>
    </row>
    <row r="76" spans="1:49">
      <c r="A76" s="1">
        <f>HYPERLINK("https://lsnyc.legalserver.org/matter/dynamic-profile/view/1871694","18-1871694")</f>
        <v>0</v>
      </c>
      <c r="B76" t="s">
        <v>683</v>
      </c>
      <c r="C76" t="s">
        <v>54</v>
      </c>
      <c r="D76" t="s">
        <v>727</v>
      </c>
      <c r="E76" t="s">
        <v>752</v>
      </c>
      <c r="F76" t="s">
        <v>207</v>
      </c>
      <c r="G76" t="s">
        <v>1157</v>
      </c>
      <c r="H76" t="s">
        <v>1395</v>
      </c>
      <c r="I76" t="s">
        <v>1623</v>
      </c>
      <c r="J76">
        <v>11212</v>
      </c>
      <c r="K76" t="s">
        <v>423</v>
      </c>
      <c r="L76" t="s">
        <v>422</v>
      </c>
      <c r="M76" t="s">
        <v>1724</v>
      </c>
      <c r="N76" t="s">
        <v>437</v>
      </c>
      <c r="O76" t="s">
        <v>441</v>
      </c>
      <c r="P76" t="s">
        <v>447</v>
      </c>
      <c r="Q76" t="s">
        <v>450</v>
      </c>
      <c r="R76" t="s">
        <v>423</v>
      </c>
      <c r="T76" t="s">
        <v>453</v>
      </c>
      <c r="W76">
        <v>1400</v>
      </c>
      <c r="X76" t="s">
        <v>458</v>
      </c>
      <c r="Y76" t="s">
        <v>467</v>
      </c>
      <c r="Z76" t="s">
        <v>470</v>
      </c>
      <c r="AA76" t="s">
        <v>1922</v>
      </c>
      <c r="AB76" t="s">
        <v>2141</v>
      </c>
      <c r="AC76" t="s">
        <v>2231</v>
      </c>
      <c r="AD76">
        <v>0</v>
      </c>
      <c r="AE76" t="s">
        <v>2419</v>
      </c>
      <c r="AF76" t="s">
        <v>626</v>
      </c>
      <c r="AG76">
        <v>25</v>
      </c>
      <c r="AH76">
        <v>1</v>
      </c>
      <c r="AI76">
        <v>0</v>
      </c>
      <c r="AJ76">
        <v>80.26000000000001</v>
      </c>
      <c r="AM76" t="s">
        <v>629</v>
      </c>
      <c r="AN76">
        <v>9744</v>
      </c>
      <c r="AT76">
        <v>9.1</v>
      </c>
      <c r="AU76" t="s">
        <v>740</v>
      </c>
      <c r="AV76" t="s">
        <v>664</v>
      </c>
    </row>
    <row r="77" spans="1:49">
      <c r="A77" s="1">
        <f>HYPERLINK("https://lsnyc.legalserver.org/matter/dynamic-profile/view/1867170","18-1867170")</f>
        <v>0</v>
      </c>
      <c r="B77" t="s">
        <v>683</v>
      </c>
      <c r="C77" t="s">
        <v>54</v>
      </c>
      <c r="D77" t="s">
        <v>735</v>
      </c>
      <c r="E77" t="s">
        <v>130</v>
      </c>
      <c r="F77" t="s">
        <v>912</v>
      </c>
      <c r="G77" t="s">
        <v>1158</v>
      </c>
      <c r="H77" t="s">
        <v>1396</v>
      </c>
      <c r="I77" t="s">
        <v>1624</v>
      </c>
      <c r="J77">
        <v>11233</v>
      </c>
      <c r="K77" t="s">
        <v>424</v>
      </c>
      <c r="L77" t="s">
        <v>424</v>
      </c>
      <c r="M77" t="s">
        <v>1725</v>
      </c>
      <c r="N77" t="s">
        <v>437</v>
      </c>
      <c r="O77" t="s">
        <v>445</v>
      </c>
      <c r="P77" t="s">
        <v>1826</v>
      </c>
      <c r="Q77" t="s">
        <v>450</v>
      </c>
      <c r="R77" t="s">
        <v>424</v>
      </c>
      <c r="T77" t="s">
        <v>453</v>
      </c>
      <c r="W77">
        <v>1266.08</v>
      </c>
      <c r="X77" t="s">
        <v>458</v>
      </c>
      <c r="Y77" t="s">
        <v>467</v>
      </c>
      <c r="Z77" t="s">
        <v>475</v>
      </c>
      <c r="AA77" t="s">
        <v>1923</v>
      </c>
      <c r="AB77" t="s">
        <v>2142</v>
      </c>
      <c r="AC77" t="s">
        <v>2232</v>
      </c>
      <c r="AD77">
        <v>718</v>
      </c>
      <c r="AE77" t="s">
        <v>622</v>
      </c>
      <c r="AF77" t="s">
        <v>626</v>
      </c>
      <c r="AG77">
        <v>23</v>
      </c>
      <c r="AH77">
        <v>2</v>
      </c>
      <c r="AI77">
        <v>1</v>
      </c>
      <c r="AJ77">
        <v>133.84</v>
      </c>
      <c r="AM77" t="s">
        <v>629</v>
      </c>
      <c r="AN77">
        <v>27812</v>
      </c>
      <c r="AT77">
        <v>25.55</v>
      </c>
      <c r="AU77" t="s">
        <v>745</v>
      </c>
      <c r="AV77" t="s">
        <v>666</v>
      </c>
    </row>
    <row r="78" spans="1:49">
      <c r="A78" s="1">
        <f>HYPERLINK("https://lsnyc.legalserver.org/matter/dynamic-profile/view/1877211","18-1877211")</f>
        <v>0</v>
      </c>
      <c r="B78" t="s">
        <v>683</v>
      </c>
      <c r="C78" t="s">
        <v>54</v>
      </c>
      <c r="D78" t="s">
        <v>736</v>
      </c>
      <c r="E78" t="s">
        <v>831</v>
      </c>
      <c r="F78" t="s">
        <v>913</v>
      </c>
      <c r="G78" t="s">
        <v>1159</v>
      </c>
      <c r="J78">
        <v>11233</v>
      </c>
      <c r="K78" t="s">
        <v>423</v>
      </c>
      <c r="L78" t="s">
        <v>422</v>
      </c>
      <c r="O78" t="s">
        <v>441</v>
      </c>
      <c r="P78" t="s">
        <v>447</v>
      </c>
      <c r="Q78" t="s">
        <v>450</v>
      </c>
      <c r="R78" t="s">
        <v>423</v>
      </c>
      <c r="T78" t="s">
        <v>453</v>
      </c>
      <c r="W78">
        <v>300</v>
      </c>
      <c r="X78" t="s">
        <v>458</v>
      </c>
      <c r="Y78" t="s">
        <v>467</v>
      </c>
      <c r="Z78" t="s">
        <v>470</v>
      </c>
      <c r="AA78" t="s">
        <v>1924</v>
      </c>
      <c r="AC78" t="s">
        <v>2233</v>
      </c>
      <c r="AD78">
        <v>0</v>
      </c>
      <c r="AE78" t="s">
        <v>622</v>
      </c>
      <c r="AG78">
        <v>5</v>
      </c>
      <c r="AH78">
        <v>2</v>
      </c>
      <c r="AI78">
        <v>0</v>
      </c>
      <c r="AJ78">
        <v>145.81</v>
      </c>
      <c r="AM78" t="s">
        <v>629</v>
      </c>
      <c r="AN78">
        <v>24000</v>
      </c>
      <c r="AT78">
        <v>3.25</v>
      </c>
      <c r="AU78" t="s">
        <v>2495</v>
      </c>
      <c r="AV78" t="s">
        <v>683</v>
      </c>
    </row>
    <row r="79" spans="1:49">
      <c r="A79" s="1">
        <f>HYPERLINK("https://lsnyc.legalserver.org/matter/dynamic-profile/view/1873370","18-1873370")</f>
        <v>0</v>
      </c>
      <c r="B79" t="s">
        <v>683</v>
      </c>
      <c r="C79" t="s">
        <v>54</v>
      </c>
      <c r="D79" t="s">
        <v>737</v>
      </c>
      <c r="E79" t="s">
        <v>758</v>
      </c>
      <c r="F79" t="s">
        <v>914</v>
      </c>
      <c r="G79" t="s">
        <v>1160</v>
      </c>
      <c r="H79" t="s">
        <v>1397</v>
      </c>
      <c r="I79" t="s">
        <v>1625</v>
      </c>
      <c r="J79">
        <v>11236</v>
      </c>
      <c r="K79" t="s">
        <v>423</v>
      </c>
      <c r="L79" t="s">
        <v>422</v>
      </c>
      <c r="M79" t="s">
        <v>1726</v>
      </c>
      <c r="N79" t="s">
        <v>434</v>
      </c>
      <c r="P79" t="s">
        <v>447</v>
      </c>
      <c r="Q79" t="s">
        <v>450</v>
      </c>
      <c r="R79" t="s">
        <v>423</v>
      </c>
      <c r="T79" t="s">
        <v>453</v>
      </c>
      <c r="W79">
        <v>1132</v>
      </c>
      <c r="X79" t="s">
        <v>458</v>
      </c>
      <c r="Y79" t="s">
        <v>1835</v>
      </c>
      <c r="Z79" t="s">
        <v>470</v>
      </c>
      <c r="AA79" t="s">
        <v>1925</v>
      </c>
      <c r="AB79" t="s">
        <v>1720</v>
      </c>
      <c r="AC79" t="s">
        <v>2234</v>
      </c>
      <c r="AD79">
        <v>113</v>
      </c>
      <c r="AE79" t="s">
        <v>622</v>
      </c>
      <c r="AF79" t="s">
        <v>625</v>
      </c>
      <c r="AG79">
        <v>18</v>
      </c>
      <c r="AH79">
        <v>2</v>
      </c>
      <c r="AI79">
        <v>0</v>
      </c>
      <c r="AJ79">
        <v>157.96</v>
      </c>
      <c r="AM79" t="s">
        <v>629</v>
      </c>
      <c r="AN79">
        <v>26000</v>
      </c>
      <c r="AO79" t="s">
        <v>2449</v>
      </c>
      <c r="AT79">
        <v>3.5</v>
      </c>
      <c r="AU79" t="s">
        <v>758</v>
      </c>
      <c r="AV79" t="s">
        <v>666</v>
      </c>
    </row>
    <row r="80" spans="1:49">
      <c r="A80" s="1">
        <f>HYPERLINK("https://lsnyc.legalserver.org/matter/dynamic-profile/view/1870245","18-1870245")</f>
        <v>0</v>
      </c>
      <c r="B80" t="s">
        <v>683</v>
      </c>
      <c r="C80" t="s">
        <v>54</v>
      </c>
      <c r="D80" t="s">
        <v>738</v>
      </c>
      <c r="E80" t="s">
        <v>814</v>
      </c>
      <c r="F80" t="s">
        <v>915</v>
      </c>
      <c r="G80" t="s">
        <v>1161</v>
      </c>
      <c r="H80" t="s">
        <v>1398</v>
      </c>
      <c r="I80" t="s">
        <v>1590</v>
      </c>
      <c r="J80">
        <v>11207</v>
      </c>
      <c r="K80" t="s">
        <v>423</v>
      </c>
      <c r="L80" t="s">
        <v>422</v>
      </c>
      <c r="M80" t="s">
        <v>1727</v>
      </c>
      <c r="N80" t="s">
        <v>437</v>
      </c>
      <c r="O80" t="s">
        <v>441</v>
      </c>
      <c r="P80" t="s">
        <v>447</v>
      </c>
      <c r="Q80" t="s">
        <v>450</v>
      </c>
      <c r="T80" t="s">
        <v>453</v>
      </c>
      <c r="W80">
        <v>1374</v>
      </c>
      <c r="X80" t="s">
        <v>458</v>
      </c>
      <c r="Z80" t="s">
        <v>470</v>
      </c>
      <c r="AA80" t="s">
        <v>1926</v>
      </c>
      <c r="AB80" t="s">
        <v>2143</v>
      </c>
      <c r="AC80" t="s">
        <v>2235</v>
      </c>
      <c r="AD80">
        <v>3</v>
      </c>
      <c r="AE80" t="s">
        <v>623</v>
      </c>
      <c r="AG80">
        <v>13</v>
      </c>
      <c r="AH80">
        <v>1</v>
      </c>
      <c r="AI80">
        <v>1</v>
      </c>
      <c r="AJ80">
        <v>236.94</v>
      </c>
      <c r="AM80" t="s">
        <v>629</v>
      </c>
      <c r="AN80">
        <v>39000</v>
      </c>
      <c r="AT80">
        <v>2</v>
      </c>
      <c r="AU80" t="s">
        <v>655</v>
      </c>
      <c r="AV80" t="s">
        <v>2518</v>
      </c>
    </row>
    <row r="81" spans="1:48">
      <c r="A81" s="1">
        <f>HYPERLINK("https://lsnyc.legalserver.org/matter/dynamic-profile/view/1895273","19-1895273")</f>
        <v>0</v>
      </c>
      <c r="B81" t="s">
        <v>684</v>
      </c>
      <c r="C81" t="s">
        <v>55</v>
      </c>
      <c r="D81" t="s">
        <v>739</v>
      </c>
      <c r="F81" t="s">
        <v>916</v>
      </c>
      <c r="G81" t="s">
        <v>1162</v>
      </c>
      <c r="H81" t="s">
        <v>1399</v>
      </c>
      <c r="I81" t="s">
        <v>1626</v>
      </c>
      <c r="J81">
        <v>11212</v>
      </c>
      <c r="K81" t="s">
        <v>423</v>
      </c>
      <c r="L81" t="s">
        <v>423</v>
      </c>
      <c r="Q81" t="s">
        <v>450</v>
      </c>
      <c r="R81" t="s">
        <v>424</v>
      </c>
      <c r="T81" t="s">
        <v>453</v>
      </c>
      <c r="W81">
        <v>683</v>
      </c>
      <c r="X81" t="s">
        <v>458</v>
      </c>
      <c r="AA81" t="s">
        <v>1927</v>
      </c>
      <c r="AD81">
        <v>0</v>
      </c>
      <c r="AE81" t="s">
        <v>622</v>
      </c>
      <c r="AF81" t="s">
        <v>625</v>
      </c>
      <c r="AG81">
        <v>30</v>
      </c>
      <c r="AH81">
        <v>2</v>
      </c>
      <c r="AI81">
        <v>0</v>
      </c>
      <c r="AJ81">
        <v>0</v>
      </c>
      <c r="AM81" t="s">
        <v>629</v>
      </c>
      <c r="AN81">
        <v>0</v>
      </c>
      <c r="AT81">
        <v>1</v>
      </c>
      <c r="AU81" t="s">
        <v>129</v>
      </c>
      <c r="AV81" t="s">
        <v>666</v>
      </c>
    </row>
    <row r="82" spans="1:48">
      <c r="A82" s="1">
        <f>HYPERLINK("https://lsnyc.legalserver.org/matter/dynamic-profile/view/1875657","18-1875657")</f>
        <v>0</v>
      </c>
      <c r="B82" t="s">
        <v>684</v>
      </c>
      <c r="C82" t="s">
        <v>55</v>
      </c>
      <c r="D82" t="s">
        <v>740</v>
      </c>
      <c r="F82" t="s">
        <v>154</v>
      </c>
      <c r="G82" t="s">
        <v>1163</v>
      </c>
      <c r="H82" t="s">
        <v>1400</v>
      </c>
      <c r="I82" t="s">
        <v>414</v>
      </c>
      <c r="J82">
        <v>11233</v>
      </c>
      <c r="K82" t="s">
        <v>422</v>
      </c>
      <c r="L82" t="s">
        <v>422</v>
      </c>
      <c r="O82" t="s">
        <v>443</v>
      </c>
      <c r="Q82" t="s">
        <v>450</v>
      </c>
      <c r="T82" t="s">
        <v>453</v>
      </c>
      <c r="W82">
        <v>0</v>
      </c>
      <c r="X82" t="s">
        <v>458</v>
      </c>
      <c r="AA82" t="s">
        <v>1928</v>
      </c>
      <c r="AC82" t="s">
        <v>2236</v>
      </c>
      <c r="AD82">
        <v>0</v>
      </c>
      <c r="AG82">
        <v>0</v>
      </c>
      <c r="AH82">
        <v>3</v>
      </c>
      <c r="AI82">
        <v>1</v>
      </c>
      <c r="AJ82">
        <v>2.39</v>
      </c>
      <c r="AM82" t="s">
        <v>629</v>
      </c>
      <c r="AN82">
        <v>600</v>
      </c>
      <c r="AT82">
        <v>0.25</v>
      </c>
      <c r="AU82" t="s">
        <v>815</v>
      </c>
      <c r="AV82" t="s">
        <v>667</v>
      </c>
    </row>
    <row r="83" spans="1:48">
      <c r="A83" s="1">
        <f>HYPERLINK("https://lsnyc.legalserver.org/matter/dynamic-profile/view/0831293","17-0831293")</f>
        <v>0</v>
      </c>
      <c r="B83" t="s">
        <v>684</v>
      </c>
      <c r="C83" t="s">
        <v>55</v>
      </c>
      <c r="D83" t="s">
        <v>741</v>
      </c>
      <c r="F83" t="s">
        <v>917</v>
      </c>
      <c r="G83" t="s">
        <v>1164</v>
      </c>
      <c r="H83" t="s">
        <v>1401</v>
      </c>
      <c r="I83">
        <v>14</v>
      </c>
      <c r="J83">
        <v>11219</v>
      </c>
      <c r="K83" t="s">
        <v>424</v>
      </c>
      <c r="L83" t="s">
        <v>422</v>
      </c>
      <c r="M83" t="s">
        <v>1728</v>
      </c>
      <c r="N83" t="s">
        <v>437</v>
      </c>
      <c r="O83" t="s">
        <v>445</v>
      </c>
      <c r="Q83" t="s">
        <v>450</v>
      </c>
      <c r="R83" t="s">
        <v>423</v>
      </c>
      <c r="S83" t="s">
        <v>451</v>
      </c>
      <c r="T83" t="s">
        <v>453</v>
      </c>
      <c r="W83">
        <v>1065</v>
      </c>
      <c r="X83" t="s">
        <v>458</v>
      </c>
      <c r="Y83" t="s">
        <v>1837</v>
      </c>
      <c r="AA83" t="s">
        <v>1929</v>
      </c>
      <c r="AD83">
        <v>0</v>
      </c>
      <c r="AE83" t="s">
        <v>622</v>
      </c>
      <c r="AF83" t="s">
        <v>625</v>
      </c>
      <c r="AG83">
        <v>12</v>
      </c>
      <c r="AH83">
        <v>3</v>
      </c>
      <c r="AI83">
        <v>0</v>
      </c>
      <c r="AJ83">
        <v>32.32</v>
      </c>
      <c r="AM83" t="s">
        <v>2439</v>
      </c>
      <c r="AN83">
        <v>6600</v>
      </c>
      <c r="AT83">
        <v>95.45</v>
      </c>
      <c r="AU83" t="s">
        <v>791</v>
      </c>
      <c r="AV83" t="s">
        <v>2519</v>
      </c>
    </row>
    <row r="84" spans="1:48">
      <c r="A84" s="1">
        <f>HYPERLINK("https://lsnyc.legalserver.org/matter/dynamic-profile/view/1875253","18-1875253")</f>
        <v>0</v>
      </c>
      <c r="B84" t="s">
        <v>684</v>
      </c>
      <c r="C84" t="s">
        <v>54</v>
      </c>
      <c r="D84" t="s">
        <v>103</v>
      </c>
      <c r="E84" t="s">
        <v>723</v>
      </c>
      <c r="F84" t="s">
        <v>918</v>
      </c>
      <c r="G84" t="s">
        <v>1165</v>
      </c>
      <c r="H84" t="s">
        <v>1402</v>
      </c>
      <c r="I84">
        <v>2</v>
      </c>
      <c r="J84">
        <v>11233</v>
      </c>
      <c r="K84" t="s">
        <v>424</v>
      </c>
      <c r="L84" t="s">
        <v>423</v>
      </c>
      <c r="N84" t="s">
        <v>437</v>
      </c>
      <c r="O84" t="s">
        <v>443</v>
      </c>
      <c r="P84" t="s">
        <v>448</v>
      </c>
      <c r="Q84" t="s">
        <v>450</v>
      </c>
      <c r="R84" t="s">
        <v>423</v>
      </c>
      <c r="T84" t="s">
        <v>453</v>
      </c>
      <c r="U84" t="s">
        <v>457</v>
      </c>
      <c r="W84">
        <v>1363</v>
      </c>
      <c r="X84" t="s">
        <v>458</v>
      </c>
      <c r="Y84" t="s">
        <v>467</v>
      </c>
      <c r="Z84" t="s">
        <v>475</v>
      </c>
      <c r="AA84" t="s">
        <v>1930</v>
      </c>
      <c r="AC84" t="s">
        <v>2237</v>
      </c>
      <c r="AD84">
        <v>8</v>
      </c>
      <c r="AE84" t="s">
        <v>622</v>
      </c>
      <c r="AF84" t="s">
        <v>626</v>
      </c>
      <c r="AG84">
        <v>4</v>
      </c>
      <c r="AH84">
        <v>1</v>
      </c>
      <c r="AI84">
        <v>1</v>
      </c>
      <c r="AJ84">
        <v>176.12</v>
      </c>
      <c r="AM84" t="s">
        <v>629</v>
      </c>
      <c r="AN84">
        <v>28990</v>
      </c>
      <c r="AO84" t="s">
        <v>2450</v>
      </c>
      <c r="AT84">
        <v>0.9</v>
      </c>
      <c r="AU84" t="s">
        <v>820</v>
      </c>
      <c r="AV84" t="s">
        <v>684</v>
      </c>
    </row>
    <row r="85" spans="1:48">
      <c r="A85" s="1">
        <f>HYPERLINK("https://lsnyc.legalserver.org/matter/dynamic-profile/view/0825594","17-0825594")</f>
        <v>0</v>
      </c>
      <c r="B85" t="s">
        <v>685</v>
      </c>
      <c r="C85" t="s">
        <v>54</v>
      </c>
      <c r="D85" t="s">
        <v>742</v>
      </c>
      <c r="E85" t="s">
        <v>833</v>
      </c>
      <c r="F85" t="s">
        <v>919</v>
      </c>
      <c r="G85" t="s">
        <v>1166</v>
      </c>
      <c r="H85" t="s">
        <v>1403</v>
      </c>
      <c r="I85" t="s">
        <v>393</v>
      </c>
      <c r="J85">
        <v>11233</v>
      </c>
      <c r="K85" t="s">
        <v>422</v>
      </c>
      <c r="L85" t="s">
        <v>422</v>
      </c>
      <c r="M85" t="s">
        <v>1729</v>
      </c>
      <c r="N85" t="s">
        <v>437</v>
      </c>
      <c r="O85" t="s">
        <v>441</v>
      </c>
      <c r="P85" t="s">
        <v>447</v>
      </c>
      <c r="Q85" t="s">
        <v>450</v>
      </c>
      <c r="R85" t="s">
        <v>423</v>
      </c>
      <c r="T85" t="s">
        <v>453</v>
      </c>
      <c r="W85">
        <v>756</v>
      </c>
      <c r="X85" t="s">
        <v>458</v>
      </c>
      <c r="Y85" t="s">
        <v>462</v>
      </c>
      <c r="Z85" t="s">
        <v>470</v>
      </c>
      <c r="AA85" t="s">
        <v>1931</v>
      </c>
      <c r="AB85" t="s">
        <v>2144</v>
      </c>
      <c r="AC85" t="s">
        <v>2238</v>
      </c>
      <c r="AD85">
        <v>12</v>
      </c>
      <c r="AF85" t="s">
        <v>626</v>
      </c>
      <c r="AG85">
        <v>11</v>
      </c>
      <c r="AH85">
        <v>1</v>
      </c>
      <c r="AI85">
        <v>2</v>
      </c>
      <c r="AJ85">
        <v>69.40000000000001</v>
      </c>
      <c r="AM85" t="s">
        <v>629</v>
      </c>
      <c r="AN85">
        <v>13992</v>
      </c>
      <c r="AT85">
        <v>1.2</v>
      </c>
      <c r="AU85" t="s">
        <v>803</v>
      </c>
      <c r="AV85" t="s">
        <v>2512</v>
      </c>
    </row>
    <row r="86" spans="1:48">
      <c r="A86" s="1">
        <f>HYPERLINK("https://lsnyc.legalserver.org/matter/dynamic-profile/view/1849071","17-1849071")</f>
        <v>0</v>
      </c>
      <c r="B86" t="s">
        <v>686</v>
      </c>
      <c r="C86" t="s">
        <v>54</v>
      </c>
      <c r="D86" t="s">
        <v>743</v>
      </c>
      <c r="E86" t="s">
        <v>817</v>
      </c>
      <c r="F86" t="s">
        <v>160</v>
      </c>
      <c r="G86" t="s">
        <v>237</v>
      </c>
      <c r="H86" t="s">
        <v>311</v>
      </c>
      <c r="I86" t="s">
        <v>1627</v>
      </c>
      <c r="J86">
        <v>11220</v>
      </c>
      <c r="K86" t="s">
        <v>424</v>
      </c>
      <c r="L86" t="s">
        <v>424</v>
      </c>
      <c r="N86" t="s">
        <v>434</v>
      </c>
      <c r="O86" t="s">
        <v>445</v>
      </c>
      <c r="P86" t="s">
        <v>449</v>
      </c>
      <c r="Q86" t="s">
        <v>450</v>
      </c>
      <c r="R86" t="s">
        <v>423</v>
      </c>
      <c r="T86" t="s">
        <v>453</v>
      </c>
      <c r="W86">
        <v>1224</v>
      </c>
      <c r="X86" t="s">
        <v>458</v>
      </c>
      <c r="Y86" t="s">
        <v>467</v>
      </c>
      <c r="Z86" t="s">
        <v>1847</v>
      </c>
      <c r="AA86" t="s">
        <v>493</v>
      </c>
      <c r="AB86" t="s">
        <v>621</v>
      </c>
      <c r="AC86" t="s">
        <v>2239</v>
      </c>
      <c r="AD86">
        <v>17</v>
      </c>
      <c r="AE86" t="s">
        <v>622</v>
      </c>
      <c r="AF86" t="s">
        <v>625</v>
      </c>
      <c r="AG86">
        <v>5</v>
      </c>
      <c r="AH86">
        <v>2</v>
      </c>
      <c r="AI86">
        <v>1</v>
      </c>
      <c r="AJ86">
        <v>135.22</v>
      </c>
      <c r="AM86" t="s">
        <v>629</v>
      </c>
      <c r="AN86">
        <v>27612</v>
      </c>
      <c r="AT86">
        <v>7.1</v>
      </c>
      <c r="AU86" t="s">
        <v>2496</v>
      </c>
      <c r="AV86" t="s">
        <v>666</v>
      </c>
    </row>
    <row r="87" spans="1:48">
      <c r="A87" s="1">
        <f>HYPERLINK("https://lsnyc.legalserver.org/matter/dynamic-profile/view/1832972","17-1832972")</f>
        <v>0</v>
      </c>
      <c r="B87" t="s">
        <v>686</v>
      </c>
      <c r="C87" t="s">
        <v>55</v>
      </c>
      <c r="D87" t="s">
        <v>744</v>
      </c>
      <c r="F87" t="s">
        <v>166</v>
      </c>
      <c r="G87" t="s">
        <v>1167</v>
      </c>
      <c r="H87" t="s">
        <v>1404</v>
      </c>
      <c r="J87">
        <v>11213</v>
      </c>
      <c r="K87" t="s">
        <v>424</v>
      </c>
      <c r="L87" t="s">
        <v>422</v>
      </c>
      <c r="N87" t="s">
        <v>1816</v>
      </c>
      <c r="O87" t="s">
        <v>443</v>
      </c>
      <c r="Q87" t="s">
        <v>450</v>
      </c>
      <c r="R87" t="s">
        <v>424</v>
      </c>
      <c r="T87" t="s">
        <v>453</v>
      </c>
      <c r="W87">
        <v>0</v>
      </c>
      <c r="X87" t="s">
        <v>458</v>
      </c>
      <c r="Y87" t="s">
        <v>469</v>
      </c>
      <c r="AA87" t="s">
        <v>1932</v>
      </c>
      <c r="AD87">
        <v>74</v>
      </c>
      <c r="AE87" t="s">
        <v>622</v>
      </c>
      <c r="AG87">
        <v>0</v>
      </c>
      <c r="AH87">
        <v>1</v>
      </c>
      <c r="AI87">
        <v>0</v>
      </c>
      <c r="AJ87">
        <v>261.89</v>
      </c>
      <c r="AK87" t="s">
        <v>2433</v>
      </c>
      <c r="AM87" t="s">
        <v>629</v>
      </c>
      <c r="AN87">
        <v>31584</v>
      </c>
      <c r="AT87">
        <v>0</v>
      </c>
      <c r="AV87" t="s">
        <v>2520</v>
      </c>
    </row>
    <row r="88" spans="1:48">
      <c r="A88" s="1">
        <f>HYPERLINK("https://lsnyc.legalserver.org/matter/dynamic-profile/view/1875518","18-1875518")</f>
        <v>0</v>
      </c>
      <c r="B88" t="s">
        <v>687</v>
      </c>
      <c r="C88" t="s">
        <v>55</v>
      </c>
      <c r="D88" t="s">
        <v>745</v>
      </c>
      <c r="F88" t="s">
        <v>920</v>
      </c>
      <c r="G88" t="s">
        <v>1168</v>
      </c>
      <c r="H88" t="s">
        <v>1405</v>
      </c>
      <c r="I88" t="s">
        <v>1628</v>
      </c>
      <c r="J88">
        <v>11239</v>
      </c>
      <c r="K88" t="s">
        <v>423</v>
      </c>
      <c r="L88" t="s">
        <v>423</v>
      </c>
      <c r="M88" t="s">
        <v>1730</v>
      </c>
      <c r="N88" t="s">
        <v>437</v>
      </c>
      <c r="O88" t="s">
        <v>444</v>
      </c>
      <c r="Q88" t="s">
        <v>450</v>
      </c>
      <c r="T88" t="s">
        <v>453</v>
      </c>
      <c r="W88">
        <v>0</v>
      </c>
      <c r="X88" t="s">
        <v>458</v>
      </c>
      <c r="AA88" t="s">
        <v>1933</v>
      </c>
      <c r="AD88">
        <v>0</v>
      </c>
      <c r="AG88">
        <v>0</v>
      </c>
      <c r="AH88">
        <v>2</v>
      </c>
      <c r="AI88">
        <v>0</v>
      </c>
      <c r="AJ88">
        <v>47.97</v>
      </c>
      <c r="AN88">
        <v>7896</v>
      </c>
      <c r="AT88">
        <v>0.95</v>
      </c>
      <c r="AU88" t="s">
        <v>847</v>
      </c>
      <c r="AV88" t="s">
        <v>669</v>
      </c>
    </row>
    <row r="89" spans="1:48">
      <c r="A89" s="1">
        <f>HYPERLINK("https://lsnyc.legalserver.org/matter/dynamic-profile/view/1880652","18-1880652")</f>
        <v>0</v>
      </c>
      <c r="B89" t="s">
        <v>687</v>
      </c>
      <c r="C89" t="s">
        <v>55</v>
      </c>
      <c r="D89" t="s">
        <v>746</v>
      </c>
      <c r="F89" t="s">
        <v>921</v>
      </c>
      <c r="G89" t="s">
        <v>1169</v>
      </c>
      <c r="H89" t="s">
        <v>1406</v>
      </c>
      <c r="I89" t="s">
        <v>1629</v>
      </c>
      <c r="J89">
        <v>11233</v>
      </c>
      <c r="K89" t="s">
        <v>424</v>
      </c>
      <c r="L89" t="s">
        <v>424</v>
      </c>
      <c r="M89" t="s">
        <v>1731</v>
      </c>
      <c r="N89" t="s">
        <v>434</v>
      </c>
      <c r="O89" t="s">
        <v>445</v>
      </c>
      <c r="Q89" t="s">
        <v>450</v>
      </c>
      <c r="R89" t="s">
        <v>423</v>
      </c>
      <c r="T89" t="s">
        <v>453</v>
      </c>
      <c r="U89" t="s">
        <v>1834</v>
      </c>
      <c r="W89">
        <v>700</v>
      </c>
      <c r="X89" t="s">
        <v>458</v>
      </c>
      <c r="Y89" t="s">
        <v>1836</v>
      </c>
      <c r="AA89" t="s">
        <v>1934</v>
      </c>
      <c r="AC89" t="s">
        <v>2240</v>
      </c>
      <c r="AD89">
        <v>27</v>
      </c>
      <c r="AG89">
        <v>10</v>
      </c>
      <c r="AH89">
        <v>1</v>
      </c>
      <c r="AI89">
        <v>0</v>
      </c>
      <c r="AJ89">
        <v>66.72</v>
      </c>
      <c r="AM89" t="s">
        <v>629</v>
      </c>
      <c r="AN89">
        <v>8100</v>
      </c>
      <c r="AO89" t="s">
        <v>2451</v>
      </c>
      <c r="AT89">
        <v>31.7</v>
      </c>
      <c r="AU89" t="s">
        <v>725</v>
      </c>
      <c r="AV89" t="s">
        <v>668</v>
      </c>
    </row>
    <row r="90" spans="1:48">
      <c r="A90" s="1">
        <f>HYPERLINK("https://lsnyc.legalserver.org/matter/dynamic-profile/view/1877775","18-1877775")</f>
        <v>0</v>
      </c>
      <c r="B90" t="s">
        <v>687</v>
      </c>
      <c r="C90" t="s">
        <v>54</v>
      </c>
      <c r="D90" t="s">
        <v>99</v>
      </c>
      <c r="E90" t="s">
        <v>834</v>
      </c>
      <c r="F90" t="s">
        <v>922</v>
      </c>
      <c r="G90" t="s">
        <v>1170</v>
      </c>
      <c r="H90" t="s">
        <v>1407</v>
      </c>
      <c r="I90" t="s">
        <v>393</v>
      </c>
      <c r="J90">
        <v>11213</v>
      </c>
      <c r="K90" t="s">
        <v>423</v>
      </c>
      <c r="L90" t="s">
        <v>422</v>
      </c>
      <c r="M90" t="s">
        <v>1732</v>
      </c>
      <c r="N90" t="s">
        <v>437</v>
      </c>
      <c r="O90" t="s">
        <v>445</v>
      </c>
      <c r="P90" t="s">
        <v>1827</v>
      </c>
      <c r="Q90" t="s">
        <v>450</v>
      </c>
      <c r="R90" t="s">
        <v>423</v>
      </c>
      <c r="T90" t="s">
        <v>453</v>
      </c>
      <c r="W90">
        <v>1085</v>
      </c>
      <c r="X90" t="s">
        <v>458</v>
      </c>
      <c r="Y90" t="s">
        <v>1836</v>
      </c>
      <c r="Z90" t="s">
        <v>1842</v>
      </c>
      <c r="AA90" t="s">
        <v>1935</v>
      </c>
      <c r="AB90" t="s">
        <v>2131</v>
      </c>
      <c r="AC90" t="s">
        <v>2241</v>
      </c>
      <c r="AD90">
        <v>25</v>
      </c>
      <c r="AE90" t="s">
        <v>622</v>
      </c>
      <c r="AF90" t="s">
        <v>625</v>
      </c>
      <c r="AG90">
        <v>31</v>
      </c>
      <c r="AH90">
        <v>2</v>
      </c>
      <c r="AI90">
        <v>0</v>
      </c>
      <c r="AJ90">
        <v>159.66</v>
      </c>
      <c r="AM90" t="s">
        <v>629</v>
      </c>
      <c r="AN90">
        <v>26280</v>
      </c>
      <c r="AT90">
        <v>24.9</v>
      </c>
      <c r="AU90" t="s">
        <v>806</v>
      </c>
      <c r="AV90" t="s">
        <v>666</v>
      </c>
    </row>
    <row r="91" spans="1:48">
      <c r="A91" s="1">
        <f>HYPERLINK("https://lsnyc.legalserver.org/matter/dynamic-profile/view/1864787","18-1864787")</f>
        <v>0</v>
      </c>
      <c r="B91" t="s">
        <v>687</v>
      </c>
      <c r="C91" t="s">
        <v>54</v>
      </c>
      <c r="D91" t="s">
        <v>747</v>
      </c>
      <c r="E91" t="s">
        <v>712</v>
      </c>
      <c r="F91" t="s">
        <v>923</v>
      </c>
      <c r="G91" t="s">
        <v>1171</v>
      </c>
      <c r="H91" t="s">
        <v>1408</v>
      </c>
      <c r="I91" t="s">
        <v>1630</v>
      </c>
      <c r="J91">
        <v>11207</v>
      </c>
      <c r="K91" t="s">
        <v>423</v>
      </c>
      <c r="L91" t="s">
        <v>422</v>
      </c>
      <c r="M91" t="s">
        <v>1733</v>
      </c>
      <c r="N91" t="s">
        <v>437</v>
      </c>
      <c r="O91" t="s">
        <v>445</v>
      </c>
      <c r="P91" t="s">
        <v>1827</v>
      </c>
      <c r="Q91" t="s">
        <v>450</v>
      </c>
      <c r="R91" t="s">
        <v>423</v>
      </c>
      <c r="T91" t="s">
        <v>453</v>
      </c>
      <c r="W91">
        <v>2095</v>
      </c>
      <c r="X91" t="s">
        <v>458</v>
      </c>
      <c r="Y91" t="s">
        <v>1835</v>
      </c>
      <c r="Z91" t="s">
        <v>1842</v>
      </c>
      <c r="AA91" t="s">
        <v>1936</v>
      </c>
      <c r="AC91" t="s">
        <v>2242</v>
      </c>
      <c r="AD91">
        <v>2</v>
      </c>
      <c r="AF91" t="s">
        <v>625</v>
      </c>
      <c r="AG91">
        <v>1</v>
      </c>
      <c r="AH91">
        <v>1</v>
      </c>
      <c r="AI91">
        <v>2</v>
      </c>
      <c r="AJ91">
        <v>166.08</v>
      </c>
      <c r="AM91" t="s">
        <v>629</v>
      </c>
      <c r="AN91">
        <v>34512</v>
      </c>
      <c r="AT91">
        <v>12.3</v>
      </c>
      <c r="AU91" t="s">
        <v>655</v>
      </c>
      <c r="AV91" t="s">
        <v>666</v>
      </c>
    </row>
    <row r="92" spans="1:48">
      <c r="A92" s="1">
        <f>HYPERLINK("https://lsnyc.legalserver.org/matter/dynamic-profile/view/1889196","19-1889196")</f>
        <v>0</v>
      </c>
      <c r="B92" t="s">
        <v>687</v>
      </c>
      <c r="C92" t="s">
        <v>54</v>
      </c>
      <c r="D92" t="s">
        <v>711</v>
      </c>
      <c r="E92" t="s">
        <v>788</v>
      </c>
      <c r="F92" t="s">
        <v>924</v>
      </c>
      <c r="G92" t="s">
        <v>1172</v>
      </c>
      <c r="H92" t="s">
        <v>1409</v>
      </c>
      <c r="I92" t="s">
        <v>1631</v>
      </c>
      <c r="J92">
        <v>11207</v>
      </c>
      <c r="K92" t="s">
        <v>424</v>
      </c>
      <c r="L92" t="s">
        <v>424</v>
      </c>
      <c r="M92" t="s">
        <v>1734</v>
      </c>
      <c r="O92" t="s">
        <v>443</v>
      </c>
      <c r="P92" t="s">
        <v>448</v>
      </c>
      <c r="Q92" t="s">
        <v>450</v>
      </c>
      <c r="T92" t="s">
        <v>453</v>
      </c>
      <c r="W92">
        <v>1775</v>
      </c>
      <c r="X92" t="s">
        <v>458</v>
      </c>
      <c r="Y92" t="s">
        <v>464</v>
      </c>
      <c r="Z92" t="s">
        <v>1842</v>
      </c>
      <c r="AA92" t="s">
        <v>1937</v>
      </c>
      <c r="AC92" t="s">
        <v>2243</v>
      </c>
      <c r="AD92">
        <v>4</v>
      </c>
      <c r="AG92">
        <v>2</v>
      </c>
      <c r="AH92">
        <v>1</v>
      </c>
      <c r="AI92">
        <v>0</v>
      </c>
      <c r="AJ92">
        <v>192.15</v>
      </c>
      <c r="AM92" t="s">
        <v>629</v>
      </c>
      <c r="AN92">
        <v>24000</v>
      </c>
      <c r="AO92" t="s">
        <v>2452</v>
      </c>
      <c r="AT92">
        <v>1.35</v>
      </c>
      <c r="AU92" t="s">
        <v>788</v>
      </c>
      <c r="AV92" t="s">
        <v>2512</v>
      </c>
    </row>
    <row r="93" spans="1:48">
      <c r="A93" s="1">
        <f>HYPERLINK("https://lsnyc.legalserver.org/matter/dynamic-profile/view/0779614","15-0779614")</f>
        <v>0</v>
      </c>
      <c r="B93" t="s">
        <v>688</v>
      </c>
      <c r="C93" t="s">
        <v>55</v>
      </c>
      <c r="D93" t="s">
        <v>748</v>
      </c>
      <c r="F93" t="s">
        <v>925</v>
      </c>
      <c r="G93" t="s">
        <v>1173</v>
      </c>
      <c r="H93" t="s">
        <v>1410</v>
      </c>
      <c r="J93">
        <v>11216</v>
      </c>
      <c r="K93" t="s">
        <v>423</v>
      </c>
      <c r="L93" t="s">
        <v>422</v>
      </c>
      <c r="M93" t="s">
        <v>1735</v>
      </c>
      <c r="N93" t="s">
        <v>434</v>
      </c>
      <c r="O93" t="s">
        <v>445</v>
      </c>
      <c r="Q93" t="s">
        <v>450</v>
      </c>
      <c r="S93" t="s">
        <v>451</v>
      </c>
      <c r="T93" t="s">
        <v>453</v>
      </c>
      <c r="W93">
        <v>0</v>
      </c>
      <c r="X93" t="s">
        <v>458</v>
      </c>
      <c r="AA93" t="s">
        <v>1938</v>
      </c>
      <c r="AC93" t="s">
        <v>2244</v>
      </c>
      <c r="AD93">
        <v>0</v>
      </c>
      <c r="AE93" t="s">
        <v>623</v>
      </c>
      <c r="AG93">
        <v>8</v>
      </c>
      <c r="AH93">
        <v>1</v>
      </c>
      <c r="AI93">
        <v>0</v>
      </c>
      <c r="AJ93">
        <v>0</v>
      </c>
      <c r="AM93" t="s">
        <v>629</v>
      </c>
      <c r="AN93">
        <v>0</v>
      </c>
      <c r="AO93" t="s">
        <v>2453</v>
      </c>
      <c r="AT93">
        <v>28</v>
      </c>
      <c r="AU93" t="s">
        <v>2497</v>
      </c>
      <c r="AV93" t="s">
        <v>688</v>
      </c>
    </row>
    <row r="94" spans="1:48">
      <c r="A94" s="1">
        <f>HYPERLINK("https://lsnyc.legalserver.org/matter/dynamic-profile/view/0779699","15-0779699")</f>
        <v>0</v>
      </c>
      <c r="B94" t="s">
        <v>688</v>
      </c>
      <c r="C94" t="s">
        <v>55</v>
      </c>
      <c r="D94" t="s">
        <v>749</v>
      </c>
      <c r="F94" t="s">
        <v>164</v>
      </c>
      <c r="G94" t="s">
        <v>1174</v>
      </c>
      <c r="H94" t="s">
        <v>1411</v>
      </c>
      <c r="I94">
        <v>23</v>
      </c>
      <c r="J94">
        <v>11225</v>
      </c>
      <c r="K94" t="s">
        <v>424</v>
      </c>
      <c r="L94" t="s">
        <v>422</v>
      </c>
      <c r="M94" t="s">
        <v>1736</v>
      </c>
      <c r="N94" t="s">
        <v>434</v>
      </c>
      <c r="O94" t="s">
        <v>446</v>
      </c>
      <c r="Q94" t="s">
        <v>450</v>
      </c>
      <c r="S94" t="s">
        <v>451</v>
      </c>
      <c r="T94" t="s">
        <v>453</v>
      </c>
      <c r="W94">
        <v>683.22</v>
      </c>
      <c r="X94" t="s">
        <v>458</v>
      </c>
      <c r="AA94" t="s">
        <v>1939</v>
      </c>
      <c r="AC94" t="s">
        <v>2245</v>
      </c>
      <c r="AD94">
        <v>0</v>
      </c>
      <c r="AE94" t="s">
        <v>2421</v>
      </c>
      <c r="AG94">
        <v>38</v>
      </c>
      <c r="AH94">
        <v>1</v>
      </c>
      <c r="AI94">
        <v>0</v>
      </c>
      <c r="AJ94">
        <v>88.36</v>
      </c>
      <c r="AM94" t="s">
        <v>631</v>
      </c>
      <c r="AN94">
        <v>10400</v>
      </c>
      <c r="AO94" t="s">
        <v>2454</v>
      </c>
      <c r="AT94">
        <v>46.9</v>
      </c>
      <c r="AU94" t="s">
        <v>820</v>
      </c>
      <c r="AV94" t="s">
        <v>2521</v>
      </c>
    </row>
    <row r="95" spans="1:48">
      <c r="A95" s="1">
        <f>HYPERLINK("https://lsnyc.legalserver.org/matter/dynamic-profile/view/0783028","15-0783028")</f>
        <v>0</v>
      </c>
      <c r="B95" t="s">
        <v>688</v>
      </c>
      <c r="C95" t="s">
        <v>55</v>
      </c>
      <c r="D95" t="s">
        <v>750</v>
      </c>
      <c r="F95" t="s">
        <v>926</v>
      </c>
      <c r="G95" t="s">
        <v>1175</v>
      </c>
      <c r="H95" t="s">
        <v>1412</v>
      </c>
      <c r="I95" t="s">
        <v>1632</v>
      </c>
      <c r="J95">
        <v>11215</v>
      </c>
      <c r="K95" t="s">
        <v>423</v>
      </c>
      <c r="L95" t="s">
        <v>422</v>
      </c>
      <c r="M95" t="s">
        <v>1737</v>
      </c>
      <c r="N95" t="s">
        <v>436</v>
      </c>
      <c r="O95" t="s">
        <v>445</v>
      </c>
      <c r="Q95" t="s">
        <v>450</v>
      </c>
      <c r="S95" t="s">
        <v>451</v>
      </c>
      <c r="T95" t="s">
        <v>453</v>
      </c>
      <c r="W95">
        <v>822</v>
      </c>
      <c r="X95" t="s">
        <v>458</v>
      </c>
      <c r="AA95" t="s">
        <v>1940</v>
      </c>
      <c r="AD95">
        <v>8</v>
      </c>
      <c r="AE95" t="s">
        <v>622</v>
      </c>
      <c r="AG95">
        <v>25</v>
      </c>
      <c r="AH95">
        <v>2</v>
      </c>
      <c r="AI95">
        <v>0</v>
      </c>
      <c r="AJ95">
        <v>128.06</v>
      </c>
      <c r="AM95" t="s">
        <v>631</v>
      </c>
      <c r="AN95">
        <v>20400</v>
      </c>
      <c r="AT95">
        <v>187.35</v>
      </c>
      <c r="AU95" t="s">
        <v>2492</v>
      </c>
      <c r="AV95" t="s">
        <v>688</v>
      </c>
    </row>
    <row r="96" spans="1:48">
      <c r="A96" s="1">
        <f>HYPERLINK("https://lsnyc.legalserver.org/matter/dynamic-profile/view/1895390","19-1895390")</f>
        <v>0</v>
      </c>
      <c r="B96" t="s">
        <v>689</v>
      </c>
      <c r="C96" t="s">
        <v>55</v>
      </c>
      <c r="D96" t="s">
        <v>739</v>
      </c>
      <c r="F96" t="s">
        <v>927</v>
      </c>
      <c r="G96" t="s">
        <v>1134</v>
      </c>
      <c r="H96" t="s">
        <v>1413</v>
      </c>
      <c r="I96" t="s">
        <v>1633</v>
      </c>
      <c r="J96">
        <v>11239</v>
      </c>
      <c r="K96" t="s">
        <v>424</v>
      </c>
      <c r="L96" t="s">
        <v>424</v>
      </c>
      <c r="M96" t="s">
        <v>1738</v>
      </c>
      <c r="N96" t="s">
        <v>434</v>
      </c>
      <c r="Q96" t="s">
        <v>450</v>
      </c>
      <c r="R96" t="s">
        <v>423</v>
      </c>
      <c r="T96" t="s">
        <v>453</v>
      </c>
      <c r="W96">
        <v>3260</v>
      </c>
      <c r="X96" t="s">
        <v>458</v>
      </c>
      <c r="Y96" t="s">
        <v>465</v>
      </c>
      <c r="AA96" t="s">
        <v>1941</v>
      </c>
      <c r="AC96" t="s">
        <v>2246</v>
      </c>
      <c r="AD96">
        <v>84</v>
      </c>
      <c r="AF96" t="s">
        <v>459</v>
      </c>
      <c r="AG96">
        <v>43</v>
      </c>
      <c r="AH96">
        <v>1</v>
      </c>
      <c r="AI96">
        <v>1</v>
      </c>
      <c r="AJ96">
        <v>0</v>
      </c>
      <c r="AM96" t="s">
        <v>629</v>
      </c>
      <c r="AN96">
        <v>0</v>
      </c>
      <c r="AT96">
        <v>14.4</v>
      </c>
      <c r="AU96" t="s">
        <v>122</v>
      </c>
      <c r="AV96" t="s">
        <v>666</v>
      </c>
    </row>
    <row r="97" spans="1:48">
      <c r="A97" s="1">
        <f>HYPERLINK("https://lsnyc.legalserver.org/matter/dynamic-profile/view/1879371","18-1879371")</f>
        <v>0</v>
      </c>
      <c r="B97" t="s">
        <v>689</v>
      </c>
      <c r="C97" t="s">
        <v>55</v>
      </c>
      <c r="D97" t="s">
        <v>751</v>
      </c>
      <c r="F97" t="s">
        <v>927</v>
      </c>
      <c r="G97" t="s">
        <v>1134</v>
      </c>
      <c r="H97" t="s">
        <v>1413</v>
      </c>
      <c r="I97" t="s">
        <v>1633</v>
      </c>
      <c r="J97">
        <v>11239</v>
      </c>
      <c r="K97" t="s">
        <v>423</v>
      </c>
      <c r="L97" t="s">
        <v>423</v>
      </c>
      <c r="M97" t="s">
        <v>1739</v>
      </c>
      <c r="O97" t="s">
        <v>445</v>
      </c>
      <c r="Q97" t="s">
        <v>450</v>
      </c>
      <c r="T97" t="s">
        <v>454</v>
      </c>
      <c r="W97">
        <v>3260</v>
      </c>
      <c r="X97" t="s">
        <v>458</v>
      </c>
      <c r="Y97" t="s">
        <v>465</v>
      </c>
      <c r="AA97" t="s">
        <v>1941</v>
      </c>
      <c r="AC97" t="s">
        <v>2246</v>
      </c>
      <c r="AD97">
        <v>84</v>
      </c>
      <c r="AF97" t="s">
        <v>459</v>
      </c>
      <c r="AG97">
        <v>43</v>
      </c>
      <c r="AH97">
        <v>1</v>
      </c>
      <c r="AI97">
        <v>1</v>
      </c>
      <c r="AJ97">
        <v>0</v>
      </c>
      <c r="AM97" t="s">
        <v>629</v>
      </c>
      <c r="AN97">
        <v>0</v>
      </c>
      <c r="AT97">
        <v>1.1</v>
      </c>
      <c r="AU97" t="s">
        <v>820</v>
      </c>
      <c r="AV97" t="s">
        <v>669</v>
      </c>
    </row>
    <row r="98" spans="1:48">
      <c r="A98" s="1">
        <f>HYPERLINK("https://lsnyc.legalserver.org/matter/dynamic-profile/view/1884269","18-1884269")</f>
        <v>0</v>
      </c>
      <c r="B98" t="s">
        <v>689</v>
      </c>
      <c r="C98" t="s">
        <v>55</v>
      </c>
      <c r="D98" t="s">
        <v>752</v>
      </c>
      <c r="F98" t="s">
        <v>202</v>
      </c>
      <c r="G98" t="s">
        <v>1176</v>
      </c>
      <c r="H98" t="s">
        <v>1414</v>
      </c>
      <c r="I98">
        <v>3</v>
      </c>
      <c r="J98">
        <v>11233</v>
      </c>
      <c r="K98" t="s">
        <v>423</v>
      </c>
      <c r="L98" t="s">
        <v>423</v>
      </c>
      <c r="N98" t="s">
        <v>436</v>
      </c>
      <c r="Q98" t="s">
        <v>450</v>
      </c>
      <c r="R98" t="s">
        <v>423</v>
      </c>
      <c r="T98" t="s">
        <v>453</v>
      </c>
      <c r="W98">
        <v>700</v>
      </c>
      <c r="X98" t="s">
        <v>458</v>
      </c>
      <c r="Y98" t="s">
        <v>462</v>
      </c>
      <c r="AA98" t="s">
        <v>1942</v>
      </c>
      <c r="AC98" t="s">
        <v>2247</v>
      </c>
      <c r="AD98">
        <v>3</v>
      </c>
      <c r="AE98" t="s">
        <v>623</v>
      </c>
      <c r="AF98" t="s">
        <v>625</v>
      </c>
      <c r="AG98">
        <v>8</v>
      </c>
      <c r="AH98">
        <v>1</v>
      </c>
      <c r="AI98">
        <v>0</v>
      </c>
      <c r="AJ98">
        <v>0</v>
      </c>
      <c r="AM98" t="s">
        <v>629</v>
      </c>
      <c r="AN98">
        <v>0</v>
      </c>
      <c r="AT98">
        <v>0</v>
      </c>
      <c r="AV98" t="s">
        <v>674</v>
      </c>
    </row>
    <row r="99" spans="1:48">
      <c r="A99" s="1">
        <f>HYPERLINK("https://lsnyc.legalserver.org/matter/dynamic-profile/view/1884067","18-1884067")</f>
        <v>0</v>
      </c>
      <c r="B99" t="s">
        <v>689</v>
      </c>
      <c r="C99" t="s">
        <v>55</v>
      </c>
      <c r="D99" t="s">
        <v>753</v>
      </c>
      <c r="F99" t="s">
        <v>870</v>
      </c>
      <c r="G99" t="s">
        <v>1177</v>
      </c>
      <c r="H99" t="s">
        <v>1415</v>
      </c>
      <c r="I99" t="s">
        <v>1634</v>
      </c>
      <c r="J99">
        <v>11226</v>
      </c>
      <c r="K99" t="s">
        <v>422</v>
      </c>
      <c r="L99" t="s">
        <v>422</v>
      </c>
      <c r="Q99" t="s">
        <v>450</v>
      </c>
      <c r="T99" t="s">
        <v>453</v>
      </c>
      <c r="W99">
        <v>1850</v>
      </c>
      <c r="X99" t="s">
        <v>458</v>
      </c>
      <c r="AA99" t="s">
        <v>1943</v>
      </c>
      <c r="AC99" t="s">
        <v>2248</v>
      </c>
      <c r="AD99">
        <v>27</v>
      </c>
      <c r="AG99">
        <v>3</v>
      </c>
      <c r="AH99">
        <v>1</v>
      </c>
      <c r="AI99">
        <v>0</v>
      </c>
      <c r="AJ99">
        <v>0</v>
      </c>
      <c r="AM99" t="s">
        <v>629</v>
      </c>
      <c r="AN99">
        <v>0</v>
      </c>
      <c r="AT99">
        <v>0.5</v>
      </c>
      <c r="AU99" t="s">
        <v>753</v>
      </c>
      <c r="AV99" t="s">
        <v>668</v>
      </c>
    </row>
    <row r="100" spans="1:48">
      <c r="A100" s="1">
        <f>HYPERLINK("https://lsnyc.legalserver.org/matter/dynamic-profile/view/1875138","18-1875138")</f>
        <v>0</v>
      </c>
      <c r="B100" t="s">
        <v>689</v>
      </c>
      <c r="C100" t="s">
        <v>55</v>
      </c>
      <c r="D100" t="s">
        <v>754</v>
      </c>
      <c r="F100" t="s">
        <v>928</v>
      </c>
      <c r="G100" t="s">
        <v>1178</v>
      </c>
      <c r="H100" t="s">
        <v>1416</v>
      </c>
      <c r="J100">
        <v>11221</v>
      </c>
      <c r="K100" t="s">
        <v>422</v>
      </c>
      <c r="L100" t="s">
        <v>422</v>
      </c>
      <c r="Q100" t="s">
        <v>450</v>
      </c>
      <c r="T100" t="s">
        <v>453</v>
      </c>
      <c r="W100">
        <v>0</v>
      </c>
      <c r="X100" t="s">
        <v>458</v>
      </c>
      <c r="AA100" t="s">
        <v>1944</v>
      </c>
      <c r="AC100" t="s">
        <v>2249</v>
      </c>
      <c r="AD100">
        <v>6</v>
      </c>
      <c r="AG100">
        <v>8</v>
      </c>
      <c r="AH100">
        <v>1</v>
      </c>
      <c r="AI100">
        <v>0</v>
      </c>
      <c r="AJ100">
        <v>0</v>
      </c>
      <c r="AM100" t="s">
        <v>629</v>
      </c>
      <c r="AN100">
        <v>0</v>
      </c>
      <c r="AT100">
        <v>1</v>
      </c>
      <c r="AU100" t="s">
        <v>754</v>
      </c>
      <c r="AV100" t="s">
        <v>2518</v>
      </c>
    </row>
    <row r="101" spans="1:48">
      <c r="A101" s="1">
        <f>HYPERLINK("https://lsnyc.legalserver.org/matter/dynamic-profile/view/1883756","18-1883756")</f>
        <v>0</v>
      </c>
      <c r="B101" t="s">
        <v>689</v>
      </c>
      <c r="C101" t="s">
        <v>55</v>
      </c>
      <c r="D101" t="s">
        <v>645</v>
      </c>
      <c r="F101" t="s">
        <v>929</v>
      </c>
      <c r="G101" t="s">
        <v>1179</v>
      </c>
      <c r="H101" t="s">
        <v>1417</v>
      </c>
      <c r="I101" t="s">
        <v>1635</v>
      </c>
      <c r="J101">
        <v>11219</v>
      </c>
      <c r="K101" t="s">
        <v>422</v>
      </c>
      <c r="L101" t="s">
        <v>422</v>
      </c>
      <c r="N101" t="s">
        <v>435</v>
      </c>
      <c r="O101" t="s">
        <v>441</v>
      </c>
      <c r="Q101" t="s">
        <v>450</v>
      </c>
      <c r="R101" t="s">
        <v>423</v>
      </c>
      <c r="T101" t="s">
        <v>453</v>
      </c>
      <c r="W101">
        <v>950</v>
      </c>
      <c r="X101" t="s">
        <v>458</v>
      </c>
      <c r="AA101" t="s">
        <v>1945</v>
      </c>
      <c r="AC101" t="s">
        <v>2250</v>
      </c>
      <c r="AD101">
        <v>34</v>
      </c>
      <c r="AE101" t="s">
        <v>622</v>
      </c>
      <c r="AF101" t="s">
        <v>625</v>
      </c>
      <c r="AG101">
        <v>12</v>
      </c>
      <c r="AH101">
        <v>1</v>
      </c>
      <c r="AI101">
        <v>0</v>
      </c>
      <c r="AJ101">
        <v>0</v>
      </c>
      <c r="AM101" t="s">
        <v>629</v>
      </c>
      <c r="AN101">
        <v>0</v>
      </c>
      <c r="AT101">
        <v>0.5</v>
      </c>
      <c r="AU101" t="s">
        <v>645</v>
      </c>
      <c r="AV101" t="s">
        <v>2514</v>
      </c>
    </row>
    <row r="102" spans="1:48">
      <c r="A102" s="1">
        <f>HYPERLINK("https://lsnyc.legalserver.org/matter/dynamic-profile/view/1872631","18-1872631")</f>
        <v>0</v>
      </c>
      <c r="B102" t="s">
        <v>689</v>
      </c>
      <c r="C102" t="s">
        <v>55</v>
      </c>
      <c r="D102" t="s">
        <v>755</v>
      </c>
      <c r="F102" t="s">
        <v>930</v>
      </c>
      <c r="G102" t="s">
        <v>1180</v>
      </c>
      <c r="H102" t="s">
        <v>1418</v>
      </c>
      <c r="I102" t="s">
        <v>1636</v>
      </c>
      <c r="J102">
        <v>11213</v>
      </c>
      <c r="K102" t="s">
        <v>422</v>
      </c>
      <c r="L102" t="s">
        <v>422</v>
      </c>
      <c r="Q102" t="s">
        <v>450</v>
      </c>
      <c r="T102" t="s">
        <v>453</v>
      </c>
      <c r="W102">
        <v>0</v>
      </c>
      <c r="X102" t="s">
        <v>458</v>
      </c>
      <c r="AA102" t="s">
        <v>1946</v>
      </c>
      <c r="AC102" t="s">
        <v>2251</v>
      </c>
      <c r="AD102">
        <v>0</v>
      </c>
      <c r="AG102">
        <v>0</v>
      </c>
      <c r="AH102">
        <v>2</v>
      </c>
      <c r="AI102">
        <v>0</v>
      </c>
      <c r="AJ102">
        <v>0</v>
      </c>
      <c r="AM102" t="s">
        <v>629</v>
      </c>
      <c r="AN102">
        <v>0</v>
      </c>
      <c r="AT102">
        <v>2.3</v>
      </c>
      <c r="AU102" t="s">
        <v>745</v>
      </c>
      <c r="AV102" t="s">
        <v>2516</v>
      </c>
    </row>
    <row r="103" spans="1:48">
      <c r="A103" s="1">
        <f>HYPERLINK("https://lsnyc.legalserver.org/matter/dynamic-profile/view/1872938","18-1872938")</f>
        <v>0</v>
      </c>
      <c r="B103" t="s">
        <v>689</v>
      </c>
      <c r="C103" t="s">
        <v>55</v>
      </c>
      <c r="D103" t="s">
        <v>756</v>
      </c>
      <c r="F103" t="s">
        <v>931</v>
      </c>
      <c r="G103" t="s">
        <v>1181</v>
      </c>
      <c r="H103" t="s">
        <v>1419</v>
      </c>
      <c r="I103" t="s">
        <v>401</v>
      </c>
      <c r="J103">
        <v>11207</v>
      </c>
      <c r="K103" t="s">
        <v>424</v>
      </c>
      <c r="L103" t="s">
        <v>424</v>
      </c>
      <c r="M103" t="s">
        <v>1740</v>
      </c>
      <c r="N103" t="s">
        <v>436</v>
      </c>
      <c r="O103" t="s">
        <v>445</v>
      </c>
      <c r="Q103" t="s">
        <v>450</v>
      </c>
      <c r="T103" t="s">
        <v>453</v>
      </c>
      <c r="W103">
        <v>1515</v>
      </c>
      <c r="X103" t="s">
        <v>458</v>
      </c>
      <c r="Y103" t="s">
        <v>1839</v>
      </c>
      <c r="AA103" t="s">
        <v>1947</v>
      </c>
      <c r="AC103" t="s">
        <v>2252</v>
      </c>
      <c r="AD103">
        <v>0</v>
      </c>
      <c r="AF103" t="s">
        <v>2428</v>
      </c>
      <c r="AG103">
        <v>-1</v>
      </c>
      <c r="AH103">
        <v>1</v>
      </c>
      <c r="AI103">
        <v>2</v>
      </c>
      <c r="AJ103">
        <v>0</v>
      </c>
      <c r="AM103" t="s">
        <v>629</v>
      </c>
      <c r="AN103">
        <v>0</v>
      </c>
      <c r="AT103">
        <v>8.1</v>
      </c>
      <c r="AU103" t="s">
        <v>2495</v>
      </c>
      <c r="AV103" t="s">
        <v>2522</v>
      </c>
    </row>
    <row r="104" spans="1:48">
      <c r="A104" s="1">
        <f>HYPERLINK("https://lsnyc.legalserver.org/matter/dynamic-profile/view/1876849","18-1876849")</f>
        <v>0</v>
      </c>
      <c r="B104" t="s">
        <v>689</v>
      </c>
      <c r="C104" t="s">
        <v>55</v>
      </c>
      <c r="D104" t="s">
        <v>757</v>
      </c>
      <c r="F104" t="s">
        <v>857</v>
      </c>
      <c r="G104" t="s">
        <v>1182</v>
      </c>
      <c r="H104" t="s">
        <v>1420</v>
      </c>
      <c r="I104">
        <v>1</v>
      </c>
      <c r="J104">
        <v>11208</v>
      </c>
      <c r="K104" t="s">
        <v>423</v>
      </c>
      <c r="L104" t="s">
        <v>423</v>
      </c>
      <c r="N104" t="s">
        <v>436</v>
      </c>
      <c r="Q104" t="s">
        <v>450</v>
      </c>
      <c r="T104" t="s">
        <v>453</v>
      </c>
      <c r="W104">
        <v>1515</v>
      </c>
      <c r="X104" t="s">
        <v>458</v>
      </c>
      <c r="AA104" t="s">
        <v>1948</v>
      </c>
      <c r="AC104" t="s">
        <v>2253</v>
      </c>
      <c r="AD104">
        <v>3</v>
      </c>
      <c r="AE104" t="s">
        <v>621</v>
      </c>
      <c r="AF104" t="s">
        <v>2427</v>
      </c>
      <c r="AG104">
        <v>0</v>
      </c>
      <c r="AH104">
        <v>2</v>
      </c>
      <c r="AI104">
        <v>2</v>
      </c>
      <c r="AJ104">
        <v>11.87</v>
      </c>
      <c r="AM104" t="s">
        <v>629</v>
      </c>
      <c r="AN104">
        <v>2979</v>
      </c>
      <c r="AT104">
        <v>1</v>
      </c>
      <c r="AU104" t="s">
        <v>757</v>
      </c>
      <c r="AV104" t="s">
        <v>2511</v>
      </c>
    </row>
    <row r="105" spans="1:48">
      <c r="A105" s="1">
        <f>HYPERLINK("https://lsnyc.legalserver.org/matter/dynamic-profile/view/1878803","18-1878803")</f>
        <v>0</v>
      </c>
      <c r="B105" t="s">
        <v>689</v>
      </c>
      <c r="C105" t="s">
        <v>55</v>
      </c>
      <c r="D105" t="s">
        <v>758</v>
      </c>
      <c r="F105" t="s">
        <v>932</v>
      </c>
      <c r="G105" t="s">
        <v>1183</v>
      </c>
      <c r="H105" t="s">
        <v>1421</v>
      </c>
      <c r="I105" t="s">
        <v>1637</v>
      </c>
      <c r="J105">
        <v>11212</v>
      </c>
      <c r="K105" t="s">
        <v>423</v>
      </c>
      <c r="L105" t="s">
        <v>423</v>
      </c>
      <c r="N105" t="s">
        <v>436</v>
      </c>
      <c r="Q105" t="s">
        <v>450</v>
      </c>
      <c r="R105" t="s">
        <v>423</v>
      </c>
      <c r="T105" t="s">
        <v>453</v>
      </c>
      <c r="W105">
        <v>625</v>
      </c>
      <c r="X105" t="s">
        <v>458</v>
      </c>
      <c r="AA105" t="s">
        <v>1949</v>
      </c>
      <c r="AB105" t="s">
        <v>2142</v>
      </c>
      <c r="AD105">
        <v>5</v>
      </c>
      <c r="AE105" t="s">
        <v>621</v>
      </c>
      <c r="AF105" t="s">
        <v>2428</v>
      </c>
      <c r="AG105">
        <v>0</v>
      </c>
      <c r="AH105">
        <v>1</v>
      </c>
      <c r="AI105">
        <v>1</v>
      </c>
      <c r="AJ105">
        <v>14.37</v>
      </c>
      <c r="AM105" t="s">
        <v>629</v>
      </c>
      <c r="AN105">
        <v>2366</v>
      </c>
      <c r="AT105">
        <v>0</v>
      </c>
      <c r="AV105" t="s">
        <v>666</v>
      </c>
    </row>
    <row r="106" spans="1:48">
      <c r="A106" s="1">
        <f>HYPERLINK("https://lsnyc.legalserver.org/matter/dynamic-profile/view/1889630","19-1889630")</f>
        <v>0</v>
      </c>
      <c r="B106" t="s">
        <v>689</v>
      </c>
      <c r="C106" t="s">
        <v>55</v>
      </c>
      <c r="D106" t="s">
        <v>759</v>
      </c>
      <c r="F106" t="s">
        <v>933</v>
      </c>
      <c r="G106" t="s">
        <v>1184</v>
      </c>
      <c r="H106" t="s">
        <v>1402</v>
      </c>
      <c r="I106">
        <v>4</v>
      </c>
      <c r="J106">
        <v>11233</v>
      </c>
      <c r="K106" t="s">
        <v>423</v>
      </c>
      <c r="L106" t="s">
        <v>423</v>
      </c>
      <c r="N106" t="s">
        <v>436</v>
      </c>
      <c r="O106" t="s">
        <v>444</v>
      </c>
      <c r="Q106" t="s">
        <v>450</v>
      </c>
      <c r="R106" t="s">
        <v>423</v>
      </c>
      <c r="T106" t="s">
        <v>453</v>
      </c>
      <c r="W106">
        <v>1477</v>
      </c>
      <c r="X106" t="s">
        <v>458</v>
      </c>
      <c r="Y106" t="s">
        <v>467</v>
      </c>
      <c r="AA106" t="s">
        <v>1950</v>
      </c>
      <c r="AB106" t="s">
        <v>2145</v>
      </c>
      <c r="AC106" t="s">
        <v>2254</v>
      </c>
      <c r="AD106">
        <v>8</v>
      </c>
      <c r="AE106" t="s">
        <v>622</v>
      </c>
      <c r="AF106" t="s">
        <v>626</v>
      </c>
      <c r="AG106">
        <v>2</v>
      </c>
      <c r="AH106">
        <v>3</v>
      </c>
      <c r="AI106">
        <v>1</v>
      </c>
      <c r="AJ106">
        <v>15.45</v>
      </c>
      <c r="AM106" t="s">
        <v>629</v>
      </c>
      <c r="AN106">
        <v>3978</v>
      </c>
      <c r="AT106">
        <v>0</v>
      </c>
      <c r="AV106" t="s">
        <v>2523</v>
      </c>
    </row>
    <row r="107" spans="1:48">
      <c r="A107" s="1">
        <f>HYPERLINK("https://lsnyc.legalserver.org/matter/dynamic-profile/view/1878797","18-1878797")</f>
        <v>0</v>
      </c>
      <c r="B107" t="s">
        <v>689</v>
      </c>
      <c r="C107" t="s">
        <v>55</v>
      </c>
      <c r="D107" t="s">
        <v>758</v>
      </c>
      <c r="F107" t="s">
        <v>934</v>
      </c>
      <c r="G107" t="s">
        <v>1185</v>
      </c>
      <c r="H107" t="s">
        <v>1422</v>
      </c>
      <c r="I107">
        <v>1</v>
      </c>
      <c r="J107">
        <v>11208</v>
      </c>
      <c r="K107" t="s">
        <v>424</v>
      </c>
      <c r="L107" t="s">
        <v>424</v>
      </c>
      <c r="N107" t="s">
        <v>436</v>
      </c>
      <c r="O107" t="s">
        <v>443</v>
      </c>
      <c r="Q107" t="s">
        <v>450</v>
      </c>
      <c r="T107" t="s">
        <v>453</v>
      </c>
      <c r="W107">
        <v>1956</v>
      </c>
      <c r="X107" t="s">
        <v>458</v>
      </c>
      <c r="Y107" t="s">
        <v>467</v>
      </c>
      <c r="AA107" t="s">
        <v>1933</v>
      </c>
      <c r="AC107" t="s">
        <v>2255</v>
      </c>
      <c r="AD107">
        <v>2</v>
      </c>
      <c r="AE107" t="s">
        <v>623</v>
      </c>
      <c r="AF107" t="s">
        <v>2427</v>
      </c>
      <c r="AG107">
        <v>3</v>
      </c>
      <c r="AH107">
        <v>1</v>
      </c>
      <c r="AI107">
        <v>5</v>
      </c>
      <c r="AJ107">
        <v>16.36</v>
      </c>
      <c r="AM107" t="s">
        <v>629</v>
      </c>
      <c r="AN107">
        <v>5520</v>
      </c>
      <c r="AT107">
        <v>1</v>
      </c>
      <c r="AU107" t="s">
        <v>784</v>
      </c>
      <c r="AV107" t="s">
        <v>669</v>
      </c>
    </row>
    <row r="108" spans="1:48">
      <c r="A108" s="1">
        <f>HYPERLINK("https://lsnyc.legalserver.org/matter/dynamic-profile/view/1890245","19-1890245")</f>
        <v>0</v>
      </c>
      <c r="B108" t="s">
        <v>689</v>
      </c>
      <c r="C108" t="s">
        <v>54</v>
      </c>
      <c r="D108" t="s">
        <v>760</v>
      </c>
      <c r="E108" t="s">
        <v>835</v>
      </c>
      <c r="F108" t="s">
        <v>935</v>
      </c>
      <c r="G108" t="s">
        <v>1186</v>
      </c>
      <c r="H108" t="s">
        <v>1423</v>
      </c>
      <c r="I108" t="s">
        <v>1619</v>
      </c>
      <c r="J108">
        <v>11233</v>
      </c>
      <c r="K108" t="s">
        <v>423</v>
      </c>
      <c r="L108" t="s">
        <v>423</v>
      </c>
      <c r="M108" t="s">
        <v>1741</v>
      </c>
      <c r="N108" t="s">
        <v>437</v>
      </c>
      <c r="O108" t="s">
        <v>443</v>
      </c>
      <c r="P108" t="s">
        <v>448</v>
      </c>
      <c r="Q108" t="s">
        <v>450</v>
      </c>
      <c r="R108" t="s">
        <v>423</v>
      </c>
      <c r="T108" t="s">
        <v>453</v>
      </c>
      <c r="W108">
        <v>902.95</v>
      </c>
      <c r="X108" t="s">
        <v>458</v>
      </c>
      <c r="Y108" t="s">
        <v>1835</v>
      </c>
      <c r="Z108" t="s">
        <v>474</v>
      </c>
      <c r="AA108" t="s">
        <v>1951</v>
      </c>
      <c r="AC108" t="s">
        <v>2256</v>
      </c>
      <c r="AD108">
        <v>0</v>
      </c>
      <c r="AE108" t="s">
        <v>622</v>
      </c>
      <c r="AF108" t="s">
        <v>625</v>
      </c>
      <c r="AG108">
        <v>0</v>
      </c>
      <c r="AH108">
        <v>1</v>
      </c>
      <c r="AI108">
        <v>2</v>
      </c>
      <c r="AJ108">
        <v>18.89</v>
      </c>
      <c r="AM108" t="s">
        <v>629</v>
      </c>
      <c r="AN108">
        <v>4030</v>
      </c>
      <c r="AT108">
        <v>0.1</v>
      </c>
      <c r="AU108" t="s">
        <v>835</v>
      </c>
      <c r="AV108" t="s">
        <v>674</v>
      </c>
    </row>
    <row r="109" spans="1:48">
      <c r="A109" s="1">
        <f>HYPERLINK("https://lsnyc.legalserver.org/matter/dynamic-profile/view/1870446","18-1870446")</f>
        <v>0</v>
      </c>
      <c r="B109" t="s">
        <v>689</v>
      </c>
      <c r="C109" t="s">
        <v>55</v>
      </c>
      <c r="D109" t="s">
        <v>655</v>
      </c>
      <c r="F109" t="s">
        <v>936</v>
      </c>
      <c r="G109" t="s">
        <v>1187</v>
      </c>
      <c r="H109" t="s">
        <v>1424</v>
      </c>
      <c r="I109" t="s">
        <v>1638</v>
      </c>
      <c r="J109">
        <v>11208</v>
      </c>
      <c r="K109" t="s">
        <v>423</v>
      </c>
      <c r="L109" t="s">
        <v>422</v>
      </c>
      <c r="Q109" t="s">
        <v>450</v>
      </c>
      <c r="R109" t="s">
        <v>424</v>
      </c>
      <c r="T109" t="s">
        <v>453</v>
      </c>
      <c r="W109">
        <v>1515</v>
      </c>
      <c r="X109" t="s">
        <v>458</v>
      </c>
      <c r="Y109" t="s">
        <v>459</v>
      </c>
      <c r="AA109" t="s">
        <v>1952</v>
      </c>
      <c r="AB109">
        <v>8973405</v>
      </c>
      <c r="AC109" t="s">
        <v>2257</v>
      </c>
      <c r="AD109">
        <v>3</v>
      </c>
      <c r="AE109" t="s">
        <v>621</v>
      </c>
      <c r="AF109" t="s">
        <v>2428</v>
      </c>
      <c r="AG109">
        <v>1</v>
      </c>
      <c r="AH109">
        <v>1</v>
      </c>
      <c r="AI109">
        <v>2</v>
      </c>
      <c r="AJ109">
        <v>22.46</v>
      </c>
      <c r="AM109" t="s">
        <v>629</v>
      </c>
      <c r="AN109">
        <v>4668</v>
      </c>
      <c r="AT109">
        <v>0.5</v>
      </c>
      <c r="AU109" t="s">
        <v>655</v>
      </c>
      <c r="AV109" t="s">
        <v>668</v>
      </c>
    </row>
    <row r="110" spans="1:48">
      <c r="A110" s="1">
        <f>HYPERLINK("https://lsnyc.legalserver.org/matter/dynamic-profile/view/1880786","18-1880786")</f>
        <v>0</v>
      </c>
      <c r="B110" t="s">
        <v>689</v>
      </c>
      <c r="C110" t="s">
        <v>55</v>
      </c>
      <c r="D110" t="s">
        <v>715</v>
      </c>
      <c r="F110" t="s">
        <v>937</v>
      </c>
      <c r="G110" t="s">
        <v>1188</v>
      </c>
      <c r="H110" t="s">
        <v>1425</v>
      </c>
      <c r="I110">
        <v>5</v>
      </c>
      <c r="J110">
        <v>11207</v>
      </c>
      <c r="K110" t="s">
        <v>422</v>
      </c>
      <c r="L110" t="s">
        <v>422</v>
      </c>
      <c r="N110" t="s">
        <v>436</v>
      </c>
      <c r="Q110" t="s">
        <v>450</v>
      </c>
      <c r="R110" t="s">
        <v>423</v>
      </c>
      <c r="T110" t="s">
        <v>453</v>
      </c>
      <c r="W110">
        <v>1000</v>
      </c>
      <c r="X110" t="s">
        <v>458</v>
      </c>
      <c r="Y110" t="s">
        <v>467</v>
      </c>
      <c r="AA110" t="s">
        <v>1953</v>
      </c>
      <c r="AB110" t="s">
        <v>2146</v>
      </c>
      <c r="AC110" t="s">
        <v>2258</v>
      </c>
      <c r="AD110">
        <v>6</v>
      </c>
      <c r="AE110" t="s">
        <v>622</v>
      </c>
      <c r="AF110" t="s">
        <v>2427</v>
      </c>
      <c r="AG110">
        <v>11</v>
      </c>
      <c r="AH110">
        <v>1</v>
      </c>
      <c r="AI110">
        <v>3</v>
      </c>
      <c r="AJ110">
        <v>28.72</v>
      </c>
      <c r="AM110" t="s">
        <v>631</v>
      </c>
      <c r="AN110">
        <v>7209</v>
      </c>
      <c r="AT110">
        <v>0</v>
      </c>
      <c r="AV110" t="s">
        <v>2523</v>
      </c>
    </row>
    <row r="111" spans="1:48">
      <c r="A111" s="1">
        <f>HYPERLINK("https://lsnyc.legalserver.org/matter/dynamic-profile/view/1902160","19-1902160")</f>
        <v>0</v>
      </c>
      <c r="B111" t="s">
        <v>689</v>
      </c>
      <c r="C111" t="s">
        <v>55</v>
      </c>
      <c r="D111" t="s">
        <v>718</v>
      </c>
      <c r="F111" t="s">
        <v>938</v>
      </c>
      <c r="G111" t="s">
        <v>1189</v>
      </c>
      <c r="H111" t="s">
        <v>1426</v>
      </c>
      <c r="I111" t="s">
        <v>1639</v>
      </c>
      <c r="J111">
        <v>11212</v>
      </c>
      <c r="K111" t="s">
        <v>422</v>
      </c>
      <c r="L111" t="s">
        <v>422</v>
      </c>
      <c r="M111" t="s">
        <v>1742</v>
      </c>
      <c r="N111" t="s">
        <v>434</v>
      </c>
      <c r="O111" t="s">
        <v>444</v>
      </c>
      <c r="Q111" t="s">
        <v>450</v>
      </c>
      <c r="R111" t="s">
        <v>423</v>
      </c>
      <c r="T111" t="s">
        <v>453</v>
      </c>
      <c r="W111">
        <v>0</v>
      </c>
      <c r="X111" t="s">
        <v>458</v>
      </c>
      <c r="Y111" t="s">
        <v>459</v>
      </c>
      <c r="AA111" t="s">
        <v>1954</v>
      </c>
      <c r="AC111" t="s">
        <v>2259</v>
      </c>
      <c r="AD111">
        <v>48</v>
      </c>
      <c r="AE111" t="s">
        <v>622</v>
      </c>
      <c r="AF111" t="s">
        <v>625</v>
      </c>
      <c r="AG111">
        <v>3</v>
      </c>
      <c r="AH111">
        <v>3</v>
      </c>
      <c r="AI111">
        <v>2</v>
      </c>
      <c r="AJ111">
        <v>31.82</v>
      </c>
      <c r="AM111" t="s">
        <v>629</v>
      </c>
      <c r="AN111">
        <v>9600</v>
      </c>
      <c r="AT111">
        <v>1.4</v>
      </c>
      <c r="AU111" t="s">
        <v>56</v>
      </c>
      <c r="AV111" t="s">
        <v>2515</v>
      </c>
    </row>
    <row r="112" spans="1:48">
      <c r="A112" s="1">
        <f>HYPERLINK("https://lsnyc.legalserver.org/matter/dynamic-profile/view/1875807","18-1875807")</f>
        <v>0</v>
      </c>
      <c r="B112" t="s">
        <v>689</v>
      </c>
      <c r="C112" t="s">
        <v>55</v>
      </c>
      <c r="D112" t="s">
        <v>761</v>
      </c>
      <c r="F112" t="s">
        <v>939</v>
      </c>
      <c r="G112" t="s">
        <v>1190</v>
      </c>
      <c r="H112" t="s">
        <v>1427</v>
      </c>
      <c r="J112">
        <v>11203</v>
      </c>
      <c r="K112" t="s">
        <v>422</v>
      </c>
      <c r="L112" t="s">
        <v>422</v>
      </c>
      <c r="N112" t="s">
        <v>435</v>
      </c>
      <c r="Q112" t="s">
        <v>450</v>
      </c>
      <c r="R112" t="s">
        <v>423</v>
      </c>
      <c r="T112" t="s">
        <v>453</v>
      </c>
      <c r="W112">
        <v>400</v>
      </c>
      <c r="X112" t="s">
        <v>458</v>
      </c>
      <c r="AA112" t="s">
        <v>1955</v>
      </c>
      <c r="AC112" t="s">
        <v>2260</v>
      </c>
      <c r="AD112">
        <v>2</v>
      </c>
      <c r="AE112" t="s">
        <v>623</v>
      </c>
      <c r="AF112" t="s">
        <v>625</v>
      </c>
      <c r="AG112">
        <v>20</v>
      </c>
      <c r="AH112">
        <v>1</v>
      </c>
      <c r="AI112">
        <v>2</v>
      </c>
      <c r="AJ112">
        <v>39.08</v>
      </c>
      <c r="AM112" t="s">
        <v>629</v>
      </c>
      <c r="AN112">
        <v>8120</v>
      </c>
      <c r="AT112">
        <v>1</v>
      </c>
      <c r="AU112" t="s">
        <v>761</v>
      </c>
      <c r="AV112" t="s">
        <v>2514</v>
      </c>
    </row>
    <row r="113" spans="1:48">
      <c r="A113" s="1">
        <f>HYPERLINK("https://lsnyc.legalserver.org/matter/dynamic-profile/view/1883232","18-1883232")</f>
        <v>0</v>
      </c>
      <c r="B113" t="s">
        <v>689</v>
      </c>
      <c r="C113" t="s">
        <v>55</v>
      </c>
      <c r="D113" t="s">
        <v>762</v>
      </c>
      <c r="F113" t="s">
        <v>940</v>
      </c>
      <c r="G113" t="s">
        <v>1191</v>
      </c>
      <c r="H113" t="s">
        <v>1428</v>
      </c>
      <c r="I113">
        <v>2</v>
      </c>
      <c r="J113">
        <v>11207</v>
      </c>
      <c r="K113" t="s">
        <v>422</v>
      </c>
      <c r="L113" t="s">
        <v>422</v>
      </c>
      <c r="Q113" t="s">
        <v>450</v>
      </c>
      <c r="T113" t="s">
        <v>453</v>
      </c>
      <c r="W113">
        <v>2020</v>
      </c>
      <c r="X113" t="s">
        <v>458</v>
      </c>
      <c r="AA113" t="s">
        <v>1956</v>
      </c>
      <c r="AC113" t="s">
        <v>2261</v>
      </c>
      <c r="AD113">
        <v>2</v>
      </c>
      <c r="AF113" t="s">
        <v>2427</v>
      </c>
      <c r="AG113">
        <v>1</v>
      </c>
      <c r="AH113">
        <v>2</v>
      </c>
      <c r="AI113">
        <v>4</v>
      </c>
      <c r="AJ113">
        <v>39.15</v>
      </c>
      <c r="AM113" t="s">
        <v>629</v>
      </c>
      <c r="AN113">
        <v>13208</v>
      </c>
      <c r="AT113">
        <v>1</v>
      </c>
      <c r="AU113" t="s">
        <v>762</v>
      </c>
      <c r="AV113" t="s">
        <v>2518</v>
      </c>
    </row>
    <row r="114" spans="1:48">
      <c r="A114" s="1">
        <f>HYPERLINK("https://lsnyc.legalserver.org/matter/dynamic-profile/view/1862825","18-1862825")</f>
        <v>0</v>
      </c>
      <c r="B114" t="s">
        <v>689</v>
      </c>
      <c r="C114" t="s">
        <v>55</v>
      </c>
      <c r="D114" t="s">
        <v>763</v>
      </c>
      <c r="F114" t="s">
        <v>941</v>
      </c>
      <c r="G114" t="s">
        <v>1192</v>
      </c>
      <c r="H114" t="s">
        <v>1429</v>
      </c>
      <c r="I114" t="s">
        <v>407</v>
      </c>
      <c r="J114">
        <v>11233</v>
      </c>
      <c r="K114" t="s">
        <v>423</v>
      </c>
      <c r="L114" t="s">
        <v>422</v>
      </c>
      <c r="M114" t="s">
        <v>1743</v>
      </c>
      <c r="N114" t="s">
        <v>436</v>
      </c>
      <c r="Q114" t="s">
        <v>450</v>
      </c>
      <c r="R114" t="s">
        <v>424</v>
      </c>
      <c r="T114" t="s">
        <v>453</v>
      </c>
      <c r="W114">
        <v>1075</v>
      </c>
      <c r="X114" t="s">
        <v>458</v>
      </c>
      <c r="Y114" t="s">
        <v>1835</v>
      </c>
      <c r="AA114" t="s">
        <v>1957</v>
      </c>
      <c r="AB114" t="s">
        <v>2147</v>
      </c>
      <c r="AC114" t="s">
        <v>2262</v>
      </c>
      <c r="AD114">
        <v>6</v>
      </c>
      <c r="AE114" t="s">
        <v>622</v>
      </c>
      <c r="AF114" t="s">
        <v>624</v>
      </c>
      <c r="AG114">
        <v>17</v>
      </c>
      <c r="AH114">
        <v>1</v>
      </c>
      <c r="AI114">
        <v>0</v>
      </c>
      <c r="AJ114">
        <v>39.62</v>
      </c>
      <c r="AM114" t="s">
        <v>629</v>
      </c>
      <c r="AN114">
        <v>4810</v>
      </c>
      <c r="AT114">
        <v>0</v>
      </c>
      <c r="AV114" t="s">
        <v>666</v>
      </c>
    </row>
    <row r="115" spans="1:48">
      <c r="A115" s="1">
        <f>HYPERLINK("https://lsnyc.legalserver.org/matter/dynamic-profile/view/1878241","18-1878241")</f>
        <v>0</v>
      </c>
      <c r="B115" t="s">
        <v>689</v>
      </c>
      <c r="C115" t="s">
        <v>55</v>
      </c>
      <c r="D115" t="s">
        <v>764</v>
      </c>
      <c r="F115" t="s">
        <v>942</v>
      </c>
      <c r="G115" t="s">
        <v>1193</v>
      </c>
      <c r="H115" t="s">
        <v>1430</v>
      </c>
      <c r="I115">
        <v>2</v>
      </c>
      <c r="J115">
        <v>11233</v>
      </c>
      <c r="K115" t="s">
        <v>423</v>
      </c>
      <c r="L115" t="s">
        <v>422</v>
      </c>
      <c r="M115" t="s">
        <v>435</v>
      </c>
      <c r="Q115" t="s">
        <v>450</v>
      </c>
      <c r="T115" t="s">
        <v>453</v>
      </c>
      <c r="W115">
        <v>1650</v>
      </c>
      <c r="X115" t="s">
        <v>458</v>
      </c>
      <c r="Y115" t="s">
        <v>467</v>
      </c>
      <c r="AA115" t="s">
        <v>1958</v>
      </c>
      <c r="AC115" t="s">
        <v>2263</v>
      </c>
      <c r="AD115">
        <v>4</v>
      </c>
      <c r="AE115" t="s">
        <v>623</v>
      </c>
      <c r="AF115" t="s">
        <v>625</v>
      </c>
      <c r="AG115">
        <v>2</v>
      </c>
      <c r="AH115">
        <v>1</v>
      </c>
      <c r="AI115">
        <v>2</v>
      </c>
      <c r="AJ115">
        <v>42.27</v>
      </c>
      <c r="AM115" t="s">
        <v>629</v>
      </c>
      <c r="AN115">
        <v>8784</v>
      </c>
      <c r="AT115">
        <v>0</v>
      </c>
      <c r="AV115" t="s">
        <v>666</v>
      </c>
    </row>
    <row r="116" spans="1:48">
      <c r="A116" s="1">
        <f>HYPERLINK("https://lsnyc.legalserver.org/matter/dynamic-profile/view/1902280","19-1902280")</f>
        <v>0</v>
      </c>
      <c r="B116" t="s">
        <v>689</v>
      </c>
      <c r="C116" t="s">
        <v>55</v>
      </c>
      <c r="D116" t="s">
        <v>765</v>
      </c>
      <c r="F116" t="s">
        <v>943</v>
      </c>
      <c r="G116" t="s">
        <v>1127</v>
      </c>
      <c r="H116" t="s">
        <v>1431</v>
      </c>
      <c r="J116">
        <v>11208</v>
      </c>
      <c r="K116" t="s">
        <v>422</v>
      </c>
      <c r="L116" t="s">
        <v>422</v>
      </c>
      <c r="Q116" t="s">
        <v>450</v>
      </c>
      <c r="T116" t="s">
        <v>453</v>
      </c>
      <c r="W116">
        <v>2000</v>
      </c>
      <c r="X116" t="s">
        <v>458</v>
      </c>
      <c r="AA116" t="s">
        <v>1959</v>
      </c>
      <c r="AC116" t="s">
        <v>2264</v>
      </c>
      <c r="AD116">
        <v>2</v>
      </c>
      <c r="AG116">
        <v>0</v>
      </c>
      <c r="AH116">
        <v>1</v>
      </c>
      <c r="AI116">
        <v>2</v>
      </c>
      <c r="AJ116">
        <v>50.16</v>
      </c>
      <c r="AM116" t="s">
        <v>631</v>
      </c>
      <c r="AN116">
        <v>10700</v>
      </c>
      <c r="AT116">
        <v>0.6</v>
      </c>
      <c r="AU116" t="s">
        <v>699</v>
      </c>
      <c r="AV116" t="s">
        <v>668</v>
      </c>
    </row>
    <row r="117" spans="1:48">
      <c r="A117" s="1">
        <f>HYPERLINK("https://lsnyc.legalserver.org/matter/dynamic-profile/view/1854759","17-1854759")</f>
        <v>0</v>
      </c>
      <c r="B117" t="s">
        <v>689</v>
      </c>
      <c r="C117" t="s">
        <v>55</v>
      </c>
      <c r="D117" t="s">
        <v>766</v>
      </c>
      <c r="F117" t="s">
        <v>944</v>
      </c>
      <c r="G117" t="s">
        <v>1194</v>
      </c>
      <c r="H117" t="s">
        <v>1432</v>
      </c>
      <c r="I117" t="s">
        <v>1626</v>
      </c>
      <c r="J117">
        <v>11206</v>
      </c>
      <c r="K117" t="s">
        <v>423</v>
      </c>
      <c r="L117" t="s">
        <v>423</v>
      </c>
      <c r="N117" t="s">
        <v>436</v>
      </c>
      <c r="O117" t="s">
        <v>441</v>
      </c>
      <c r="Q117" t="s">
        <v>450</v>
      </c>
      <c r="R117" t="s">
        <v>423</v>
      </c>
      <c r="T117" t="s">
        <v>453</v>
      </c>
      <c r="W117">
        <v>1415.48</v>
      </c>
      <c r="X117" t="s">
        <v>458</v>
      </c>
      <c r="Y117" t="s">
        <v>463</v>
      </c>
      <c r="AA117" t="s">
        <v>1960</v>
      </c>
      <c r="AB117" t="s">
        <v>2148</v>
      </c>
      <c r="AC117" t="s">
        <v>2265</v>
      </c>
      <c r="AD117">
        <v>14</v>
      </c>
      <c r="AE117" t="s">
        <v>2424</v>
      </c>
      <c r="AG117">
        <v>15</v>
      </c>
      <c r="AH117">
        <v>2</v>
      </c>
      <c r="AI117">
        <v>0</v>
      </c>
      <c r="AJ117">
        <v>54.16</v>
      </c>
      <c r="AM117" t="s">
        <v>629</v>
      </c>
      <c r="AN117">
        <v>24916</v>
      </c>
      <c r="AT117">
        <v>0.5</v>
      </c>
      <c r="AU117" t="s">
        <v>2498</v>
      </c>
      <c r="AV117" t="s">
        <v>667</v>
      </c>
    </row>
    <row r="118" spans="1:48">
      <c r="A118" s="1">
        <f>HYPERLINK("https://lsnyc.legalserver.org/matter/dynamic-profile/view/1869399","18-1869399")</f>
        <v>0</v>
      </c>
      <c r="B118" t="s">
        <v>689</v>
      </c>
      <c r="C118" t="s">
        <v>55</v>
      </c>
      <c r="D118" t="s">
        <v>75</v>
      </c>
      <c r="F118" t="s">
        <v>148</v>
      </c>
      <c r="G118" t="s">
        <v>248</v>
      </c>
      <c r="H118" t="s">
        <v>1433</v>
      </c>
      <c r="I118" t="s">
        <v>393</v>
      </c>
      <c r="J118">
        <v>11233</v>
      </c>
      <c r="K118" t="s">
        <v>422</v>
      </c>
      <c r="L118" t="s">
        <v>422</v>
      </c>
      <c r="Q118" t="s">
        <v>450</v>
      </c>
      <c r="T118" t="s">
        <v>453</v>
      </c>
      <c r="W118">
        <v>0</v>
      </c>
      <c r="X118" t="s">
        <v>458</v>
      </c>
      <c r="Y118" t="s">
        <v>459</v>
      </c>
      <c r="AA118" t="s">
        <v>1961</v>
      </c>
      <c r="AC118" t="s">
        <v>2266</v>
      </c>
      <c r="AD118">
        <v>0</v>
      </c>
      <c r="AG118">
        <v>0</v>
      </c>
      <c r="AH118">
        <v>2</v>
      </c>
      <c r="AI118">
        <v>0</v>
      </c>
      <c r="AJ118">
        <v>54.68</v>
      </c>
      <c r="AM118" t="s">
        <v>629</v>
      </c>
      <c r="AN118">
        <v>9000</v>
      </c>
      <c r="AT118">
        <v>1.8</v>
      </c>
      <c r="AU118" t="s">
        <v>821</v>
      </c>
      <c r="AV118" t="s">
        <v>2518</v>
      </c>
    </row>
    <row r="119" spans="1:48">
      <c r="A119" s="1">
        <f>HYPERLINK("https://lsnyc.legalserver.org/matter/dynamic-profile/view/1862717","18-1862717")</f>
        <v>0</v>
      </c>
      <c r="B119" t="s">
        <v>689</v>
      </c>
      <c r="C119" t="s">
        <v>55</v>
      </c>
      <c r="D119" t="s">
        <v>767</v>
      </c>
      <c r="F119" t="s">
        <v>945</v>
      </c>
      <c r="G119" t="s">
        <v>1195</v>
      </c>
      <c r="H119" t="s">
        <v>1434</v>
      </c>
      <c r="I119" t="s">
        <v>1640</v>
      </c>
      <c r="J119">
        <v>11209</v>
      </c>
      <c r="K119" t="s">
        <v>423</v>
      </c>
      <c r="L119" t="s">
        <v>422</v>
      </c>
      <c r="O119" t="s">
        <v>444</v>
      </c>
      <c r="Q119" t="s">
        <v>450</v>
      </c>
      <c r="T119" t="s">
        <v>453</v>
      </c>
      <c r="W119">
        <v>1150</v>
      </c>
      <c r="X119" t="s">
        <v>458</v>
      </c>
      <c r="Y119" t="s">
        <v>467</v>
      </c>
      <c r="AA119" t="s">
        <v>1962</v>
      </c>
      <c r="AC119" t="s">
        <v>2267</v>
      </c>
      <c r="AD119">
        <v>60</v>
      </c>
      <c r="AE119" t="s">
        <v>622</v>
      </c>
      <c r="AG119">
        <v>24</v>
      </c>
      <c r="AH119">
        <v>1</v>
      </c>
      <c r="AI119">
        <v>0</v>
      </c>
      <c r="AJ119">
        <v>55.55</v>
      </c>
      <c r="AM119" t="s">
        <v>629</v>
      </c>
      <c r="AN119">
        <v>6744</v>
      </c>
      <c r="AT119">
        <v>6.2</v>
      </c>
      <c r="AU119" t="s">
        <v>73</v>
      </c>
      <c r="AV119" t="s">
        <v>670</v>
      </c>
    </row>
    <row r="120" spans="1:48">
      <c r="A120" s="1">
        <f>HYPERLINK("https://lsnyc.legalserver.org/matter/dynamic-profile/view/1874864","18-1874864")</f>
        <v>0</v>
      </c>
      <c r="B120" t="s">
        <v>689</v>
      </c>
      <c r="C120" t="s">
        <v>54</v>
      </c>
      <c r="D120" t="s">
        <v>768</v>
      </c>
      <c r="E120" t="s">
        <v>732</v>
      </c>
      <c r="F120" t="s">
        <v>946</v>
      </c>
      <c r="G120" t="s">
        <v>1196</v>
      </c>
      <c r="H120" t="s">
        <v>1435</v>
      </c>
      <c r="I120" t="s">
        <v>1599</v>
      </c>
      <c r="J120">
        <v>11233</v>
      </c>
      <c r="K120" t="s">
        <v>423</v>
      </c>
      <c r="L120" t="s">
        <v>422</v>
      </c>
      <c r="M120" t="s">
        <v>1744</v>
      </c>
      <c r="N120" t="s">
        <v>434</v>
      </c>
      <c r="P120" t="s">
        <v>449</v>
      </c>
      <c r="Q120" t="s">
        <v>450</v>
      </c>
      <c r="T120" t="s">
        <v>453</v>
      </c>
      <c r="W120">
        <v>1301</v>
      </c>
      <c r="X120" t="s">
        <v>458</v>
      </c>
      <c r="Y120" t="s">
        <v>459</v>
      </c>
      <c r="Z120" t="s">
        <v>1847</v>
      </c>
      <c r="AA120" t="s">
        <v>1963</v>
      </c>
      <c r="AC120" t="s">
        <v>2268</v>
      </c>
      <c r="AD120">
        <v>6</v>
      </c>
      <c r="AE120" t="s">
        <v>622</v>
      </c>
      <c r="AF120" t="s">
        <v>624</v>
      </c>
      <c r="AG120">
        <v>8</v>
      </c>
      <c r="AH120">
        <v>1</v>
      </c>
      <c r="AI120">
        <v>0</v>
      </c>
      <c r="AJ120">
        <v>55.75</v>
      </c>
      <c r="AM120" t="s">
        <v>629</v>
      </c>
      <c r="AN120">
        <v>6768</v>
      </c>
      <c r="AT120">
        <v>4.5</v>
      </c>
      <c r="AU120" t="s">
        <v>2499</v>
      </c>
      <c r="AV120" t="s">
        <v>662</v>
      </c>
    </row>
    <row r="121" spans="1:48">
      <c r="A121" s="1">
        <f>HYPERLINK("https://lsnyc.legalserver.org/matter/dynamic-profile/view/1875525","18-1875525")</f>
        <v>0</v>
      </c>
      <c r="B121" t="s">
        <v>689</v>
      </c>
      <c r="C121" t="s">
        <v>54</v>
      </c>
      <c r="D121" t="s">
        <v>717</v>
      </c>
      <c r="E121" t="s">
        <v>77</v>
      </c>
      <c r="F121" t="s">
        <v>947</v>
      </c>
      <c r="G121" t="s">
        <v>1197</v>
      </c>
      <c r="H121" t="s">
        <v>1436</v>
      </c>
      <c r="I121" t="s">
        <v>401</v>
      </c>
      <c r="J121">
        <v>11212</v>
      </c>
      <c r="K121" t="s">
        <v>424</v>
      </c>
      <c r="L121" t="s">
        <v>422</v>
      </c>
      <c r="M121" t="s">
        <v>1745</v>
      </c>
      <c r="O121" t="s">
        <v>441</v>
      </c>
      <c r="P121" t="s">
        <v>447</v>
      </c>
      <c r="Q121" t="s">
        <v>450</v>
      </c>
      <c r="T121" t="s">
        <v>454</v>
      </c>
      <c r="W121">
        <v>1200</v>
      </c>
      <c r="X121" t="s">
        <v>458</v>
      </c>
      <c r="Z121" t="s">
        <v>472</v>
      </c>
      <c r="AA121" t="s">
        <v>1964</v>
      </c>
      <c r="AC121" t="s">
        <v>2269</v>
      </c>
      <c r="AD121">
        <v>0</v>
      </c>
      <c r="AG121">
        <v>0</v>
      </c>
      <c r="AH121">
        <v>1</v>
      </c>
      <c r="AI121">
        <v>0</v>
      </c>
      <c r="AJ121">
        <v>70.38</v>
      </c>
      <c r="AM121" t="s">
        <v>629</v>
      </c>
      <c r="AN121">
        <v>8544</v>
      </c>
      <c r="AO121" t="s">
        <v>2455</v>
      </c>
      <c r="AT121">
        <v>0.4</v>
      </c>
      <c r="AU121" t="s">
        <v>77</v>
      </c>
      <c r="AV121" t="s">
        <v>669</v>
      </c>
    </row>
    <row r="122" spans="1:48">
      <c r="A122" s="1">
        <f>HYPERLINK("https://lsnyc.legalserver.org/matter/dynamic-profile/view/1888260","19-1888260")</f>
        <v>0</v>
      </c>
      <c r="B122" t="s">
        <v>689</v>
      </c>
      <c r="C122" t="s">
        <v>55</v>
      </c>
      <c r="D122" t="s">
        <v>704</v>
      </c>
      <c r="F122" t="s">
        <v>948</v>
      </c>
      <c r="G122" t="s">
        <v>1198</v>
      </c>
      <c r="H122" t="s">
        <v>1437</v>
      </c>
      <c r="I122" t="s">
        <v>1605</v>
      </c>
      <c r="J122">
        <v>11208</v>
      </c>
      <c r="K122" t="s">
        <v>423</v>
      </c>
      <c r="L122" t="s">
        <v>423</v>
      </c>
      <c r="M122" t="s">
        <v>435</v>
      </c>
      <c r="N122" t="s">
        <v>436</v>
      </c>
      <c r="Q122" t="s">
        <v>450</v>
      </c>
      <c r="R122" t="s">
        <v>1829</v>
      </c>
      <c r="T122" t="s">
        <v>453</v>
      </c>
      <c r="U122" t="s">
        <v>457</v>
      </c>
      <c r="W122">
        <v>1956</v>
      </c>
      <c r="X122" t="s">
        <v>458</v>
      </c>
      <c r="Y122" t="s">
        <v>465</v>
      </c>
      <c r="Z122" t="s">
        <v>1845</v>
      </c>
      <c r="AA122" t="s">
        <v>1965</v>
      </c>
      <c r="AB122">
        <v>30970972</v>
      </c>
      <c r="AC122" t="s">
        <v>2270</v>
      </c>
      <c r="AD122">
        <v>6</v>
      </c>
      <c r="AE122" t="s">
        <v>622</v>
      </c>
      <c r="AF122" t="s">
        <v>2428</v>
      </c>
      <c r="AG122">
        <v>1</v>
      </c>
      <c r="AH122">
        <v>1</v>
      </c>
      <c r="AI122">
        <v>4</v>
      </c>
      <c r="AJ122">
        <v>74.04000000000001</v>
      </c>
      <c r="AM122" t="s">
        <v>629</v>
      </c>
      <c r="AN122">
        <v>21782</v>
      </c>
      <c r="AO122" t="s">
        <v>2456</v>
      </c>
      <c r="AT122">
        <v>5</v>
      </c>
      <c r="AU122" t="s">
        <v>652</v>
      </c>
      <c r="AV122" t="s">
        <v>666</v>
      </c>
    </row>
    <row r="123" spans="1:48">
      <c r="A123" s="1">
        <f>HYPERLINK("https://lsnyc.legalserver.org/matter/dynamic-profile/view/1878035","18-1878035")</f>
        <v>0</v>
      </c>
      <c r="B123" t="s">
        <v>689</v>
      </c>
      <c r="C123" t="s">
        <v>55</v>
      </c>
      <c r="D123" t="s">
        <v>77</v>
      </c>
      <c r="F123" t="s">
        <v>949</v>
      </c>
      <c r="G123" t="s">
        <v>1199</v>
      </c>
      <c r="H123" t="s">
        <v>1438</v>
      </c>
      <c r="I123">
        <v>21</v>
      </c>
      <c r="J123">
        <v>11206</v>
      </c>
      <c r="K123" t="s">
        <v>424</v>
      </c>
      <c r="L123" t="s">
        <v>424</v>
      </c>
      <c r="M123" t="s">
        <v>1746</v>
      </c>
      <c r="O123" t="s">
        <v>445</v>
      </c>
      <c r="Q123" t="s">
        <v>450</v>
      </c>
      <c r="T123" t="s">
        <v>454</v>
      </c>
      <c r="W123">
        <v>0</v>
      </c>
      <c r="X123" t="s">
        <v>458</v>
      </c>
      <c r="AA123" t="s">
        <v>1966</v>
      </c>
      <c r="AC123" t="s">
        <v>2271</v>
      </c>
      <c r="AD123">
        <v>0</v>
      </c>
      <c r="AF123" t="s">
        <v>626</v>
      </c>
      <c r="AG123">
        <v>15</v>
      </c>
      <c r="AH123">
        <v>1</v>
      </c>
      <c r="AI123">
        <v>0</v>
      </c>
      <c r="AJ123">
        <v>76.11</v>
      </c>
      <c r="AM123" t="s">
        <v>629</v>
      </c>
      <c r="AN123">
        <v>9240</v>
      </c>
      <c r="AT123">
        <v>0.2</v>
      </c>
      <c r="AU123" t="s">
        <v>77</v>
      </c>
      <c r="AV123" t="s">
        <v>669</v>
      </c>
    </row>
    <row r="124" spans="1:48">
      <c r="A124" s="1">
        <f>HYPERLINK("https://lsnyc.legalserver.org/matter/dynamic-profile/view/1881046","18-1881046")</f>
        <v>0</v>
      </c>
      <c r="B124" t="s">
        <v>689</v>
      </c>
      <c r="C124" t="s">
        <v>55</v>
      </c>
      <c r="D124" t="s">
        <v>144</v>
      </c>
      <c r="F124" t="s">
        <v>950</v>
      </c>
      <c r="G124" t="s">
        <v>1200</v>
      </c>
      <c r="H124" t="s">
        <v>1439</v>
      </c>
      <c r="I124" t="s">
        <v>393</v>
      </c>
      <c r="J124">
        <v>11233</v>
      </c>
      <c r="K124" t="s">
        <v>424</v>
      </c>
      <c r="L124" t="s">
        <v>422</v>
      </c>
      <c r="N124" t="s">
        <v>436</v>
      </c>
      <c r="O124" t="s">
        <v>441</v>
      </c>
      <c r="Q124" t="s">
        <v>450</v>
      </c>
      <c r="T124" t="s">
        <v>453</v>
      </c>
      <c r="W124">
        <v>259</v>
      </c>
      <c r="X124" t="s">
        <v>458</v>
      </c>
      <c r="Y124" t="s">
        <v>467</v>
      </c>
      <c r="AA124" t="s">
        <v>1967</v>
      </c>
      <c r="AD124">
        <v>6</v>
      </c>
      <c r="AE124" t="s">
        <v>622</v>
      </c>
      <c r="AF124" t="s">
        <v>625</v>
      </c>
      <c r="AG124">
        <v>9</v>
      </c>
      <c r="AH124">
        <v>1</v>
      </c>
      <c r="AI124">
        <v>0</v>
      </c>
      <c r="AJ124">
        <v>76.61</v>
      </c>
      <c r="AM124" t="s">
        <v>629</v>
      </c>
      <c r="AN124">
        <v>9300</v>
      </c>
      <c r="AT124">
        <v>0.9</v>
      </c>
      <c r="AU124" t="s">
        <v>105</v>
      </c>
      <c r="AV124" t="s">
        <v>669</v>
      </c>
    </row>
    <row r="125" spans="1:48">
      <c r="A125" s="1">
        <f>HYPERLINK("https://lsnyc.legalserver.org/matter/dynamic-profile/view/1884048","18-1884048")</f>
        <v>0</v>
      </c>
      <c r="B125" t="s">
        <v>689</v>
      </c>
      <c r="C125" t="s">
        <v>55</v>
      </c>
      <c r="D125" t="s">
        <v>753</v>
      </c>
      <c r="F125" t="s">
        <v>951</v>
      </c>
      <c r="G125" t="s">
        <v>1201</v>
      </c>
      <c r="H125" t="s">
        <v>1440</v>
      </c>
      <c r="I125" t="s">
        <v>393</v>
      </c>
      <c r="J125">
        <v>11209</v>
      </c>
      <c r="K125" t="s">
        <v>422</v>
      </c>
      <c r="L125" t="s">
        <v>422</v>
      </c>
      <c r="N125" t="s">
        <v>435</v>
      </c>
      <c r="Q125" t="s">
        <v>450</v>
      </c>
      <c r="T125" t="s">
        <v>453</v>
      </c>
      <c r="W125">
        <v>0</v>
      </c>
      <c r="X125" t="s">
        <v>458</v>
      </c>
      <c r="AA125" t="s">
        <v>1968</v>
      </c>
      <c r="AC125" t="s">
        <v>2272</v>
      </c>
      <c r="AD125">
        <v>0</v>
      </c>
      <c r="AE125" t="s">
        <v>621</v>
      </c>
      <c r="AF125" t="s">
        <v>625</v>
      </c>
      <c r="AG125">
        <v>25</v>
      </c>
      <c r="AH125">
        <v>1</v>
      </c>
      <c r="AI125">
        <v>0</v>
      </c>
      <c r="AJ125">
        <v>79.08</v>
      </c>
      <c r="AM125" t="s">
        <v>629</v>
      </c>
      <c r="AN125">
        <v>9600</v>
      </c>
      <c r="AT125">
        <v>1.2</v>
      </c>
      <c r="AU125" t="s">
        <v>779</v>
      </c>
      <c r="AV125" t="s">
        <v>2511</v>
      </c>
    </row>
    <row r="126" spans="1:48">
      <c r="A126" s="1">
        <f>HYPERLINK("https://lsnyc.legalserver.org/matter/dynamic-profile/view/1886914","19-1886914")</f>
        <v>0</v>
      </c>
      <c r="B126" t="s">
        <v>689</v>
      </c>
      <c r="C126" t="s">
        <v>54</v>
      </c>
      <c r="D126" t="s">
        <v>769</v>
      </c>
      <c r="E126" t="s">
        <v>711</v>
      </c>
      <c r="F126" t="s">
        <v>952</v>
      </c>
      <c r="G126" t="s">
        <v>1202</v>
      </c>
      <c r="H126" t="s">
        <v>1441</v>
      </c>
      <c r="I126">
        <v>2</v>
      </c>
      <c r="J126">
        <v>11233</v>
      </c>
      <c r="K126" t="s">
        <v>423</v>
      </c>
      <c r="L126" t="s">
        <v>423</v>
      </c>
      <c r="M126" t="s">
        <v>1747</v>
      </c>
      <c r="N126" t="s">
        <v>436</v>
      </c>
      <c r="P126" t="s">
        <v>447</v>
      </c>
      <c r="Q126" t="s">
        <v>450</v>
      </c>
      <c r="R126" t="s">
        <v>1829</v>
      </c>
      <c r="T126" t="s">
        <v>453</v>
      </c>
      <c r="U126" t="s">
        <v>457</v>
      </c>
      <c r="W126">
        <v>1200</v>
      </c>
      <c r="X126" t="s">
        <v>458</v>
      </c>
      <c r="Y126" t="s">
        <v>1840</v>
      </c>
      <c r="Z126" t="s">
        <v>470</v>
      </c>
      <c r="AA126" t="s">
        <v>1969</v>
      </c>
      <c r="AB126">
        <v>1825212</v>
      </c>
      <c r="AC126" t="s">
        <v>2273</v>
      </c>
      <c r="AD126">
        <v>16</v>
      </c>
      <c r="AE126" t="s">
        <v>622</v>
      </c>
      <c r="AF126" t="s">
        <v>625</v>
      </c>
      <c r="AG126">
        <v>4</v>
      </c>
      <c r="AH126">
        <v>2</v>
      </c>
      <c r="AI126">
        <v>2</v>
      </c>
      <c r="AJ126">
        <v>79.55</v>
      </c>
      <c r="AM126" t="s">
        <v>629</v>
      </c>
      <c r="AN126">
        <v>19968</v>
      </c>
      <c r="AT126">
        <v>2</v>
      </c>
      <c r="AU126" t="s">
        <v>711</v>
      </c>
      <c r="AV126" t="s">
        <v>666</v>
      </c>
    </row>
    <row r="127" spans="1:48">
      <c r="A127" s="1">
        <f>HYPERLINK("https://lsnyc.legalserver.org/matter/dynamic-profile/view/1869703","18-1869703")</f>
        <v>0</v>
      </c>
      <c r="B127" t="s">
        <v>689</v>
      </c>
      <c r="C127" t="s">
        <v>55</v>
      </c>
      <c r="D127" t="s">
        <v>770</v>
      </c>
      <c r="F127" t="s">
        <v>215</v>
      </c>
      <c r="G127" t="s">
        <v>1203</v>
      </c>
      <c r="H127" t="s">
        <v>1442</v>
      </c>
      <c r="I127" t="s">
        <v>1605</v>
      </c>
      <c r="J127">
        <v>11208</v>
      </c>
      <c r="K127" t="s">
        <v>423</v>
      </c>
      <c r="L127" t="s">
        <v>422</v>
      </c>
      <c r="M127" t="s">
        <v>435</v>
      </c>
      <c r="N127" t="s">
        <v>436</v>
      </c>
      <c r="Q127" t="s">
        <v>450</v>
      </c>
      <c r="R127" t="s">
        <v>1829</v>
      </c>
      <c r="T127" t="s">
        <v>453</v>
      </c>
      <c r="W127">
        <v>763</v>
      </c>
      <c r="X127" t="s">
        <v>458</v>
      </c>
      <c r="Y127" t="s">
        <v>467</v>
      </c>
      <c r="AA127" t="s">
        <v>1970</v>
      </c>
      <c r="AB127" t="s">
        <v>2149</v>
      </c>
      <c r="AC127" t="s">
        <v>2274</v>
      </c>
      <c r="AD127">
        <v>4</v>
      </c>
      <c r="AE127" t="s">
        <v>623</v>
      </c>
      <c r="AF127" t="s">
        <v>626</v>
      </c>
      <c r="AG127">
        <v>0</v>
      </c>
      <c r="AH127">
        <v>1</v>
      </c>
      <c r="AI127">
        <v>1</v>
      </c>
      <c r="AJ127">
        <v>81.02</v>
      </c>
      <c r="AM127" t="s">
        <v>629</v>
      </c>
      <c r="AN127">
        <v>13336</v>
      </c>
      <c r="AT127">
        <v>1.5</v>
      </c>
      <c r="AU127" t="s">
        <v>106</v>
      </c>
      <c r="AV127" t="s">
        <v>663</v>
      </c>
    </row>
    <row r="128" spans="1:48">
      <c r="A128" s="1">
        <f>HYPERLINK("https://lsnyc.legalserver.org/matter/dynamic-profile/view/1882018","18-1882018")</f>
        <v>0</v>
      </c>
      <c r="B128" t="s">
        <v>689</v>
      </c>
      <c r="C128" t="s">
        <v>55</v>
      </c>
      <c r="D128" t="s">
        <v>57</v>
      </c>
      <c r="F128" t="s">
        <v>953</v>
      </c>
      <c r="G128" t="s">
        <v>1204</v>
      </c>
      <c r="H128" t="s">
        <v>1443</v>
      </c>
      <c r="I128" t="s">
        <v>1641</v>
      </c>
      <c r="J128">
        <v>11208</v>
      </c>
      <c r="K128" t="s">
        <v>423</v>
      </c>
      <c r="L128" t="s">
        <v>423</v>
      </c>
      <c r="M128" t="s">
        <v>435</v>
      </c>
      <c r="N128" t="s">
        <v>436</v>
      </c>
      <c r="Q128" t="s">
        <v>450</v>
      </c>
      <c r="R128" t="s">
        <v>423</v>
      </c>
      <c r="T128" t="s">
        <v>453</v>
      </c>
      <c r="U128" t="s">
        <v>457</v>
      </c>
      <c r="W128">
        <v>895</v>
      </c>
      <c r="X128" t="s">
        <v>458</v>
      </c>
      <c r="Y128" t="s">
        <v>463</v>
      </c>
      <c r="AA128" t="s">
        <v>1971</v>
      </c>
      <c r="AB128" t="s">
        <v>2142</v>
      </c>
      <c r="AC128" t="s">
        <v>2275</v>
      </c>
      <c r="AD128">
        <v>1276</v>
      </c>
      <c r="AE128" t="s">
        <v>621</v>
      </c>
      <c r="AF128" t="s">
        <v>625</v>
      </c>
      <c r="AG128">
        <v>3</v>
      </c>
      <c r="AH128">
        <v>1</v>
      </c>
      <c r="AI128">
        <v>0</v>
      </c>
      <c r="AJ128">
        <v>81.05</v>
      </c>
      <c r="AM128" t="s">
        <v>629</v>
      </c>
      <c r="AN128">
        <v>9840</v>
      </c>
      <c r="AT128">
        <v>0</v>
      </c>
      <c r="AV128" t="s">
        <v>666</v>
      </c>
    </row>
    <row r="129" spans="1:49">
      <c r="A129" s="1">
        <f>HYPERLINK("https://lsnyc.legalserver.org/matter/dynamic-profile/view/1903580","19-1903580")</f>
        <v>0</v>
      </c>
      <c r="B129" t="s">
        <v>689</v>
      </c>
      <c r="C129" t="s">
        <v>55</v>
      </c>
      <c r="D129" t="s">
        <v>771</v>
      </c>
      <c r="F129" t="s">
        <v>954</v>
      </c>
      <c r="G129" t="s">
        <v>1205</v>
      </c>
      <c r="H129" t="s">
        <v>1444</v>
      </c>
      <c r="I129" t="s">
        <v>1642</v>
      </c>
      <c r="J129">
        <v>11233</v>
      </c>
      <c r="K129" t="s">
        <v>423</v>
      </c>
      <c r="L129" t="s">
        <v>422</v>
      </c>
      <c r="M129" t="s">
        <v>1701</v>
      </c>
      <c r="N129" t="s">
        <v>436</v>
      </c>
      <c r="Q129" t="s">
        <v>450</v>
      </c>
      <c r="R129" t="s">
        <v>423</v>
      </c>
      <c r="T129" t="s">
        <v>453</v>
      </c>
      <c r="U129" t="s">
        <v>457</v>
      </c>
      <c r="W129">
        <v>1100.06</v>
      </c>
      <c r="X129" t="s">
        <v>458</v>
      </c>
      <c r="Y129" t="s">
        <v>1838</v>
      </c>
      <c r="AA129" t="s">
        <v>1972</v>
      </c>
      <c r="AB129" t="s">
        <v>621</v>
      </c>
      <c r="AC129" t="s">
        <v>2276</v>
      </c>
      <c r="AD129">
        <v>43</v>
      </c>
      <c r="AE129" t="s">
        <v>622</v>
      </c>
      <c r="AF129" t="s">
        <v>625</v>
      </c>
      <c r="AG129">
        <v>45</v>
      </c>
      <c r="AH129">
        <v>1</v>
      </c>
      <c r="AI129">
        <v>0</v>
      </c>
      <c r="AJ129">
        <v>81.67</v>
      </c>
      <c r="AM129" t="s">
        <v>629</v>
      </c>
      <c r="AN129">
        <v>10200</v>
      </c>
      <c r="AT129">
        <v>0</v>
      </c>
      <c r="AV129" t="s">
        <v>666</v>
      </c>
      <c r="AW129" t="s">
        <v>625</v>
      </c>
    </row>
    <row r="130" spans="1:49">
      <c r="A130" s="1">
        <f>HYPERLINK("https://lsnyc.legalserver.org/matter/dynamic-profile/view/1870583","18-1870583")</f>
        <v>0</v>
      </c>
      <c r="B130" t="s">
        <v>689</v>
      </c>
      <c r="C130" t="s">
        <v>54</v>
      </c>
      <c r="D130" t="s">
        <v>772</v>
      </c>
      <c r="E130" t="s">
        <v>127</v>
      </c>
      <c r="F130" t="s">
        <v>955</v>
      </c>
      <c r="G130" t="s">
        <v>1206</v>
      </c>
      <c r="H130" t="s">
        <v>1445</v>
      </c>
      <c r="I130" t="s">
        <v>1643</v>
      </c>
      <c r="J130">
        <v>11208</v>
      </c>
      <c r="K130" t="s">
        <v>423</v>
      </c>
      <c r="L130" t="s">
        <v>423</v>
      </c>
      <c r="P130" t="s">
        <v>447</v>
      </c>
      <c r="Q130" t="s">
        <v>450</v>
      </c>
      <c r="T130" t="s">
        <v>453</v>
      </c>
      <c r="W130">
        <v>1165</v>
      </c>
      <c r="X130" t="s">
        <v>458</v>
      </c>
      <c r="Y130" t="s">
        <v>1838</v>
      </c>
      <c r="Z130" t="s">
        <v>470</v>
      </c>
      <c r="AA130" t="s">
        <v>1973</v>
      </c>
      <c r="AC130" t="s">
        <v>2277</v>
      </c>
      <c r="AD130">
        <v>45</v>
      </c>
      <c r="AG130">
        <v>12</v>
      </c>
      <c r="AH130">
        <v>1</v>
      </c>
      <c r="AI130">
        <v>0</v>
      </c>
      <c r="AJ130">
        <v>82.73</v>
      </c>
      <c r="AM130" t="s">
        <v>629</v>
      </c>
      <c r="AN130">
        <v>10044</v>
      </c>
      <c r="AT130">
        <v>2.44</v>
      </c>
      <c r="AU130" t="s">
        <v>99</v>
      </c>
      <c r="AV130" t="s">
        <v>668</v>
      </c>
    </row>
    <row r="131" spans="1:49">
      <c r="A131" s="1">
        <f>HYPERLINK("https://lsnyc.legalserver.org/matter/dynamic-profile/view/1869960","18-1869960")</f>
        <v>0</v>
      </c>
      <c r="B131" t="s">
        <v>689</v>
      </c>
      <c r="C131" t="s">
        <v>55</v>
      </c>
      <c r="D131" t="s">
        <v>773</v>
      </c>
      <c r="F131" t="s">
        <v>956</v>
      </c>
      <c r="G131" t="s">
        <v>1135</v>
      </c>
      <c r="H131" t="s">
        <v>1446</v>
      </c>
      <c r="I131">
        <v>1</v>
      </c>
      <c r="J131">
        <v>11208</v>
      </c>
      <c r="K131" t="s">
        <v>423</v>
      </c>
      <c r="L131" t="s">
        <v>422</v>
      </c>
      <c r="N131" t="s">
        <v>435</v>
      </c>
      <c r="Q131" t="s">
        <v>450</v>
      </c>
      <c r="T131" t="s">
        <v>453</v>
      </c>
      <c r="W131">
        <v>1500</v>
      </c>
      <c r="X131" t="s">
        <v>458</v>
      </c>
      <c r="AA131" t="s">
        <v>1974</v>
      </c>
      <c r="AC131" t="s">
        <v>2278</v>
      </c>
      <c r="AD131">
        <v>5</v>
      </c>
      <c r="AE131" t="s">
        <v>623</v>
      </c>
      <c r="AF131" t="s">
        <v>625</v>
      </c>
      <c r="AG131">
        <v>10</v>
      </c>
      <c r="AH131">
        <v>1</v>
      </c>
      <c r="AI131">
        <v>0</v>
      </c>
      <c r="AJ131">
        <v>85.67</v>
      </c>
      <c r="AM131" t="s">
        <v>629</v>
      </c>
      <c r="AN131">
        <v>10400</v>
      </c>
      <c r="AT131">
        <v>1.8</v>
      </c>
      <c r="AU131" t="s">
        <v>65</v>
      </c>
      <c r="AV131" t="s">
        <v>2511</v>
      </c>
    </row>
    <row r="132" spans="1:49">
      <c r="A132" s="1">
        <f>HYPERLINK("https://lsnyc.legalserver.org/matter/dynamic-profile/view/1897303","19-1897303")</f>
        <v>0</v>
      </c>
      <c r="B132" t="s">
        <v>689</v>
      </c>
      <c r="C132" t="s">
        <v>55</v>
      </c>
      <c r="D132" t="s">
        <v>774</v>
      </c>
      <c r="F132" t="s">
        <v>957</v>
      </c>
      <c r="G132" t="s">
        <v>1116</v>
      </c>
      <c r="H132" t="s">
        <v>1447</v>
      </c>
      <c r="I132" t="s">
        <v>1585</v>
      </c>
      <c r="J132">
        <v>11207</v>
      </c>
      <c r="K132" t="s">
        <v>422</v>
      </c>
      <c r="L132" t="s">
        <v>422</v>
      </c>
      <c r="M132" t="s">
        <v>1748</v>
      </c>
      <c r="N132" t="s">
        <v>434</v>
      </c>
      <c r="Q132" t="s">
        <v>450</v>
      </c>
      <c r="R132" t="s">
        <v>423</v>
      </c>
      <c r="T132" t="s">
        <v>453</v>
      </c>
      <c r="W132">
        <v>1445</v>
      </c>
      <c r="X132" t="s">
        <v>458</v>
      </c>
      <c r="Y132" t="s">
        <v>467</v>
      </c>
      <c r="Z132" t="s">
        <v>470</v>
      </c>
      <c r="AA132" t="s">
        <v>1975</v>
      </c>
      <c r="AC132" t="s">
        <v>2279</v>
      </c>
      <c r="AD132">
        <v>12</v>
      </c>
      <c r="AE132" t="s">
        <v>622</v>
      </c>
      <c r="AF132" t="s">
        <v>625</v>
      </c>
      <c r="AG132">
        <v>12</v>
      </c>
      <c r="AH132">
        <v>1</v>
      </c>
      <c r="AI132">
        <v>4</v>
      </c>
      <c r="AJ132">
        <v>86.18000000000001</v>
      </c>
      <c r="AM132" t="s">
        <v>629</v>
      </c>
      <c r="AN132">
        <v>26000</v>
      </c>
      <c r="AT132">
        <v>1.7</v>
      </c>
      <c r="AU132" t="s">
        <v>122</v>
      </c>
      <c r="AV132" t="s">
        <v>662</v>
      </c>
    </row>
    <row r="133" spans="1:49">
      <c r="A133" s="1">
        <f>HYPERLINK("https://lsnyc.legalserver.org/matter/dynamic-profile/view/1903654","19-1903654")</f>
        <v>0</v>
      </c>
      <c r="B133" t="s">
        <v>689</v>
      </c>
      <c r="C133" t="s">
        <v>55</v>
      </c>
      <c r="D133" t="s">
        <v>653</v>
      </c>
      <c r="F133" t="s">
        <v>958</v>
      </c>
      <c r="G133" t="s">
        <v>1207</v>
      </c>
      <c r="H133" t="s">
        <v>1448</v>
      </c>
      <c r="I133" t="s">
        <v>371</v>
      </c>
      <c r="J133">
        <v>11225</v>
      </c>
      <c r="K133" t="s">
        <v>423</v>
      </c>
      <c r="L133" t="s">
        <v>422</v>
      </c>
      <c r="M133" t="s">
        <v>1749</v>
      </c>
      <c r="N133" t="s">
        <v>437</v>
      </c>
      <c r="O133" t="s">
        <v>445</v>
      </c>
      <c r="Q133" t="s">
        <v>450</v>
      </c>
      <c r="R133" t="s">
        <v>423</v>
      </c>
      <c r="T133" t="s">
        <v>453</v>
      </c>
      <c r="U133" t="s">
        <v>1834</v>
      </c>
      <c r="W133">
        <v>678</v>
      </c>
      <c r="X133" t="s">
        <v>458</v>
      </c>
      <c r="Y133" t="s">
        <v>467</v>
      </c>
      <c r="AA133" t="s">
        <v>1976</v>
      </c>
      <c r="AB133" t="s">
        <v>625</v>
      </c>
      <c r="AC133" t="s">
        <v>2280</v>
      </c>
      <c r="AD133">
        <v>26</v>
      </c>
      <c r="AF133" t="s">
        <v>2430</v>
      </c>
      <c r="AG133">
        <v>19</v>
      </c>
      <c r="AH133">
        <v>2</v>
      </c>
      <c r="AI133">
        <v>3</v>
      </c>
      <c r="AJ133">
        <v>95.66</v>
      </c>
      <c r="AL133" t="s">
        <v>2434</v>
      </c>
      <c r="AM133" t="s">
        <v>629</v>
      </c>
      <c r="AN133">
        <v>28860</v>
      </c>
      <c r="AT133">
        <v>0.2</v>
      </c>
      <c r="AU133" t="s">
        <v>2500</v>
      </c>
      <c r="AV133" t="s">
        <v>666</v>
      </c>
      <c r="AW133" t="s">
        <v>625</v>
      </c>
    </row>
    <row r="134" spans="1:49">
      <c r="A134" s="1">
        <f>HYPERLINK("https://lsnyc.legalserver.org/matter/dynamic-profile/view/1863476","18-1863476")</f>
        <v>0</v>
      </c>
      <c r="B134" t="s">
        <v>689</v>
      </c>
      <c r="C134" t="s">
        <v>55</v>
      </c>
      <c r="D134" t="s">
        <v>775</v>
      </c>
      <c r="F134" t="s">
        <v>959</v>
      </c>
      <c r="G134" t="s">
        <v>1007</v>
      </c>
      <c r="H134" t="s">
        <v>1449</v>
      </c>
      <c r="I134" t="s">
        <v>385</v>
      </c>
      <c r="J134">
        <v>11213</v>
      </c>
      <c r="K134" t="s">
        <v>423</v>
      </c>
      <c r="L134" t="s">
        <v>422</v>
      </c>
      <c r="Q134" t="s">
        <v>450</v>
      </c>
      <c r="S134" t="s">
        <v>452</v>
      </c>
      <c r="T134" t="s">
        <v>453</v>
      </c>
      <c r="W134">
        <v>900</v>
      </c>
      <c r="X134" t="s">
        <v>458</v>
      </c>
      <c r="Y134" t="s">
        <v>1837</v>
      </c>
      <c r="AA134" t="s">
        <v>1977</v>
      </c>
      <c r="AD134">
        <v>23</v>
      </c>
      <c r="AG134">
        <v>10</v>
      </c>
      <c r="AH134">
        <v>1</v>
      </c>
      <c r="AI134">
        <v>0</v>
      </c>
      <c r="AJ134">
        <v>98.84999999999999</v>
      </c>
      <c r="AM134" t="s">
        <v>629</v>
      </c>
      <c r="AN134">
        <v>12000</v>
      </c>
      <c r="AT134">
        <v>1.6</v>
      </c>
      <c r="AU134" t="s">
        <v>2501</v>
      </c>
      <c r="AV134" t="s">
        <v>2518</v>
      </c>
    </row>
    <row r="135" spans="1:49">
      <c r="A135" s="1">
        <f>HYPERLINK("https://lsnyc.legalserver.org/matter/dynamic-profile/view/1889647","19-1889647")</f>
        <v>0</v>
      </c>
      <c r="B135" t="s">
        <v>689</v>
      </c>
      <c r="C135" t="s">
        <v>55</v>
      </c>
      <c r="D135" t="s">
        <v>759</v>
      </c>
      <c r="F135" t="s">
        <v>960</v>
      </c>
      <c r="G135" t="s">
        <v>1208</v>
      </c>
      <c r="H135" t="s">
        <v>1450</v>
      </c>
      <c r="I135" t="s">
        <v>1644</v>
      </c>
      <c r="J135">
        <v>11212</v>
      </c>
      <c r="K135" t="s">
        <v>424</v>
      </c>
      <c r="L135" t="s">
        <v>424</v>
      </c>
      <c r="M135" t="s">
        <v>1750</v>
      </c>
      <c r="N135" t="s">
        <v>436</v>
      </c>
      <c r="O135" t="s">
        <v>444</v>
      </c>
      <c r="Q135" t="s">
        <v>450</v>
      </c>
      <c r="T135" t="s">
        <v>453</v>
      </c>
      <c r="W135">
        <v>1100</v>
      </c>
      <c r="X135" t="s">
        <v>458</v>
      </c>
      <c r="Y135" t="s">
        <v>465</v>
      </c>
      <c r="AA135" t="s">
        <v>1978</v>
      </c>
      <c r="AC135" t="s">
        <v>2281</v>
      </c>
      <c r="AD135">
        <v>170</v>
      </c>
      <c r="AF135" t="s">
        <v>627</v>
      </c>
      <c r="AG135">
        <v>0</v>
      </c>
      <c r="AH135">
        <v>1</v>
      </c>
      <c r="AI135">
        <v>0</v>
      </c>
      <c r="AJ135">
        <v>105.68</v>
      </c>
      <c r="AM135" t="s">
        <v>629</v>
      </c>
      <c r="AN135">
        <v>13200</v>
      </c>
      <c r="AT135">
        <v>1.8</v>
      </c>
      <c r="AU135" t="s">
        <v>2502</v>
      </c>
      <c r="AV135" t="s">
        <v>669</v>
      </c>
    </row>
    <row r="136" spans="1:49">
      <c r="A136" s="1">
        <f>HYPERLINK("https://lsnyc.legalserver.org/matter/dynamic-profile/view/1873916","18-1873916")</f>
        <v>0</v>
      </c>
      <c r="B136" t="s">
        <v>689</v>
      </c>
      <c r="C136" t="s">
        <v>55</v>
      </c>
      <c r="D136" t="s">
        <v>95</v>
      </c>
      <c r="F136" t="s">
        <v>961</v>
      </c>
      <c r="G136" t="s">
        <v>1209</v>
      </c>
      <c r="H136" t="s">
        <v>1451</v>
      </c>
      <c r="I136" t="s">
        <v>1590</v>
      </c>
      <c r="J136">
        <v>11236</v>
      </c>
      <c r="K136" t="s">
        <v>422</v>
      </c>
      <c r="L136" t="s">
        <v>422</v>
      </c>
      <c r="N136" t="s">
        <v>436</v>
      </c>
      <c r="Q136" t="s">
        <v>450</v>
      </c>
      <c r="T136" t="s">
        <v>453</v>
      </c>
      <c r="W136">
        <v>1650</v>
      </c>
      <c r="X136" t="s">
        <v>458</v>
      </c>
      <c r="Y136" t="s">
        <v>459</v>
      </c>
      <c r="AA136" t="s">
        <v>1979</v>
      </c>
      <c r="AD136">
        <v>6</v>
      </c>
      <c r="AE136" t="s">
        <v>621</v>
      </c>
      <c r="AF136" t="s">
        <v>625</v>
      </c>
      <c r="AG136">
        <v>1</v>
      </c>
      <c r="AH136">
        <v>2</v>
      </c>
      <c r="AI136">
        <v>0</v>
      </c>
      <c r="AJ136">
        <v>110.57</v>
      </c>
      <c r="AM136" t="s">
        <v>629</v>
      </c>
      <c r="AN136">
        <v>18200</v>
      </c>
      <c r="AT136">
        <v>0.5</v>
      </c>
      <c r="AU136" t="s">
        <v>95</v>
      </c>
      <c r="AV136" t="s">
        <v>662</v>
      </c>
    </row>
    <row r="137" spans="1:49">
      <c r="A137" s="1">
        <f>HYPERLINK("https://lsnyc.legalserver.org/matter/dynamic-profile/view/1881539","18-1881539")</f>
        <v>0</v>
      </c>
      <c r="B137" t="s">
        <v>689</v>
      </c>
      <c r="C137" t="s">
        <v>55</v>
      </c>
      <c r="D137" t="s">
        <v>776</v>
      </c>
      <c r="F137" t="s">
        <v>962</v>
      </c>
      <c r="G137" t="s">
        <v>1210</v>
      </c>
      <c r="H137" t="s">
        <v>1452</v>
      </c>
      <c r="I137" t="s">
        <v>1590</v>
      </c>
      <c r="J137">
        <v>11233</v>
      </c>
      <c r="K137" t="s">
        <v>424</v>
      </c>
      <c r="L137" t="s">
        <v>424</v>
      </c>
      <c r="N137" t="s">
        <v>436</v>
      </c>
      <c r="O137" t="s">
        <v>441</v>
      </c>
      <c r="Q137" t="s">
        <v>450</v>
      </c>
      <c r="T137" t="s">
        <v>453</v>
      </c>
      <c r="W137">
        <v>1254</v>
      </c>
      <c r="X137" t="s">
        <v>458</v>
      </c>
      <c r="AA137" t="s">
        <v>1980</v>
      </c>
      <c r="AC137" t="s">
        <v>2282</v>
      </c>
      <c r="AD137">
        <v>8</v>
      </c>
      <c r="AF137" t="s">
        <v>624</v>
      </c>
      <c r="AG137">
        <v>7</v>
      </c>
      <c r="AH137">
        <v>1</v>
      </c>
      <c r="AI137">
        <v>1</v>
      </c>
      <c r="AJ137">
        <v>112.71</v>
      </c>
      <c r="AM137" t="s">
        <v>629</v>
      </c>
      <c r="AN137">
        <v>18552</v>
      </c>
      <c r="AT137">
        <v>2.5</v>
      </c>
      <c r="AU137" t="s">
        <v>2503</v>
      </c>
      <c r="AV137" t="s">
        <v>2522</v>
      </c>
    </row>
    <row r="138" spans="1:49">
      <c r="A138" s="1">
        <f>HYPERLINK("https://lsnyc.legalserver.org/matter/dynamic-profile/view/1902700","19-1902700")</f>
        <v>0</v>
      </c>
      <c r="B138" t="s">
        <v>689</v>
      </c>
      <c r="C138" t="s">
        <v>55</v>
      </c>
      <c r="D138" t="s">
        <v>699</v>
      </c>
      <c r="F138" t="s">
        <v>963</v>
      </c>
      <c r="G138" t="s">
        <v>1211</v>
      </c>
      <c r="H138" t="s">
        <v>1453</v>
      </c>
      <c r="I138">
        <v>1</v>
      </c>
      <c r="J138">
        <v>11208</v>
      </c>
      <c r="K138" t="s">
        <v>423</v>
      </c>
      <c r="L138" t="s">
        <v>422</v>
      </c>
      <c r="M138" t="s">
        <v>1751</v>
      </c>
      <c r="N138" t="s">
        <v>437</v>
      </c>
      <c r="Q138" t="s">
        <v>450</v>
      </c>
      <c r="R138" t="s">
        <v>423</v>
      </c>
      <c r="T138" t="s">
        <v>453</v>
      </c>
      <c r="U138" t="s">
        <v>456</v>
      </c>
      <c r="W138">
        <v>1500</v>
      </c>
      <c r="X138" t="s">
        <v>458</v>
      </c>
      <c r="Y138" t="s">
        <v>463</v>
      </c>
      <c r="AA138" t="s">
        <v>1981</v>
      </c>
      <c r="AB138" t="s">
        <v>2150</v>
      </c>
      <c r="AC138" t="s">
        <v>2283</v>
      </c>
      <c r="AD138">
        <v>2</v>
      </c>
      <c r="AE138" t="s">
        <v>623</v>
      </c>
      <c r="AF138" t="s">
        <v>625</v>
      </c>
      <c r="AG138">
        <v>1</v>
      </c>
      <c r="AH138">
        <v>2</v>
      </c>
      <c r="AI138">
        <v>2</v>
      </c>
      <c r="AJ138">
        <v>117.53</v>
      </c>
      <c r="AM138" t="s">
        <v>629</v>
      </c>
      <c r="AN138">
        <v>30264</v>
      </c>
      <c r="AT138">
        <v>1.4</v>
      </c>
      <c r="AU138" t="s">
        <v>137</v>
      </c>
      <c r="AV138" t="s">
        <v>666</v>
      </c>
      <c r="AW138" t="s">
        <v>671</v>
      </c>
    </row>
    <row r="139" spans="1:49">
      <c r="A139" s="1">
        <f>HYPERLINK("https://lsnyc.legalserver.org/matter/dynamic-profile/view/1883332","18-1883332")</f>
        <v>0</v>
      </c>
      <c r="B139" t="s">
        <v>689</v>
      </c>
      <c r="C139" t="s">
        <v>55</v>
      </c>
      <c r="D139" t="s">
        <v>762</v>
      </c>
      <c r="F139" t="s">
        <v>964</v>
      </c>
      <c r="G139" t="s">
        <v>1212</v>
      </c>
      <c r="H139" t="s">
        <v>1454</v>
      </c>
      <c r="I139">
        <v>934</v>
      </c>
      <c r="J139">
        <v>11217</v>
      </c>
      <c r="K139" t="s">
        <v>422</v>
      </c>
      <c r="L139" t="s">
        <v>422</v>
      </c>
      <c r="N139" t="s">
        <v>436</v>
      </c>
      <c r="Q139" t="s">
        <v>450</v>
      </c>
      <c r="R139" t="s">
        <v>423</v>
      </c>
      <c r="T139" t="s">
        <v>453</v>
      </c>
      <c r="W139">
        <v>800</v>
      </c>
      <c r="X139" t="s">
        <v>458</v>
      </c>
      <c r="Y139" t="s">
        <v>459</v>
      </c>
      <c r="AA139" t="s">
        <v>1982</v>
      </c>
      <c r="AD139">
        <v>400</v>
      </c>
      <c r="AE139" t="s">
        <v>621</v>
      </c>
      <c r="AF139" t="s">
        <v>2429</v>
      </c>
      <c r="AG139">
        <v>2</v>
      </c>
      <c r="AH139">
        <v>1</v>
      </c>
      <c r="AI139">
        <v>0</v>
      </c>
      <c r="AJ139">
        <v>118.81</v>
      </c>
      <c r="AM139" t="s">
        <v>629</v>
      </c>
      <c r="AN139">
        <v>14424</v>
      </c>
      <c r="AT139">
        <v>0.5</v>
      </c>
      <c r="AU139" t="s">
        <v>762</v>
      </c>
      <c r="AV139" t="s">
        <v>662</v>
      </c>
    </row>
    <row r="140" spans="1:49">
      <c r="A140" s="1">
        <f>HYPERLINK("https://lsnyc.legalserver.org/matter/dynamic-profile/view/1874680","18-1874680")</f>
        <v>0</v>
      </c>
      <c r="B140" t="s">
        <v>689</v>
      </c>
      <c r="C140" t="s">
        <v>55</v>
      </c>
      <c r="D140" t="s">
        <v>646</v>
      </c>
      <c r="F140" t="s">
        <v>965</v>
      </c>
      <c r="G140" t="s">
        <v>1213</v>
      </c>
      <c r="H140" t="s">
        <v>1455</v>
      </c>
      <c r="I140" t="s">
        <v>1600</v>
      </c>
      <c r="J140">
        <v>11207</v>
      </c>
      <c r="K140" t="s">
        <v>423</v>
      </c>
      <c r="L140" t="s">
        <v>423</v>
      </c>
      <c r="O140" t="s">
        <v>443</v>
      </c>
      <c r="Q140" t="s">
        <v>450</v>
      </c>
      <c r="T140" t="s">
        <v>453</v>
      </c>
      <c r="W140">
        <v>1500</v>
      </c>
      <c r="X140" t="s">
        <v>458</v>
      </c>
      <c r="AA140" t="s">
        <v>1983</v>
      </c>
      <c r="AC140" t="s">
        <v>2284</v>
      </c>
      <c r="AD140">
        <v>3</v>
      </c>
      <c r="AF140" t="s">
        <v>2427</v>
      </c>
      <c r="AG140">
        <v>1</v>
      </c>
      <c r="AH140">
        <v>5</v>
      </c>
      <c r="AI140">
        <v>0</v>
      </c>
      <c r="AJ140">
        <v>118.97</v>
      </c>
      <c r="AM140" t="s">
        <v>629</v>
      </c>
      <c r="AN140">
        <v>35000</v>
      </c>
      <c r="AO140" t="s">
        <v>2457</v>
      </c>
      <c r="AT140">
        <v>1.5</v>
      </c>
      <c r="AU140" t="s">
        <v>736</v>
      </c>
      <c r="AV140" t="s">
        <v>2518</v>
      </c>
    </row>
    <row r="141" spans="1:49">
      <c r="A141" s="1">
        <f>HYPERLINK("https://lsnyc.legalserver.org/matter/dynamic-profile/view/1880872","18-1880872")</f>
        <v>0</v>
      </c>
      <c r="B141" t="s">
        <v>689</v>
      </c>
      <c r="C141" t="s">
        <v>55</v>
      </c>
      <c r="D141" t="s">
        <v>141</v>
      </c>
      <c r="F141" t="s">
        <v>966</v>
      </c>
      <c r="G141" t="s">
        <v>1214</v>
      </c>
      <c r="H141" t="s">
        <v>1456</v>
      </c>
      <c r="I141" t="s">
        <v>1645</v>
      </c>
      <c r="J141">
        <v>11207</v>
      </c>
      <c r="K141" t="s">
        <v>423</v>
      </c>
      <c r="L141" t="s">
        <v>423</v>
      </c>
      <c r="M141" t="s">
        <v>1752</v>
      </c>
      <c r="N141" t="s">
        <v>437</v>
      </c>
      <c r="Q141" t="s">
        <v>450</v>
      </c>
      <c r="R141" t="s">
        <v>423</v>
      </c>
      <c r="T141" t="s">
        <v>453</v>
      </c>
      <c r="U141" t="s">
        <v>1834</v>
      </c>
      <c r="W141">
        <v>1318.64</v>
      </c>
      <c r="X141" t="s">
        <v>458</v>
      </c>
      <c r="Y141" t="s">
        <v>459</v>
      </c>
      <c r="AA141" t="s">
        <v>1984</v>
      </c>
      <c r="AB141" t="s">
        <v>2151</v>
      </c>
      <c r="AC141" t="s">
        <v>2285</v>
      </c>
      <c r="AD141">
        <v>54</v>
      </c>
      <c r="AE141" t="s">
        <v>621</v>
      </c>
      <c r="AF141" t="s">
        <v>2429</v>
      </c>
      <c r="AG141">
        <v>0</v>
      </c>
      <c r="AH141">
        <v>2</v>
      </c>
      <c r="AI141">
        <v>0</v>
      </c>
      <c r="AJ141">
        <v>120.29</v>
      </c>
      <c r="AM141" t="s">
        <v>629</v>
      </c>
      <c r="AN141">
        <v>19800</v>
      </c>
      <c r="AT141">
        <v>0.7</v>
      </c>
      <c r="AU141" t="s">
        <v>142</v>
      </c>
      <c r="AV141" t="s">
        <v>2514</v>
      </c>
    </row>
    <row r="142" spans="1:49">
      <c r="A142" s="1">
        <f>HYPERLINK("https://lsnyc.legalserver.org/matter/dynamic-profile/view/1901868","19-1901868")</f>
        <v>0</v>
      </c>
      <c r="B142" t="s">
        <v>689</v>
      </c>
      <c r="C142" t="s">
        <v>55</v>
      </c>
      <c r="D142" t="s">
        <v>777</v>
      </c>
      <c r="F142" t="s">
        <v>967</v>
      </c>
      <c r="G142" t="s">
        <v>1215</v>
      </c>
      <c r="H142" t="s">
        <v>1457</v>
      </c>
      <c r="I142" t="s">
        <v>1646</v>
      </c>
      <c r="J142">
        <v>11219</v>
      </c>
      <c r="K142" t="s">
        <v>423</v>
      </c>
      <c r="L142" t="s">
        <v>422</v>
      </c>
      <c r="M142" t="s">
        <v>1753</v>
      </c>
      <c r="N142" t="s">
        <v>1817</v>
      </c>
      <c r="O142" t="s">
        <v>445</v>
      </c>
      <c r="Q142" t="s">
        <v>450</v>
      </c>
      <c r="R142" t="s">
        <v>423</v>
      </c>
      <c r="T142" t="s">
        <v>453</v>
      </c>
      <c r="W142">
        <v>1000</v>
      </c>
      <c r="X142" t="s">
        <v>458</v>
      </c>
      <c r="Y142" t="s">
        <v>1836</v>
      </c>
      <c r="AA142" t="s">
        <v>1985</v>
      </c>
      <c r="AC142" t="s">
        <v>2286</v>
      </c>
      <c r="AD142">
        <v>35</v>
      </c>
      <c r="AE142" t="s">
        <v>622</v>
      </c>
      <c r="AF142" t="s">
        <v>625</v>
      </c>
      <c r="AG142">
        <v>12</v>
      </c>
      <c r="AH142">
        <v>4</v>
      </c>
      <c r="AI142">
        <v>0</v>
      </c>
      <c r="AJ142">
        <v>121.17</v>
      </c>
      <c r="AM142" t="s">
        <v>631</v>
      </c>
      <c r="AN142">
        <v>31200</v>
      </c>
      <c r="AT142">
        <v>2.7</v>
      </c>
      <c r="AU142" t="s">
        <v>777</v>
      </c>
      <c r="AV142" t="s">
        <v>674</v>
      </c>
    </row>
    <row r="143" spans="1:49">
      <c r="A143" s="1">
        <f>HYPERLINK("https://lsnyc.legalserver.org/matter/dynamic-profile/view/1901865","19-1901865")</f>
        <v>0</v>
      </c>
      <c r="B143" t="s">
        <v>689</v>
      </c>
      <c r="C143" t="s">
        <v>55</v>
      </c>
      <c r="D143" t="s">
        <v>777</v>
      </c>
      <c r="F143" t="s">
        <v>967</v>
      </c>
      <c r="G143" t="s">
        <v>1215</v>
      </c>
      <c r="H143" t="s">
        <v>1457</v>
      </c>
      <c r="I143" t="s">
        <v>1646</v>
      </c>
      <c r="J143">
        <v>11219</v>
      </c>
      <c r="K143" t="s">
        <v>423</v>
      </c>
      <c r="L143" t="s">
        <v>422</v>
      </c>
      <c r="M143" t="s">
        <v>1754</v>
      </c>
      <c r="N143" t="s">
        <v>437</v>
      </c>
      <c r="O143" t="s">
        <v>445</v>
      </c>
      <c r="Q143" t="s">
        <v>450</v>
      </c>
      <c r="R143" t="s">
        <v>423</v>
      </c>
      <c r="T143" t="s">
        <v>453</v>
      </c>
      <c r="W143">
        <v>1000</v>
      </c>
      <c r="X143" t="s">
        <v>458</v>
      </c>
      <c r="Y143" t="s">
        <v>1836</v>
      </c>
      <c r="AA143" t="s">
        <v>1985</v>
      </c>
      <c r="AC143" t="s">
        <v>2286</v>
      </c>
      <c r="AD143">
        <v>35</v>
      </c>
      <c r="AE143" t="s">
        <v>622</v>
      </c>
      <c r="AF143" t="s">
        <v>625</v>
      </c>
      <c r="AG143">
        <v>12</v>
      </c>
      <c r="AH143">
        <v>4</v>
      </c>
      <c r="AI143">
        <v>0</v>
      </c>
      <c r="AJ143">
        <v>121.17</v>
      </c>
      <c r="AM143" t="s">
        <v>631</v>
      </c>
      <c r="AN143">
        <v>31200</v>
      </c>
      <c r="AT143">
        <v>1</v>
      </c>
      <c r="AU143" t="s">
        <v>122</v>
      </c>
      <c r="AV143" t="s">
        <v>674</v>
      </c>
    </row>
    <row r="144" spans="1:49">
      <c r="A144" s="1">
        <f>HYPERLINK("https://lsnyc.legalserver.org/matter/dynamic-profile/view/1872760","18-1872760")</f>
        <v>0</v>
      </c>
      <c r="B144" t="s">
        <v>689</v>
      </c>
      <c r="C144" t="s">
        <v>55</v>
      </c>
      <c r="D144" t="s">
        <v>778</v>
      </c>
      <c r="F144" t="s">
        <v>968</v>
      </c>
      <c r="G144" t="s">
        <v>1216</v>
      </c>
      <c r="H144" t="s">
        <v>1458</v>
      </c>
      <c r="I144" t="s">
        <v>1647</v>
      </c>
      <c r="J144">
        <v>11212</v>
      </c>
      <c r="K144" t="s">
        <v>423</v>
      </c>
      <c r="L144" t="s">
        <v>422</v>
      </c>
      <c r="M144" t="s">
        <v>1718</v>
      </c>
      <c r="N144" t="s">
        <v>436</v>
      </c>
      <c r="Q144" t="s">
        <v>450</v>
      </c>
      <c r="R144" t="s">
        <v>423</v>
      </c>
      <c r="T144" t="s">
        <v>453</v>
      </c>
      <c r="W144">
        <v>1100</v>
      </c>
      <c r="X144" t="s">
        <v>458</v>
      </c>
      <c r="AA144" t="s">
        <v>1986</v>
      </c>
      <c r="AB144" t="s">
        <v>1720</v>
      </c>
      <c r="AC144" t="s">
        <v>2287</v>
      </c>
      <c r="AD144">
        <v>31</v>
      </c>
      <c r="AE144" t="s">
        <v>622</v>
      </c>
      <c r="AF144" t="s">
        <v>2430</v>
      </c>
      <c r="AG144">
        <v>3</v>
      </c>
      <c r="AH144">
        <v>1</v>
      </c>
      <c r="AI144">
        <v>1</v>
      </c>
      <c r="AJ144">
        <v>126.37</v>
      </c>
      <c r="AM144" t="s">
        <v>629</v>
      </c>
      <c r="AN144">
        <v>20800</v>
      </c>
      <c r="AT144">
        <v>0.5</v>
      </c>
      <c r="AU144" t="s">
        <v>778</v>
      </c>
      <c r="AV144" t="s">
        <v>668</v>
      </c>
    </row>
    <row r="145" spans="1:49">
      <c r="A145" s="1">
        <f>HYPERLINK("https://lsnyc.legalserver.org/matter/dynamic-profile/view/1884410","18-1884410")</f>
        <v>0</v>
      </c>
      <c r="B145" t="s">
        <v>689</v>
      </c>
      <c r="C145" t="s">
        <v>55</v>
      </c>
      <c r="D145" t="s">
        <v>779</v>
      </c>
      <c r="F145" t="s">
        <v>969</v>
      </c>
      <c r="G145" t="s">
        <v>1217</v>
      </c>
      <c r="H145" t="s">
        <v>1459</v>
      </c>
      <c r="I145" t="s">
        <v>1633</v>
      </c>
      <c r="J145">
        <v>11249</v>
      </c>
      <c r="K145" t="s">
        <v>422</v>
      </c>
      <c r="L145" t="s">
        <v>422</v>
      </c>
      <c r="Q145" t="s">
        <v>450</v>
      </c>
      <c r="T145" t="s">
        <v>453</v>
      </c>
      <c r="W145">
        <v>4400</v>
      </c>
      <c r="X145" t="s">
        <v>458</v>
      </c>
      <c r="Y145" t="s">
        <v>462</v>
      </c>
      <c r="AA145" t="s">
        <v>1987</v>
      </c>
      <c r="AC145" t="s">
        <v>2288</v>
      </c>
      <c r="AD145">
        <v>89</v>
      </c>
      <c r="AF145" t="s">
        <v>625</v>
      </c>
      <c r="AG145">
        <v>0</v>
      </c>
      <c r="AH145">
        <v>2</v>
      </c>
      <c r="AI145">
        <v>1</v>
      </c>
      <c r="AJ145">
        <v>134.74</v>
      </c>
      <c r="AM145" t="s">
        <v>629</v>
      </c>
      <c r="AN145">
        <v>28000</v>
      </c>
      <c r="AT145">
        <v>1</v>
      </c>
      <c r="AU145" t="s">
        <v>779</v>
      </c>
      <c r="AV145" t="s">
        <v>663</v>
      </c>
    </row>
    <row r="146" spans="1:49">
      <c r="A146" s="1">
        <f>HYPERLINK("https://lsnyc.legalserver.org/matter/dynamic-profile/view/1902184","19-1902184")</f>
        <v>0</v>
      </c>
      <c r="B146" t="s">
        <v>689</v>
      </c>
      <c r="C146" t="s">
        <v>55</v>
      </c>
      <c r="D146" t="s">
        <v>718</v>
      </c>
      <c r="F146" t="s">
        <v>970</v>
      </c>
      <c r="G146" t="s">
        <v>1159</v>
      </c>
      <c r="H146" t="s">
        <v>1460</v>
      </c>
      <c r="I146">
        <v>2</v>
      </c>
      <c r="J146">
        <v>11207</v>
      </c>
      <c r="K146" t="s">
        <v>423</v>
      </c>
      <c r="L146" t="s">
        <v>422</v>
      </c>
      <c r="M146" t="s">
        <v>1755</v>
      </c>
      <c r="N146" t="s">
        <v>436</v>
      </c>
      <c r="Q146" t="s">
        <v>450</v>
      </c>
      <c r="R146" t="s">
        <v>423</v>
      </c>
      <c r="T146" t="s">
        <v>453</v>
      </c>
      <c r="U146" t="s">
        <v>457</v>
      </c>
      <c r="W146">
        <v>2379</v>
      </c>
      <c r="X146" t="s">
        <v>458</v>
      </c>
      <c r="Y146" t="s">
        <v>460</v>
      </c>
      <c r="AA146" t="s">
        <v>1988</v>
      </c>
      <c r="AB146" t="s">
        <v>1810</v>
      </c>
      <c r="AC146" t="s">
        <v>2289</v>
      </c>
      <c r="AD146">
        <v>4</v>
      </c>
      <c r="AE146" t="s">
        <v>623</v>
      </c>
      <c r="AF146" t="s">
        <v>626</v>
      </c>
      <c r="AG146">
        <v>0</v>
      </c>
      <c r="AH146">
        <v>2</v>
      </c>
      <c r="AI146">
        <v>2</v>
      </c>
      <c r="AJ146">
        <v>143.69</v>
      </c>
      <c r="AM146" t="s">
        <v>629</v>
      </c>
      <c r="AN146">
        <v>37000</v>
      </c>
      <c r="AT146">
        <v>0.9</v>
      </c>
      <c r="AU146" t="s">
        <v>654</v>
      </c>
      <c r="AV146" t="s">
        <v>664</v>
      </c>
      <c r="AW146" t="s">
        <v>625</v>
      </c>
    </row>
    <row r="147" spans="1:49">
      <c r="A147" s="1">
        <f>HYPERLINK("https://lsnyc.legalserver.org/matter/dynamic-profile/view/1872672","18-1872672")</f>
        <v>0</v>
      </c>
      <c r="B147" t="s">
        <v>689</v>
      </c>
      <c r="C147" t="s">
        <v>55</v>
      </c>
      <c r="D147" t="s">
        <v>755</v>
      </c>
      <c r="F147" t="s">
        <v>971</v>
      </c>
      <c r="G147" t="s">
        <v>1218</v>
      </c>
      <c r="H147" t="s">
        <v>1461</v>
      </c>
      <c r="I147">
        <v>421</v>
      </c>
      <c r="J147">
        <v>11230</v>
      </c>
      <c r="K147" t="s">
        <v>422</v>
      </c>
      <c r="L147" t="s">
        <v>422</v>
      </c>
      <c r="N147" t="s">
        <v>436</v>
      </c>
      <c r="Q147" t="s">
        <v>450</v>
      </c>
      <c r="R147" t="s">
        <v>423</v>
      </c>
      <c r="T147" t="s">
        <v>453</v>
      </c>
      <c r="W147">
        <v>1250</v>
      </c>
      <c r="X147" t="s">
        <v>458</v>
      </c>
      <c r="Y147" t="s">
        <v>464</v>
      </c>
      <c r="AA147" t="s">
        <v>1989</v>
      </c>
      <c r="AC147" t="s">
        <v>2290</v>
      </c>
      <c r="AD147">
        <v>100</v>
      </c>
      <c r="AE147" t="s">
        <v>621</v>
      </c>
      <c r="AF147" t="s">
        <v>625</v>
      </c>
      <c r="AG147">
        <v>3</v>
      </c>
      <c r="AH147">
        <v>1</v>
      </c>
      <c r="AI147">
        <v>2</v>
      </c>
      <c r="AJ147">
        <v>144.37</v>
      </c>
      <c r="AM147" t="s">
        <v>629</v>
      </c>
      <c r="AN147">
        <v>30000</v>
      </c>
      <c r="AT147">
        <v>0.5</v>
      </c>
      <c r="AU147" t="s">
        <v>755</v>
      </c>
      <c r="AV147" t="s">
        <v>662</v>
      </c>
    </row>
    <row r="148" spans="1:49">
      <c r="A148" s="1">
        <f>HYPERLINK("https://lsnyc.legalserver.org/matter/dynamic-profile/view/1882895","18-1882895")</f>
        <v>0</v>
      </c>
      <c r="B148" t="s">
        <v>689</v>
      </c>
      <c r="C148" t="s">
        <v>55</v>
      </c>
      <c r="D148" t="s">
        <v>96</v>
      </c>
      <c r="F148" t="s">
        <v>972</v>
      </c>
      <c r="G148" t="s">
        <v>1219</v>
      </c>
      <c r="H148" t="s">
        <v>1462</v>
      </c>
      <c r="I148">
        <v>2</v>
      </c>
      <c r="J148">
        <v>11212</v>
      </c>
      <c r="K148" t="s">
        <v>422</v>
      </c>
      <c r="L148" t="s">
        <v>423</v>
      </c>
      <c r="M148" t="s">
        <v>435</v>
      </c>
      <c r="N148" t="s">
        <v>436</v>
      </c>
      <c r="Q148" t="s">
        <v>450</v>
      </c>
      <c r="R148" t="s">
        <v>423</v>
      </c>
      <c r="T148" t="s">
        <v>453</v>
      </c>
      <c r="U148" t="s">
        <v>457</v>
      </c>
      <c r="W148">
        <v>2200</v>
      </c>
      <c r="X148" t="s">
        <v>458</v>
      </c>
      <c r="Y148" t="s">
        <v>460</v>
      </c>
      <c r="AA148" t="s">
        <v>1990</v>
      </c>
      <c r="AB148" t="s">
        <v>2142</v>
      </c>
      <c r="AC148" t="s">
        <v>2291</v>
      </c>
      <c r="AD148">
        <v>3</v>
      </c>
      <c r="AE148" t="s">
        <v>623</v>
      </c>
      <c r="AF148" t="s">
        <v>2428</v>
      </c>
      <c r="AG148">
        <v>1</v>
      </c>
      <c r="AH148">
        <v>1</v>
      </c>
      <c r="AI148">
        <v>0</v>
      </c>
      <c r="AJ148">
        <v>148.27</v>
      </c>
      <c r="AM148" t="s">
        <v>629</v>
      </c>
      <c r="AN148">
        <v>18000</v>
      </c>
      <c r="AT148">
        <v>0</v>
      </c>
      <c r="AV148" t="s">
        <v>666</v>
      </c>
    </row>
    <row r="149" spans="1:49">
      <c r="A149" s="1">
        <f>HYPERLINK("https://lsnyc.legalserver.org/matter/dynamic-profile/view/1880341","18-1880341")</f>
        <v>0</v>
      </c>
      <c r="B149" t="s">
        <v>689</v>
      </c>
      <c r="C149" t="s">
        <v>54</v>
      </c>
      <c r="D149" t="s">
        <v>780</v>
      </c>
      <c r="E149" t="s">
        <v>57</v>
      </c>
      <c r="F149" t="s">
        <v>973</v>
      </c>
      <c r="G149" t="s">
        <v>1220</v>
      </c>
      <c r="H149" t="s">
        <v>1463</v>
      </c>
      <c r="I149" t="s">
        <v>1648</v>
      </c>
      <c r="J149">
        <v>11208</v>
      </c>
      <c r="K149" t="s">
        <v>424</v>
      </c>
      <c r="L149" t="s">
        <v>422</v>
      </c>
      <c r="M149" t="s">
        <v>1756</v>
      </c>
      <c r="O149" t="s">
        <v>441</v>
      </c>
      <c r="P149" t="s">
        <v>447</v>
      </c>
      <c r="Q149" t="s">
        <v>450</v>
      </c>
      <c r="T149" t="s">
        <v>454</v>
      </c>
      <c r="W149">
        <v>0</v>
      </c>
      <c r="X149" t="s">
        <v>458</v>
      </c>
      <c r="Z149" t="s">
        <v>472</v>
      </c>
      <c r="AA149" t="s">
        <v>1991</v>
      </c>
      <c r="AC149" t="s">
        <v>2292</v>
      </c>
      <c r="AD149">
        <v>0</v>
      </c>
      <c r="AG149">
        <v>0</v>
      </c>
      <c r="AH149">
        <v>2</v>
      </c>
      <c r="AI149">
        <v>3</v>
      </c>
      <c r="AJ149">
        <v>150</v>
      </c>
      <c r="AM149" t="s">
        <v>631</v>
      </c>
      <c r="AN149">
        <v>44129.28</v>
      </c>
      <c r="AT149">
        <v>0.2</v>
      </c>
      <c r="AU149" t="s">
        <v>57</v>
      </c>
      <c r="AV149" t="s">
        <v>669</v>
      </c>
    </row>
    <row r="150" spans="1:49">
      <c r="A150" s="1">
        <f>HYPERLINK("https://lsnyc.legalserver.org/matter/dynamic-profile/view/1860121","18-1860121")</f>
        <v>0</v>
      </c>
      <c r="B150" t="s">
        <v>689</v>
      </c>
      <c r="C150" t="s">
        <v>55</v>
      </c>
      <c r="D150" t="s">
        <v>116</v>
      </c>
      <c r="F150" t="s">
        <v>974</v>
      </c>
      <c r="G150" t="s">
        <v>1221</v>
      </c>
      <c r="H150" t="s">
        <v>1464</v>
      </c>
      <c r="I150" t="s">
        <v>1649</v>
      </c>
      <c r="J150">
        <v>11230</v>
      </c>
      <c r="K150" t="s">
        <v>423</v>
      </c>
      <c r="L150" t="s">
        <v>422</v>
      </c>
      <c r="M150" t="s">
        <v>1757</v>
      </c>
      <c r="N150" t="s">
        <v>436</v>
      </c>
      <c r="Q150" t="s">
        <v>450</v>
      </c>
      <c r="R150" t="s">
        <v>423</v>
      </c>
      <c r="T150" t="s">
        <v>453</v>
      </c>
      <c r="W150">
        <v>1065</v>
      </c>
      <c r="X150" t="s">
        <v>458</v>
      </c>
      <c r="Y150" t="s">
        <v>1840</v>
      </c>
      <c r="AA150" t="s">
        <v>1992</v>
      </c>
      <c r="AC150" t="s">
        <v>2293</v>
      </c>
      <c r="AD150">
        <v>80</v>
      </c>
      <c r="AE150" t="s">
        <v>622</v>
      </c>
      <c r="AF150" t="s">
        <v>626</v>
      </c>
      <c r="AG150">
        <v>3</v>
      </c>
      <c r="AH150">
        <v>1</v>
      </c>
      <c r="AI150">
        <v>0</v>
      </c>
      <c r="AJ150">
        <v>153.43</v>
      </c>
      <c r="AM150" t="s">
        <v>629</v>
      </c>
      <c r="AN150">
        <v>18504</v>
      </c>
      <c r="AT150">
        <v>0.5</v>
      </c>
      <c r="AU150" t="s">
        <v>701</v>
      </c>
      <c r="AV150" t="s">
        <v>665</v>
      </c>
    </row>
    <row r="151" spans="1:49">
      <c r="A151" s="1">
        <f>HYPERLINK("https://lsnyc.legalserver.org/matter/dynamic-profile/view/1836723","17-1836723")</f>
        <v>0</v>
      </c>
      <c r="B151" t="s">
        <v>689</v>
      </c>
      <c r="C151" t="s">
        <v>55</v>
      </c>
      <c r="D151" t="s">
        <v>781</v>
      </c>
      <c r="F151" t="s">
        <v>975</v>
      </c>
      <c r="G151" t="s">
        <v>1222</v>
      </c>
      <c r="H151" t="s">
        <v>1458</v>
      </c>
      <c r="I151" t="s">
        <v>1633</v>
      </c>
      <c r="J151">
        <v>11212</v>
      </c>
      <c r="K151" t="s">
        <v>424</v>
      </c>
      <c r="L151" t="s">
        <v>424</v>
      </c>
      <c r="M151" t="s">
        <v>1758</v>
      </c>
      <c r="N151" t="s">
        <v>437</v>
      </c>
      <c r="O151" t="s">
        <v>442</v>
      </c>
      <c r="Q151" t="s">
        <v>450</v>
      </c>
      <c r="R151" t="s">
        <v>423</v>
      </c>
      <c r="T151" t="s">
        <v>454</v>
      </c>
      <c r="W151">
        <v>457</v>
      </c>
      <c r="X151" t="s">
        <v>458</v>
      </c>
      <c r="Y151" t="s">
        <v>467</v>
      </c>
      <c r="AA151" t="s">
        <v>1993</v>
      </c>
      <c r="AB151" t="s">
        <v>2152</v>
      </c>
      <c r="AC151" t="s">
        <v>2294</v>
      </c>
      <c r="AD151">
        <v>31</v>
      </c>
      <c r="AE151" t="s">
        <v>2419</v>
      </c>
      <c r="AF151" t="s">
        <v>2430</v>
      </c>
      <c r="AG151">
        <v>40</v>
      </c>
      <c r="AH151">
        <v>1</v>
      </c>
      <c r="AI151">
        <v>0</v>
      </c>
      <c r="AJ151">
        <v>155.22</v>
      </c>
      <c r="AM151" t="s">
        <v>631</v>
      </c>
      <c r="AN151">
        <v>18720</v>
      </c>
      <c r="AO151" t="s">
        <v>2458</v>
      </c>
      <c r="AT151">
        <v>0.1</v>
      </c>
      <c r="AU151" t="s">
        <v>781</v>
      </c>
      <c r="AV151" t="s">
        <v>2524</v>
      </c>
    </row>
    <row r="152" spans="1:49">
      <c r="A152" s="1">
        <f>HYPERLINK("https://lsnyc.legalserver.org/matter/dynamic-profile/view/1867797","18-1867797")</f>
        <v>0</v>
      </c>
      <c r="B152" t="s">
        <v>689</v>
      </c>
      <c r="C152" t="s">
        <v>55</v>
      </c>
      <c r="D152" t="s">
        <v>118</v>
      </c>
      <c r="F152" t="s">
        <v>976</v>
      </c>
      <c r="G152" t="s">
        <v>1223</v>
      </c>
      <c r="H152" t="s">
        <v>1465</v>
      </c>
      <c r="I152">
        <v>1</v>
      </c>
      <c r="J152">
        <v>11212</v>
      </c>
      <c r="K152" t="s">
        <v>423</v>
      </c>
      <c r="L152" t="s">
        <v>422</v>
      </c>
      <c r="M152" t="s">
        <v>1759</v>
      </c>
      <c r="N152" t="s">
        <v>436</v>
      </c>
      <c r="Q152" t="s">
        <v>450</v>
      </c>
      <c r="R152" t="s">
        <v>1829</v>
      </c>
      <c r="T152" t="s">
        <v>453</v>
      </c>
      <c r="W152">
        <v>1575</v>
      </c>
      <c r="X152" t="s">
        <v>458</v>
      </c>
      <c r="Y152" t="s">
        <v>461</v>
      </c>
      <c r="AA152" t="s">
        <v>1994</v>
      </c>
      <c r="AC152" t="s">
        <v>2295</v>
      </c>
      <c r="AD152">
        <v>2</v>
      </c>
      <c r="AE152" t="s">
        <v>2425</v>
      </c>
      <c r="AF152" t="s">
        <v>626</v>
      </c>
      <c r="AG152">
        <v>11</v>
      </c>
      <c r="AH152">
        <v>3</v>
      </c>
      <c r="AI152">
        <v>1</v>
      </c>
      <c r="AJ152">
        <v>155.38</v>
      </c>
      <c r="AM152" t="s">
        <v>629</v>
      </c>
      <c r="AN152">
        <v>39000</v>
      </c>
      <c r="AT152">
        <v>1.5</v>
      </c>
      <c r="AU152" t="s">
        <v>2504</v>
      </c>
      <c r="AV152" t="s">
        <v>666</v>
      </c>
    </row>
    <row r="153" spans="1:49">
      <c r="A153" s="1">
        <f>HYPERLINK("https://lsnyc.legalserver.org/matter/dynamic-profile/view/1872368","18-1872368")</f>
        <v>0</v>
      </c>
      <c r="B153" t="s">
        <v>689</v>
      </c>
      <c r="C153" t="s">
        <v>55</v>
      </c>
      <c r="D153" t="s">
        <v>782</v>
      </c>
      <c r="F153" t="s">
        <v>977</v>
      </c>
      <c r="G153" t="s">
        <v>1224</v>
      </c>
      <c r="H153" t="s">
        <v>1466</v>
      </c>
      <c r="I153" t="s">
        <v>408</v>
      </c>
      <c r="J153">
        <v>11209</v>
      </c>
      <c r="K153" t="s">
        <v>422</v>
      </c>
      <c r="L153" t="s">
        <v>422</v>
      </c>
      <c r="N153" t="s">
        <v>435</v>
      </c>
      <c r="O153" t="s">
        <v>441</v>
      </c>
      <c r="Q153" t="s">
        <v>450</v>
      </c>
      <c r="R153" t="s">
        <v>424</v>
      </c>
      <c r="T153" t="s">
        <v>453</v>
      </c>
      <c r="W153">
        <v>5000</v>
      </c>
      <c r="X153" t="s">
        <v>458</v>
      </c>
      <c r="AA153" t="s">
        <v>1995</v>
      </c>
      <c r="AC153" t="s">
        <v>2296</v>
      </c>
      <c r="AD153">
        <v>3</v>
      </c>
      <c r="AE153" t="s">
        <v>621</v>
      </c>
      <c r="AF153" t="s">
        <v>625</v>
      </c>
      <c r="AG153">
        <v>4</v>
      </c>
      <c r="AH153">
        <v>1</v>
      </c>
      <c r="AI153">
        <v>0</v>
      </c>
      <c r="AJ153">
        <v>158.15</v>
      </c>
      <c r="AM153" t="s">
        <v>629</v>
      </c>
      <c r="AN153">
        <v>19200</v>
      </c>
      <c r="AT153">
        <v>0.5</v>
      </c>
      <c r="AU153" t="s">
        <v>782</v>
      </c>
      <c r="AV153" t="s">
        <v>2514</v>
      </c>
    </row>
    <row r="154" spans="1:49">
      <c r="A154" s="1">
        <f>HYPERLINK("https://lsnyc.legalserver.org/matter/dynamic-profile/view/1876496","18-1876496")</f>
        <v>0</v>
      </c>
      <c r="B154" t="s">
        <v>689</v>
      </c>
      <c r="C154" t="s">
        <v>55</v>
      </c>
      <c r="D154" t="s">
        <v>783</v>
      </c>
      <c r="F154" t="s">
        <v>978</v>
      </c>
      <c r="G154" t="s">
        <v>1096</v>
      </c>
      <c r="H154" t="s">
        <v>1467</v>
      </c>
      <c r="I154" t="s">
        <v>1650</v>
      </c>
      <c r="J154">
        <v>11233</v>
      </c>
      <c r="K154" t="s">
        <v>423</v>
      </c>
      <c r="L154" t="s">
        <v>422</v>
      </c>
      <c r="M154" t="s">
        <v>435</v>
      </c>
      <c r="N154" t="s">
        <v>436</v>
      </c>
      <c r="Q154" t="s">
        <v>450</v>
      </c>
      <c r="R154" t="s">
        <v>423</v>
      </c>
      <c r="T154" t="s">
        <v>453</v>
      </c>
      <c r="W154">
        <v>1542</v>
      </c>
      <c r="X154" t="s">
        <v>458</v>
      </c>
      <c r="Y154" t="s">
        <v>467</v>
      </c>
      <c r="AA154" t="s">
        <v>1996</v>
      </c>
      <c r="AB154">
        <v>562586</v>
      </c>
      <c r="AC154" t="s">
        <v>2297</v>
      </c>
      <c r="AD154">
        <v>200</v>
      </c>
      <c r="AE154" t="s">
        <v>622</v>
      </c>
      <c r="AF154" t="s">
        <v>626</v>
      </c>
      <c r="AG154">
        <v>10</v>
      </c>
      <c r="AH154">
        <v>1</v>
      </c>
      <c r="AI154">
        <v>2</v>
      </c>
      <c r="AJ154">
        <v>159.15</v>
      </c>
      <c r="AM154" t="s">
        <v>629</v>
      </c>
      <c r="AN154">
        <v>33072</v>
      </c>
      <c r="AT154">
        <v>0</v>
      </c>
      <c r="AV154" t="s">
        <v>666</v>
      </c>
    </row>
    <row r="155" spans="1:49">
      <c r="A155" s="1">
        <f>HYPERLINK("https://lsnyc.legalserver.org/matter/dynamic-profile/view/1886303","18-1886303")</f>
        <v>0</v>
      </c>
      <c r="B155" t="s">
        <v>689</v>
      </c>
      <c r="C155" t="s">
        <v>55</v>
      </c>
      <c r="D155" t="s">
        <v>707</v>
      </c>
      <c r="F155" t="s">
        <v>979</v>
      </c>
      <c r="G155" t="s">
        <v>1225</v>
      </c>
      <c r="H155" t="s">
        <v>1468</v>
      </c>
      <c r="I155" t="s">
        <v>1651</v>
      </c>
      <c r="J155">
        <v>11236</v>
      </c>
      <c r="K155" t="s">
        <v>423</v>
      </c>
      <c r="L155" t="s">
        <v>423</v>
      </c>
      <c r="M155" t="s">
        <v>435</v>
      </c>
      <c r="N155" t="s">
        <v>435</v>
      </c>
      <c r="Q155" t="s">
        <v>450</v>
      </c>
      <c r="R155" t="s">
        <v>423</v>
      </c>
      <c r="T155" t="s">
        <v>453</v>
      </c>
      <c r="U155" t="s">
        <v>457</v>
      </c>
      <c r="W155">
        <v>2000</v>
      </c>
      <c r="X155" t="s">
        <v>458</v>
      </c>
      <c r="Y155" t="s">
        <v>467</v>
      </c>
      <c r="AA155" t="s">
        <v>1997</v>
      </c>
      <c r="AB155" t="s">
        <v>625</v>
      </c>
      <c r="AC155" t="s">
        <v>2298</v>
      </c>
      <c r="AD155">
        <v>3</v>
      </c>
      <c r="AE155" t="s">
        <v>623</v>
      </c>
      <c r="AF155" t="s">
        <v>625</v>
      </c>
      <c r="AG155">
        <v>1</v>
      </c>
      <c r="AH155">
        <v>2</v>
      </c>
      <c r="AI155">
        <v>2</v>
      </c>
      <c r="AJ155">
        <v>176.1</v>
      </c>
      <c r="AM155" t="s">
        <v>629</v>
      </c>
      <c r="AN155">
        <v>44200</v>
      </c>
      <c r="AT155">
        <v>0</v>
      </c>
      <c r="AV155" t="s">
        <v>666</v>
      </c>
    </row>
    <row r="156" spans="1:49">
      <c r="A156" s="1">
        <f>HYPERLINK("https://lsnyc.legalserver.org/matter/dynamic-profile/view/1879104","18-1879104")</f>
        <v>0</v>
      </c>
      <c r="B156" t="s">
        <v>689</v>
      </c>
      <c r="C156" t="s">
        <v>55</v>
      </c>
      <c r="D156" t="s">
        <v>784</v>
      </c>
      <c r="F156" t="s">
        <v>918</v>
      </c>
      <c r="G156" t="s">
        <v>1165</v>
      </c>
      <c r="H156" t="s">
        <v>1402</v>
      </c>
      <c r="I156">
        <v>2</v>
      </c>
      <c r="J156">
        <v>11233</v>
      </c>
      <c r="K156" t="s">
        <v>424</v>
      </c>
      <c r="L156" t="s">
        <v>423</v>
      </c>
      <c r="O156" t="s">
        <v>444</v>
      </c>
      <c r="Q156" t="s">
        <v>450</v>
      </c>
      <c r="T156" t="s">
        <v>453</v>
      </c>
      <c r="W156">
        <v>1363</v>
      </c>
      <c r="X156" t="s">
        <v>458</v>
      </c>
      <c r="Y156" t="s">
        <v>467</v>
      </c>
      <c r="AA156" t="s">
        <v>1930</v>
      </c>
      <c r="AC156" t="s">
        <v>2237</v>
      </c>
      <c r="AD156">
        <v>8</v>
      </c>
      <c r="AE156" t="s">
        <v>622</v>
      </c>
      <c r="AF156" t="s">
        <v>626</v>
      </c>
      <c r="AG156">
        <v>4</v>
      </c>
      <c r="AH156">
        <v>1</v>
      </c>
      <c r="AI156">
        <v>1</v>
      </c>
      <c r="AJ156">
        <v>176.12</v>
      </c>
      <c r="AM156" t="s">
        <v>629</v>
      </c>
      <c r="AN156">
        <v>28990</v>
      </c>
      <c r="AT156">
        <v>0</v>
      </c>
      <c r="AV156" t="s">
        <v>669</v>
      </c>
    </row>
    <row r="157" spans="1:49">
      <c r="A157" s="1">
        <f>HYPERLINK("https://lsnyc.legalserver.org/matter/dynamic-profile/view/1874757","18-1874757")</f>
        <v>0</v>
      </c>
      <c r="B157" t="s">
        <v>689</v>
      </c>
      <c r="C157" t="s">
        <v>55</v>
      </c>
      <c r="D157" t="s">
        <v>646</v>
      </c>
      <c r="F157" t="s">
        <v>980</v>
      </c>
      <c r="G157" t="s">
        <v>1226</v>
      </c>
      <c r="H157" t="s">
        <v>1469</v>
      </c>
      <c r="I157" t="s">
        <v>1626</v>
      </c>
      <c r="J157">
        <v>11221</v>
      </c>
      <c r="K157" t="s">
        <v>423</v>
      </c>
      <c r="L157" t="s">
        <v>422</v>
      </c>
      <c r="N157" t="s">
        <v>436</v>
      </c>
      <c r="Q157" t="s">
        <v>450</v>
      </c>
      <c r="R157" t="s">
        <v>423</v>
      </c>
      <c r="T157" t="s">
        <v>453</v>
      </c>
      <c r="W157">
        <v>1292.5</v>
      </c>
      <c r="X157" t="s">
        <v>458</v>
      </c>
      <c r="AA157" t="s">
        <v>1998</v>
      </c>
      <c r="AC157" t="s">
        <v>2299</v>
      </c>
      <c r="AD157">
        <v>16</v>
      </c>
      <c r="AE157" t="s">
        <v>622</v>
      </c>
      <c r="AF157" t="s">
        <v>625</v>
      </c>
      <c r="AG157">
        <v>10</v>
      </c>
      <c r="AH157">
        <v>2</v>
      </c>
      <c r="AI157">
        <v>0</v>
      </c>
      <c r="AJ157">
        <v>189.55</v>
      </c>
      <c r="AM157" t="s">
        <v>629</v>
      </c>
      <c r="AN157">
        <v>31200</v>
      </c>
      <c r="AT157">
        <v>0</v>
      </c>
      <c r="AV157" t="s">
        <v>666</v>
      </c>
    </row>
    <row r="158" spans="1:49">
      <c r="A158" s="1">
        <f>HYPERLINK("https://lsnyc.legalserver.org/matter/dynamic-profile/view/1903176","19-1903176")</f>
        <v>0</v>
      </c>
      <c r="B158" t="s">
        <v>689</v>
      </c>
      <c r="C158" t="s">
        <v>55</v>
      </c>
      <c r="D158" t="s">
        <v>726</v>
      </c>
      <c r="F158" t="s">
        <v>164</v>
      </c>
      <c r="G158" t="s">
        <v>1109</v>
      </c>
      <c r="H158" t="s">
        <v>1470</v>
      </c>
      <c r="I158" t="s">
        <v>371</v>
      </c>
      <c r="J158">
        <v>11233</v>
      </c>
      <c r="K158" t="s">
        <v>423</v>
      </c>
      <c r="L158" t="s">
        <v>422</v>
      </c>
      <c r="M158" t="s">
        <v>1760</v>
      </c>
      <c r="N158" t="s">
        <v>437</v>
      </c>
      <c r="Q158" t="s">
        <v>450</v>
      </c>
      <c r="R158" t="s">
        <v>423</v>
      </c>
      <c r="T158" t="s">
        <v>453</v>
      </c>
      <c r="U158" t="s">
        <v>457</v>
      </c>
      <c r="W158">
        <v>1300</v>
      </c>
      <c r="X158" t="s">
        <v>458</v>
      </c>
      <c r="Y158" t="s">
        <v>462</v>
      </c>
      <c r="AB158" t="s">
        <v>625</v>
      </c>
      <c r="AC158" t="s">
        <v>2300</v>
      </c>
      <c r="AD158">
        <v>6</v>
      </c>
      <c r="AE158" t="s">
        <v>622</v>
      </c>
      <c r="AF158" t="s">
        <v>625</v>
      </c>
      <c r="AG158">
        <v>10</v>
      </c>
      <c r="AH158">
        <v>1</v>
      </c>
      <c r="AI158">
        <v>0</v>
      </c>
      <c r="AJ158">
        <v>191.51</v>
      </c>
      <c r="AM158" t="s">
        <v>629</v>
      </c>
      <c r="AN158">
        <v>23920</v>
      </c>
      <c r="AT158">
        <v>0</v>
      </c>
      <c r="AV158" t="s">
        <v>666</v>
      </c>
      <c r="AW158" t="s">
        <v>625</v>
      </c>
    </row>
    <row r="159" spans="1:49">
      <c r="A159" s="1">
        <f>HYPERLINK("https://lsnyc.legalserver.org/matter/dynamic-profile/view/1876894","18-1876894")</f>
        <v>0</v>
      </c>
      <c r="B159" t="s">
        <v>689</v>
      </c>
      <c r="C159" t="s">
        <v>55</v>
      </c>
      <c r="D159" t="s">
        <v>736</v>
      </c>
      <c r="F159" t="s">
        <v>981</v>
      </c>
      <c r="G159" t="s">
        <v>1227</v>
      </c>
      <c r="H159" t="s">
        <v>1471</v>
      </c>
      <c r="I159" t="s">
        <v>1597</v>
      </c>
      <c r="J159">
        <v>11207</v>
      </c>
      <c r="K159" t="s">
        <v>424</v>
      </c>
      <c r="L159" t="s">
        <v>424</v>
      </c>
      <c r="M159" t="s">
        <v>1761</v>
      </c>
      <c r="N159" t="s">
        <v>436</v>
      </c>
      <c r="O159" t="s">
        <v>445</v>
      </c>
      <c r="Q159" t="s">
        <v>450</v>
      </c>
      <c r="T159" t="s">
        <v>453</v>
      </c>
      <c r="W159">
        <v>1100</v>
      </c>
      <c r="X159" t="s">
        <v>458</v>
      </c>
      <c r="Y159" t="s">
        <v>465</v>
      </c>
      <c r="AA159" t="s">
        <v>1999</v>
      </c>
      <c r="AC159" t="s">
        <v>2301</v>
      </c>
      <c r="AD159">
        <v>6</v>
      </c>
      <c r="AE159" t="s">
        <v>2419</v>
      </c>
      <c r="AF159" t="s">
        <v>626</v>
      </c>
      <c r="AG159">
        <v>-8</v>
      </c>
      <c r="AH159">
        <v>2</v>
      </c>
      <c r="AI159">
        <v>0</v>
      </c>
      <c r="AJ159">
        <v>194.41</v>
      </c>
      <c r="AM159" t="s">
        <v>629</v>
      </c>
      <c r="AN159">
        <v>32000</v>
      </c>
      <c r="AT159">
        <v>78.8</v>
      </c>
      <c r="AU159" t="s">
        <v>843</v>
      </c>
      <c r="AV159" t="s">
        <v>669</v>
      </c>
    </row>
    <row r="160" spans="1:49">
      <c r="A160" s="1">
        <f>HYPERLINK("https://lsnyc.legalserver.org/matter/dynamic-profile/view/1875894","18-1875894")</f>
        <v>0</v>
      </c>
      <c r="B160" t="s">
        <v>689</v>
      </c>
      <c r="C160" t="s">
        <v>55</v>
      </c>
      <c r="D160" t="s">
        <v>761</v>
      </c>
      <c r="F160" t="s">
        <v>982</v>
      </c>
      <c r="G160" t="s">
        <v>1228</v>
      </c>
      <c r="H160" t="s">
        <v>1472</v>
      </c>
      <c r="I160">
        <v>1</v>
      </c>
      <c r="J160">
        <v>11208</v>
      </c>
      <c r="K160" t="s">
        <v>423</v>
      </c>
      <c r="L160" t="s">
        <v>422</v>
      </c>
      <c r="M160" t="s">
        <v>1762</v>
      </c>
      <c r="N160" t="s">
        <v>437</v>
      </c>
      <c r="Q160" t="s">
        <v>450</v>
      </c>
      <c r="R160" t="s">
        <v>423</v>
      </c>
      <c r="T160" t="s">
        <v>453</v>
      </c>
      <c r="W160">
        <v>2000</v>
      </c>
      <c r="X160" t="s">
        <v>458</v>
      </c>
      <c r="Y160" t="s">
        <v>465</v>
      </c>
      <c r="AA160" t="s">
        <v>2000</v>
      </c>
      <c r="AC160" t="s">
        <v>2302</v>
      </c>
      <c r="AD160">
        <v>3</v>
      </c>
      <c r="AE160" t="s">
        <v>623</v>
      </c>
      <c r="AF160" t="s">
        <v>2431</v>
      </c>
      <c r="AG160">
        <v>1</v>
      </c>
      <c r="AH160">
        <v>1</v>
      </c>
      <c r="AI160">
        <v>3</v>
      </c>
      <c r="AJ160">
        <v>204.69</v>
      </c>
      <c r="AM160" t="s">
        <v>629</v>
      </c>
      <c r="AN160">
        <v>51376</v>
      </c>
      <c r="AT160">
        <v>14.7</v>
      </c>
      <c r="AU160" t="s">
        <v>2491</v>
      </c>
      <c r="AV160" t="s">
        <v>666</v>
      </c>
    </row>
    <row r="161" spans="1:49">
      <c r="A161" s="1">
        <f>HYPERLINK("https://lsnyc.legalserver.org/matter/dynamic-profile/view/1901332","19-1901332")</f>
        <v>0</v>
      </c>
      <c r="B161" t="s">
        <v>689</v>
      </c>
      <c r="C161" t="s">
        <v>55</v>
      </c>
      <c r="D161" t="s">
        <v>92</v>
      </c>
      <c r="F161" t="s">
        <v>983</v>
      </c>
      <c r="G161" t="s">
        <v>1229</v>
      </c>
      <c r="H161" t="s">
        <v>1473</v>
      </c>
      <c r="I161" t="s">
        <v>401</v>
      </c>
      <c r="J161">
        <v>11207</v>
      </c>
      <c r="K161" t="s">
        <v>423</v>
      </c>
      <c r="L161" t="s">
        <v>422</v>
      </c>
      <c r="M161" t="s">
        <v>1718</v>
      </c>
      <c r="N161" t="s">
        <v>435</v>
      </c>
      <c r="Q161" t="s">
        <v>450</v>
      </c>
      <c r="R161" t="s">
        <v>423</v>
      </c>
      <c r="T161" t="s">
        <v>453</v>
      </c>
      <c r="W161">
        <v>850</v>
      </c>
      <c r="X161" t="s">
        <v>458</v>
      </c>
      <c r="Y161" t="s">
        <v>460</v>
      </c>
      <c r="AA161" t="s">
        <v>2001</v>
      </c>
      <c r="AD161">
        <v>8</v>
      </c>
      <c r="AE161" t="s">
        <v>622</v>
      </c>
      <c r="AF161" t="s">
        <v>625</v>
      </c>
      <c r="AG161">
        <v>1</v>
      </c>
      <c r="AH161">
        <v>1</v>
      </c>
      <c r="AI161">
        <v>0</v>
      </c>
      <c r="AJ161">
        <v>240.19</v>
      </c>
      <c r="AM161" t="s">
        <v>629</v>
      </c>
      <c r="AN161">
        <v>30000</v>
      </c>
      <c r="AT161">
        <v>0.8</v>
      </c>
      <c r="AU161" t="s">
        <v>115</v>
      </c>
      <c r="AV161" t="s">
        <v>666</v>
      </c>
      <c r="AW161" t="s">
        <v>625</v>
      </c>
    </row>
    <row r="162" spans="1:49">
      <c r="A162" s="1">
        <f>HYPERLINK("https://lsnyc.legalserver.org/matter/dynamic-profile/view/1901618","19-1901618")</f>
        <v>0</v>
      </c>
      <c r="B162" t="s">
        <v>689</v>
      </c>
      <c r="C162" t="s">
        <v>55</v>
      </c>
      <c r="D162" t="s">
        <v>641</v>
      </c>
      <c r="F162" t="s">
        <v>984</v>
      </c>
      <c r="G162" t="s">
        <v>1230</v>
      </c>
      <c r="H162" t="s">
        <v>1474</v>
      </c>
      <c r="I162" t="s">
        <v>371</v>
      </c>
      <c r="J162">
        <v>11233</v>
      </c>
      <c r="K162" t="s">
        <v>424</v>
      </c>
      <c r="L162" t="s">
        <v>422</v>
      </c>
      <c r="M162" t="s">
        <v>1763</v>
      </c>
      <c r="N162" t="s">
        <v>437</v>
      </c>
      <c r="Q162" t="s">
        <v>450</v>
      </c>
      <c r="R162" t="s">
        <v>423</v>
      </c>
      <c r="T162" t="s">
        <v>453</v>
      </c>
      <c r="U162" t="s">
        <v>457</v>
      </c>
      <c r="W162">
        <v>1585</v>
      </c>
      <c r="X162" t="s">
        <v>458</v>
      </c>
      <c r="Y162" t="s">
        <v>1835</v>
      </c>
      <c r="AA162" t="s">
        <v>2002</v>
      </c>
      <c r="AB162" t="s">
        <v>625</v>
      </c>
      <c r="AC162" t="s">
        <v>2303</v>
      </c>
      <c r="AD162">
        <v>8</v>
      </c>
      <c r="AE162" t="s">
        <v>622</v>
      </c>
      <c r="AF162" t="s">
        <v>625</v>
      </c>
      <c r="AG162">
        <v>5</v>
      </c>
      <c r="AH162">
        <v>2</v>
      </c>
      <c r="AI162">
        <v>0</v>
      </c>
      <c r="AJ162">
        <v>285.04</v>
      </c>
      <c r="AM162" t="s">
        <v>629</v>
      </c>
      <c r="AN162">
        <v>48200</v>
      </c>
      <c r="AO162" t="s">
        <v>2459</v>
      </c>
      <c r="AT162">
        <v>2.45</v>
      </c>
      <c r="AU162" t="s">
        <v>137</v>
      </c>
      <c r="AV162" t="s">
        <v>666</v>
      </c>
      <c r="AW162" t="s">
        <v>671</v>
      </c>
    </row>
    <row r="163" spans="1:49">
      <c r="A163" s="1">
        <f>HYPERLINK("https://lsnyc.legalserver.org/matter/dynamic-profile/view/1883638","18-1883638")</f>
        <v>0</v>
      </c>
      <c r="B163" t="s">
        <v>689</v>
      </c>
      <c r="C163" t="s">
        <v>54</v>
      </c>
      <c r="D163" t="s">
        <v>722</v>
      </c>
      <c r="E163" t="s">
        <v>62</v>
      </c>
      <c r="F163" t="s">
        <v>204</v>
      </c>
      <c r="G163" t="s">
        <v>1231</v>
      </c>
      <c r="H163" t="s">
        <v>1475</v>
      </c>
      <c r="I163" t="s">
        <v>406</v>
      </c>
      <c r="J163">
        <v>11233</v>
      </c>
      <c r="K163" t="s">
        <v>422</v>
      </c>
      <c r="L163" t="s">
        <v>422</v>
      </c>
      <c r="M163" t="s">
        <v>1764</v>
      </c>
      <c r="N163" t="s">
        <v>437</v>
      </c>
      <c r="P163" t="s">
        <v>447</v>
      </c>
      <c r="Q163" t="s">
        <v>450</v>
      </c>
      <c r="R163" t="s">
        <v>423</v>
      </c>
      <c r="T163" t="s">
        <v>453</v>
      </c>
      <c r="W163">
        <v>1431</v>
      </c>
      <c r="X163" t="s">
        <v>458</v>
      </c>
      <c r="Y163" t="s">
        <v>460</v>
      </c>
      <c r="Z163" t="s">
        <v>470</v>
      </c>
      <c r="AA163" t="s">
        <v>2003</v>
      </c>
      <c r="AC163" t="s">
        <v>2304</v>
      </c>
      <c r="AD163">
        <v>287</v>
      </c>
      <c r="AE163" t="s">
        <v>622</v>
      </c>
      <c r="AF163" t="s">
        <v>625</v>
      </c>
      <c r="AG163">
        <v>4</v>
      </c>
      <c r="AH163">
        <v>2</v>
      </c>
      <c r="AI163">
        <v>0</v>
      </c>
      <c r="AJ163">
        <v>364.52</v>
      </c>
      <c r="AM163" t="s">
        <v>629</v>
      </c>
      <c r="AN163">
        <v>60000</v>
      </c>
      <c r="AT163">
        <v>2.8</v>
      </c>
      <c r="AU163" t="s">
        <v>792</v>
      </c>
      <c r="AV163" t="s">
        <v>664</v>
      </c>
    </row>
    <row r="164" spans="1:49">
      <c r="A164" s="1">
        <f>HYPERLINK("https://lsnyc.legalserver.org/matter/dynamic-profile/view/1900424","19-1900424")</f>
        <v>0</v>
      </c>
      <c r="B164" t="s">
        <v>690</v>
      </c>
      <c r="C164" t="s">
        <v>54</v>
      </c>
      <c r="D164" t="s">
        <v>714</v>
      </c>
      <c r="E164" t="s">
        <v>719</v>
      </c>
      <c r="F164" t="s">
        <v>983</v>
      </c>
      <c r="G164" t="s">
        <v>1232</v>
      </c>
      <c r="H164" t="s">
        <v>1476</v>
      </c>
      <c r="I164" t="s">
        <v>1600</v>
      </c>
      <c r="J164">
        <v>11239</v>
      </c>
      <c r="K164" t="s">
        <v>423</v>
      </c>
      <c r="L164" t="s">
        <v>422</v>
      </c>
      <c r="M164" t="s">
        <v>1718</v>
      </c>
      <c r="N164" t="s">
        <v>1818</v>
      </c>
      <c r="P164" t="s">
        <v>447</v>
      </c>
      <c r="Q164" t="s">
        <v>450</v>
      </c>
      <c r="R164" t="s">
        <v>423</v>
      </c>
      <c r="T164" t="s">
        <v>453</v>
      </c>
      <c r="U164" t="s">
        <v>457</v>
      </c>
      <c r="W164">
        <v>0</v>
      </c>
      <c r="X164" t="s">
        <v>458</v>
      </c>
      <c r="Y164" t="s">
        <v>462</v>
      </c>
      <c r="Z164" t="s">
        <v>470</v>
      </c>
      <c r="AA164" t="s">
        <v>2004</v>
      </c>
      <c r="AC164" t="s">
        <v>2305</v>
      </c>
      <c r="AD164">
        <v>24</v>
      </c>
      <c r="AF164" t="s">
        <v>626</v>
      </c>
      <c r="AG164">
        <v>6</v>
      </c>
      <c r="AH164">
        <v>1</v>
      </c>
      <c r="AI164">
        <v>0</v>
      </c>
      <c r="AJ164">
        <v>0</v>
      </c>
      <c r="AM164" t="s">
        <v>629</v>
      </c>
      <c r="AN164">
        <v>0</v>
      </c>
      <c r="AT164">
        <v>2.75</v>
      </c>
      <c r="AU164" t="s">
        <v>719</v>
      </c>
      <c r="AV164" t="s">
        <v>663</v>
      </c>
      <c r="AW164" t="s">
        <v>625</v>
      </c>
    </row>
    <row r="165" spans="1:49">
      <c r="A165" s="1">
        <f>HYPERLINK("https://lsnyc.legalserver.org/matter/dynamic-profile/view/1882630","18-1882630")</f>
        <v>0</v>
      </c>
      <c r="B165" t="s">
        <v>690</v>
      </c>
      <c r="C165" t="s">
        <v>54</v>
      </c>
      <c r="D165" t="s">
        <v>107</v>
      </c>
      <c r="E165" t="s">
        <v>139</v>
      </c>
      <c r="F165" t="s">
        <v>985</v>
      </c>
      <c r="G165" t="s">
        <v>1233</v>
      </c>
      <c r="H165" t="s">
        <v>355</v>
      </c>
      <c r="I165" t="s">
        <v>402</v>
      </c>
      <c r="J165">
        <v>11233</v>
      </c>
      <c r="K165" t="s">
        <v>424</v>
      </c>
      <c r="L165" t="s">
        <v>424</v>
      </c>
      <c r="N165" t="s">
        <v>438</v>
      </c>
      <c r="O165" t="s">
        <v>442</v>
      </c>
      <c r="P165" t="s">
        <v>449</v>
      </c>
      <c r="Q165" t="s">
        <v>450</v>
      </c>
      <c r="R165" t="s">
        <v>423</v>
      </c>
      <c r="T165" t="s">
        <v>454</v>
      </c>
      <c r="U165" t="s">
        <v>456</v>
      </c>
      <c r="W165">
        <v>800</v>
      </c>
      <c r="X165" t="s">
        <v>458</v>
      </c>
      <c r="Y165" t="s">
        <v>465</v>
      </c>
      <c r="Z165" t="s">
        <v>1849</v>
      </c>
      <c r="AA165" t="s">
        <v>2005</v>
      </c>
      <c r="AB165">
        <v>88034031</v>
      </c>
      <c r="AC165" t="s">
        <v>2306</v>
      </c>
      <c r="AD165">
        <v>2</v>
      </c>
      <c r="AE165" t="s">
        <v>623</v>
      </c>
      <c r="AF165" t="s">
        <v>628</v>
      </c>
      <c r="AG165">
        <v>2</v>
      </c>
      <c r="AH165">
        <v>1</v>
      </c>
      <c r="AI165">
        <v>0</v>
      </c>
      <c r="AJ165">
        <v>0</v>
      </c>
      <c r="AM165" t="s">
        <v>631</v>
      </c>
      <c r="AN165">
        <v>0</v>
      </c>
      <c r="AT165">
        <v>1.5</v>
      </c>
      <c r="AU165" t="s">
        <v>131</v>
      </c>
      <c r="AV165" t="s">
        <v>666</v>
      </c>
    </row>
    <row r="166" spans="1:49">
      <c r="A166" s="1">
        <f>HYPERLINK("https://lsnyc.legalserver.org/matter/dynamic-profile/view/1880532","18-1880532")</f>
        <v>0</v>
      </c>
      <c r="B166" t="s">
        <v>690</v>
      </c>
      <c r="C166" t="s">
        <v>54</v>
      </c>
      <c r="D166" t="s">
        <v>715</v>
      </c>
      <c r="E166" t="s">
        <v>836</v>
      </c>
      <c r="F166" t="s">
        <v>986</v>
      </c>
      <c r="G166" t="s">
        <v>1234</v>
      </c>
      <c r="H166" t="s">
        <v>1477</v>
      </c>
      <c r="I166" t="s">
        <v>1612</v>
      </c>
      <c r="J166">
        <v>11208</v>
      </c>
      <c r="K166" t="s">
        <v>423</v>
      </c>
      <c r="L166" t="s">
        <v>423</v>
      </c>
      <c r="M166" t="s">
        <v>435</v>
      </c>
      <c r="N166" t="s">
        <v>1819</v>
      </c>
      <c r="P166" t="s">
        <v>447</v>
      </c>
      <c r="Q166" t="s">
        <v>450</v>
      </c>
      <c r="R166" t="s">
        <v>423</v>
      </c>
      <c r="T166" t="s">
        <v>453</v>
      </c>
      <c r="U166" t="s">
        <v>457</v>
      </c>
      <c r="W166">
        <v>1350</v>
      </c>
      <c r="X166" t="s">
        <v>458</v>
      </c>
      <c r="Y166" t="s">
        <v>467</v>
      </c>
      <c r="Z166" t="s">
        <v>470</v>
      </c>
      <c r="AA166" t="s">
        <v>2006</v>
      </c>
      <c r="AB166" t="s">
        <v>2153</v>
      </c>
      <c r="AC166" t="s">
        <v>2307</v>
      </c>
      <c r="AD166">
        <v>32</v>
      </c>
      <c r="AE166" t="s">
        <v>622</v>
      </c>
      <c r="AF166" t="s">
        <v>625</v>
      </c>
      <c r="AG166">
        <v>0</v>
      </c>
      <c r="AH166">
        <v>1</v>
      </c>
      <c r="AI166">
        <v>2</v>
      </c>
      <c r="AJ166">
        <v>0</v>
      </c>
      <c r="AM166" t="s">
        <v>629</v>
      </c>
      <c r="AN166">
        <v>0</v>
      </c>
      <c r="AT166">
        <v>2</v>
      </c>
      <c r="AU166" t="s">
        <v>836</v>
      </c>
      <c r="AV166" t="s">
        <v>670</v>
      </c>
    </row>
    <row r="167" spans="1:49">
      <c r="A167" s="1">
        <f>HYPERLINK("https://lsnyc.legalserver.org/matter/dynamic-profile/view/1880394","18-1880394")</f>
        <v>0</v>
      </c>
      <c r="B167" t="s">
        <v>690</v>
      </c>
      <c r="C167" t="s">
        <v>54</v>
      </c>
      <c r="D167" t="s">
        <v>780</v>
      </c>
      <c r="E167" t="s">
        <v>713</v>
      </c>
      <c r="F167" t="s">
        <v>987</v>
      </c>
      <c r="G167" t="s">
        <v>1235</v>
      </c>
      <c r="H167" t="s">
        <v>1348</v>
      </c>
      <c r="I167" t="s">
        <v>1652</v>
      </c>
      <c r="J167">
        <v>11208</v>
      </c>
      <c r="K167" t="s">
        <v>423</v>
      </c>
      <c r="L167" t="s">
        <v>423</v>
      </c>
      <c r="M167" t="s">
        <v>435</v>
      </c>
      <c r="N167" t="s">
        <v>1813</v>
      </c>
      <c r="O167" t="s">
        <v>441</v>
      </c>
      <c r="P167" t="s">
        <v>447</v>
      </c>
      <c r="Q167" t="s">
        <v>450</v>
      </c>
      <c r="R167" t="s">
        <v>423</v>
      </c>
      <c r="T167" t="s">
        <v>453</v>
      </c>
      <c r="U167" t="s">
        <v>457</v>
      </c>
      <c r="W167">
        <v>996.0599999999999</v>
      </c>
      <c r="X167" t="s">
        <v>458</v>
      </c>
      <c r="Y167" t="s">
        <v>1837</v>
      </c>
      <c r="Z167" t="s">
        <v>470</v>
      </c>
      <c r="AA167" t="s">
        <v>2007</v>
      </c>
      <c r="AB167" t="s">
        <v>621</v>
      </c>
      <c r="AC167" t="s">
        <v>2308</v>
      </c>
      <c r="AD167">
        <v>294</v>
      </c>
      <c r="AE167" t="s">
        <v>2419</v>
      </c>
      <c r="AF167" t="s">
        <v>626</v>
      </c>
      <c r="AG167">
        <v>23</v>
      </c>
      <c r="AH167">
        <v>1</v>
      </c>
      <c r="AI167">
        <v>0</v>
      </c>
      <c r="AJ167">
        <v>0</v>
      </c>
      <c r="AM167" t="s">
        <v>629</v>
      </c>
      <c r="AN167">
        <v>0</v>
      </c>
      <c r="AT167">
        <v>1.5</v>
      </c>
      <c r="AU167" t="s">
        <v>713</v>
      </c>
      <c r="AV167" t="s">
        <v>666</v>
      </c>
    </row>
    <row r="168" spans="1:49">
      <c r="A168" s="1">
        <f>HYPERLINK("https://lsnyc.legalserver.org/matter/dynamic-profile/view/1882928","18-1882928")</f>
        <v>0</v>
      </c>
      <c r="B168" t="s">
        <v>690</v>
      </c>
      <c r="C168" t="s">
        <v>54</v>
      </c>
      <c r="D168" t="s">
        <v>90</v>
      </c>
      <c r="E168" t="s">
        <v>837</v>
      </c>
      <c r="F168" t="s">
        <v>988</v>
      </c>
      <c r="G168" t="s">
        <v>231</v>
      </c>
      <c r="H168" t="s">
        <v>1478</v>
      </c>
      <c r="I168" t="s">
        <v>393</v>
      </c>
      <c r="J168">
        <v>11207</v>
      </c>
      <c r="K168" t="s">
        <v>423</v>
      </c>
      <c r="L168" t="s">
        <v>423</v>
      </c>
      <c r="N168" t="s">
        <v>435</v>
      </c>
      <c r="O168" t="s">
        <v>441</v>
      </c>
      <c r="P168" t="s">
        <v>447</v>
      </c>
      <c r="Q168" t="s">
        <v>450</v>
      </c>
      <c r="R168" t="s">
        <v>423</v>
      </c>
      <c r="T168" t="s">
        <v>453</v>
      </c>
      <c r="W168">
        <v>1239</v>
      </c>
      <c r="X168" t="s">
        <v>458</v>
      </c>
      <c r="Y168" t="s">
        <v>1838</v>
      </c>
      <c r="Z168" t="s">
        <v>470</v>
      </c>
      <c r="AA168" t="s">
        <v>2008</v>
      </c>
      <c r="AB168" t="s">
        <v>2142</v>
      </c>
      <c r="AD168">
        <v>0</v>
      </c>
      <c r="AE168" t="s">
        <v>622</v>
      </c>
      <c r="AF168" t="s">
        <v>625</v>
      </c>
      <c r="AG168">
        <v>0</v>
      </c>
      <c r="AH168">
        <v>3</v>
      </c>
      <c r="AI168">
        <v>0</v>
      </c>
      <c r="AJ168">
        <v>0</v>
      </c>
      <c r="AM168" t="s">
        <v>629</v>
      </c>
      <c r="AN168">
        <v>0</v>
      </c>
      <c r="AO168" t="s">
        <v>2460</v>
      </c>
      <c r="AT168">
        <v>0.92</v>
      </c>
      <c r="AU168" t="s">
        <v>837</v>
      </c>
      <c r="AV168" t="s">
        <v>2513</v>
      </c>
    </row>
    <row r="169" spans="1:49">
      <c r="A169" s="1">
        <f>HYPERLINK("https://lsnyc.legalserver.org/matter/dynamic-profile/view/1897808","19-1897808")</f>
        <v>0</v>
      </c>
      <c r="B169" t="s">
        <v>690</v>
      </c>
      <c r="C169" t="s">
        <v>54</v>
      </c>
      <c r="D169" t="s">
        <v>133</v>
      </c>
      <c r="E169" t="s">
        <v>138</v>
      </c>
      <c r="F169" t="s">
        <v>989</v>
      </c>
      <c r="G169" t="s">
        <v>1214</v>
      </c>
      <c r="H169" t="s">
        <v>1479</v>
      </c>
      <c r="J169">
        <v>11207</v>
      </c>
      <c r="K169" t="s">
        <v>423</v>
      </c>
      <c r="L169" t="s">
        <v>423</v>
      </c>
      <c r="N169" t="s">
        <v>435</v>
      </c>
      <c r="O169" t="s">
        <v>441</v>
      </c>
      <c r="P169" t="s">
        <v>447</v>
      </c>
      <c r="Q169" t="s">
        <v>450</v>
      </c>
      <c r="R169" t="s">
        <v>423</v>
      </c>
      <c r="T169" t="s">
        <v>454</v>
      </c>
      <c r="U169" t="s">
        <v>457</v>
      </c>
      <c r="W169">
        <v>0</v>
      </c>
      <c r="X169" t="s">
        <v>458</v>
      </c>
      <c r="Y169" t="s">
        <v>1841</v>
      </c>
      <c r="Z169" t="s">
        <v>1850</v>
      </c>
      <c r="AA169" t="s">
        <v>2009</v>
      </c>
      <c r="AC169" t="s">
        <v>2309</v>
      </c>
      <c r="AD169">
        <v>3</v>
      </c>
      <c r="AE169" t="s">
        <v>623</v>
      </c>
      <c r="AF169" t="s">
        <v>626</v>
      </c>
      <c r="AG169">
        <v>0</v>
      </c>
      <c r="AH169">
        <v>1</v>
      </c>
      <c r="AI169">
        <v>1</v>
      </c>
      <c r="AJ169">
        <v>0</v>
      </c>
      <c r="AM169" t="s">
        <v>629</v>
      </c>
      <c r="AN169">
        <v>0</v>
      </c>
      <c r="AO169" t="s">
        <v>2461</v>
      </c>
      <c r="AT169">
        <v>0.75</v>
      </c>
      <c r="AU169" t="s">
        <v>138</v>
      </c>
      <c r="AV169" t="s">
        <v>666</v>
      </c>
    </row>
    <row r="170" spans="1:49">
      <c r="A170" s="1">
        <f>HYPERLINK("https://lsnyc.legalserver.org/matter/dynamic-profile/view/1899905","19-1899905")</f>
        <v>0</v>
      </c>
      <c r="B170" t="s">
        <v>690</v>
      </c>
      <c r="C170" t="s">
        <v>55</v>
      </c>
      <c r="D170" t="s">
        <v>127</v>
      </c>
      <c r="F170" t="s">
        <v>990</v>
      </c>
      <c r="G170" t="s">
        <v>1236</v>
      </c>
      <c r="H170" t="s">
        <v>1480</v>
      </c>
      <c r="I170" t="s">
        <v>1653</v>
      </c>
      <c r="J170">
        <v>11207</v>
      </c>
      <c r="K170" t="s">
        <v>424</v>
      </c>
      <c r="L170" t="s">
        <v>422</v>
      </c>
      <c r="M170" t="s">
        <v>1765</v>
      </c>
      <c r="N170" t="s">
        <v>1820</v>
      </c>
      <c r="O170" t="s">
        <v>446</v>
      </c>
      <c r="Q170" t="s">
        <v>450</v>
      </c>
      <c r="R170" t="s">
        <v>423</v>
      </c>
      <c r="T170" t="s">
        <v>454</v>
      </c>
      <c r="U170" t="s">
        <v>456</v>
      </c>
      <c r="W170">
        <v>1699</v>
      </c>
      <c r="X170" t="s">
        <v>458</v>
      </c>
      <c r="Y170" t="s">
        <v>1836</v>
      </c>
      <c r="AA170" t="s">
        <v>2010</v>
      </c>
      <c r="AC170" t="s">
        <v>2310</v>
      </c>
      <c r="AD170">
        <v>168</v>
      </c>
      <c r="AE170" t="s">
        <v>2423</v>
      </c>
      <c r="AF170" t="s">
        <v>2430</v>
      </c>
      <c r="AG170">
        <v>23</v>
      </c>
      <c r="AH170">
        <v>1</v>
      </c>
      <c r="AI170">
        <v>0</v>
      </c>
      <c r="AJ170">
        <v>0</v>
      </c>
      <c r="AM170" t="s">
        <v>629</v>
      </c>
      <c r="AN170">
        <v>0</v>
      </c>
      <c r="AT170">
        <v>10.25</v>
      </c>
      <c r="AU170" t="s">
        <v>699</v>
      </c>
      <c r="AV170" t="s">
        <v>674</v>
      </c>
      <c r="AW170" t="s">
        <v>671</v>
      </c>
    </row>
    <row r="171" spans="1:49">
      <c r="A171" s="1">
        <f>HYPERLINK("https://lsnyc.legalserver.org/matter/dynamic-profile/view/1898908","19-1898908")</f>
        <v>0</v>
      </c>
      <c r="B171" t="s">
        <v>690</v>
      </c>
      <c r="C171" t="s">
        <v>55</v>
      </c>
      <c r="D171" t="s">
        <v>129</v>
      </c>
      <c r="F171" t="s">
        <v>897</v>
      </c>
      <c r="G171" t="s">
        <v>1237</v>
      </c>
      <c r="H171" t="s">
        <v>1481</v>
      </c>
      <c r="I171" t="s">
        <v>1648</v>
      </c>
      <c r="J171">
        <v>11208</v>
      </c>
      <c r="K171" t="s">
        <v>424</v>
      </c>
      <c r="L171" t="s">
        <v>423</v>
      </c>
      <c r="N171" t="s">
        <v>1821</v>
      </c>
      <c r="O171" t="s">
        <v>446</v>
      </c>
      <c r="Q171" t="s">
        <v>450</v>
      </c>
      <c r="R171" t="s">
        <v>423</v>
      </c>
      <c r="T171" t="s">
        <v>453</v>
      </c>
      <c r="U171" t="s">
        <v>456</v>
      </c>
      <c r="W171">
        <v>1297</v>
      </c>
      <c r="X171" t="s">
        <v>458</v>
      </c>
      <c r="AA171" t="s">
        <v>2011</v>
      </c>
      <c r="AB171">
        <v>4798867</v>
      </c>
      <c r="AC171" t="s">
        <v>2311</v>
      </c>
      <c r="AD171">
        <v>2</v>
      </c>
      <c r="AE171" t="s">
        <v>623</v>
      </c>
      <c r="AF171" t="s">
        <v>626</v>
      </c>
      <c r="AG171">
        <v>12</v>
      </c>
      <c r="AH171">
        <v>1</v>
      </c>
      <c r="AI171">
        <v>2</v>
      </c>
      <c r="AJ171">
        <v>14.14</v>
      </c>
      <c r="AM171" t="s">
        <v>629</v>
      </c>
      <c r="AN171">
        <v>3016</v>
      </c>
      <c r="AT171">
        <v>5.5</v>
      </c>
      <c r="AU171" t="s">
        <v>843</v>
      </c>
      <c r="AV171" t="s">
        <v>666</v>
      </c>
      <c r="AW171" t="s">
        <v>2528</v>
      </c>
    </row>
    <row r="172" spans="1:49">
      <c r="A172" s="1">
        <f>HYPERLINK("https://lsnyc.legalserver.org/matter/dynamic-profile/view/1880293","18-1880293")</f>
        <v>0</v>
      </c>
      <c r="B172" t="s">
        <v>690</v>
      </c>
      <c r="C172" t="s">
        <v>55</v>
      </c>
      <c r="D172" t="s">
        <v>780</v>
      </c>
      <c r="F172" t="s">
        <v>991</v>
      </c>
      <c r="G172" t="s">
        <v>1238</v>
      </c>
      <c r="H172" t="s">
        <v>1445</v>
      </c>
      <c r="I172" t="s">
        <v>1654</v>
      </c>
      <c r="J172">
        <v>11208</v>
      </c>
      <c r="K172" t="s">
        <v>424</v>
      </c>
      <c r="L172" t="s">
        <v>424</v>
      </c>
      <c r="M172" t="s">
        <v>1766</v>
      </c>
      <c r="N172" t="s">
        <v>1822</v>
      </c>
      <c r="O172" t="s">
        <v>446</v>
      </c>
      <c r="Q172" t="s">
        <v>450</v>
      </c>
      <c r="T172" t="s">
        <v>454</v>
      </c>
      <c r="W172">
        <v>1186</v>
      </c>
      <c r="X172" t="s">
        <v>458</v>
      </c>
      <c r="Y172" t="s">
        <v>465</v>
      </c>
      <c r="AA172" t="s">
        <v>2012</v>
      </c>
      <c r="AB172" t="s">
        <v>2154</v>
      </c>
      <c r="AC172" t="s">
        <v>2312</v>
      </c>
      <c r="AD172">
        <v>0</v>
      </c>
      <c r="AG172">
        <v>11</v>
      </c>
      <c r="AH172">
        <v>1</v>
      </c>
      <c r="AI172">
        <v>1</v>
      </c>
      <c r="AJ172">
        <v>15.48</v>
      </c>
      <c r="AM172" t="s">
        <v>629</v>
      </c>
      <c r="AN172">
        <v>2548</v>
      </c>
      <c r="AT172">
        <v>105.3</v>
      </c>
      <c r="AU172" t="s">
        <v>122</v>
      </c>
      <c r="AV172" t="s">
        <v>2523</v>
      </c>
    </row>
    <row r="173" spans="1:49">
      <c r="A173" s="1">
        <f>HYPERLINK("https://lsnyc.legalserver.org/matter/dynamic-profile/view/1902531","19-1902531")</f>
        <v>0</v>
      </c>
      <c r="B173" t="s">
        <v>690</v>
      </c>
      <c r="C173" t="s">
        <v>55</v>
      </c>
      <c r="D173" t="s">
        <v>104</v>
      </c>
      <c r="F173" t="s">
        <v>992</v>
      </c>
      <c r="G173" t="s">
        <v>1239</v>
      </c>
      <c r="H173" t="s">
        <v>1482</v>
      </c>
      <c r="I173" t="s">
        <v>1600</v>
      </c>
      <c r="J173">
        <v>11207</v>
      </c>
      <c r="K173" t="s">
        <v>423</v>
      </c>
      <c r="L173" t="s">
        <v>422</v>
      </c>
      <c r="M173" t="s">
        <v>625</v>
      </c>
      <c r="N173" t="s">
        <v>435</v>
      </c>
      <c r="Q173" t="s">
        <v>450</v>
      </c>
      <c r="R173" t="s">
        <v>423</v>
      </c>
      <c r="T173" t="s">
        <v>453</v>
      </c>
      <c r="U173" t="s">
        <v>457</v>
      </c>
      <c r="W173">
        <v>927</v>
      </c>
      <c r="X173" t="s">
        <v>458</v>
      </c>
      <c r="Y173" t="s">
        <v>1836</v>
      </c>
      <c r="AA173" t="s">
        <v>2013</v>
      </c>
      <c r="AB173" t="s">
        <v>2150</v>
      </c>
      <c r="AC173" t="s">
        <v>2313</v>
      </c>
      <c r="AD173">
        <v>3</v>
      </c>
      <c r="AE173" t="s">
        <v>622</v>
      </c>
      <c r="AF173" t="s">
        <v>626</v>
      </c>
      <c r="AG173">
        <v>7</v>
      </c>
      <c r="AH173">
        <v>1</v>
      </c>
      <c r="AI173">
        <v>1</v>
      </c>
      <c r="AJ173">
        <v>21.29</v>
      </c>
      <c r="AM173" t="s">
        <v>629</v>
      </c>
      <c r="AN173">
        <v>3600</v>
      </c>
      <c r="AT173">
        <v>1.25</v>
      </c>
      <c r="AU173" t="s">
        <v>122</v>
      </c>
      <c r="AV173" t="s">
        <v>663</v>
      </c>
      <c r="AW173" t="s">
        <v>625</v>
      </c>
    </row>
    <row r="174" spans="1:49">
      <c r="A174" s="1">
        <f>HYPERLINK("https://lsnyc.legalserver.org/matter/dynamic-profile/view/1885530","18-1885530")</f>
        <v>0</v>
      </c>
      <c r="B174" t="s">
        <v>690</v>
      </c>
      <c r="C174" t="s">
        <v>55</v>
      </c>
      <c r="D174" t="s">
        <v>785</v>
      </c>
      <c r="F174" t="s">
        <v>215</v>
      </c>
      <c r="G174" t="s">
        <v>1240</v>
      </c>
      <c r="H174" t="s">
        <v>1483</v>
      </c>
      <c r="I174" t="s">
        <v>399</v>
      </c>
      <c r="J174">
        <v>11212</v>
      </c>
      <c r="K174" t="s">
        <v>424</v>
      </c>
      <c r="L174" t="s">
        <v>422</v>
      </c>
      <c r="M174" t="s">
        <v>1767</v>
      </c>
      <c r="N174" t="s">
        <v>1819</v>
      </c>
      <c r="O174" t="s">
        <v>446</v>
      </c>
      <c r="Q174" t="s">
        <v>450</v>
      </c>
      <c r="T174" t="s">
        <v>454</v>
      </c>
      <c r="W174">
        <v>508</v>
      </c>
      <c r="X174" t="s">
        <v>458</v>
      </c>
      <c r="Y174" t="s">
        <v>465</v>
      </c>
      <c r="AA174" t="s">
        <v>2014</v>
      </c>
      <c r="AC174" t="s">
        <v>2314</v>
      </c>
      <c r="AD174">
        <v>23</v>
      </c>
      <c r="AG174">
        <v>32</v>
      </c>
      <c r="AH174">
        <v>1</v>
      </c>
      <c r="AI174">
        <v>1</v>
      </c>
      <c r="AJ174">
        <v>37.69</v>
      </c>
      <c r="AM174" t="s">
        <v>629</v>
      </c>
      <c r="AN174">
        <v>6204</v>
      </c>
      <c r="AT174">
        <v>11.75</v>
      </c>
      <c r="AU174" t="s">
        <v>138</v>
      </c>
      <c r="AV174" t="s">
        <v>2522</v>
      </c>
    </row>
    <row r="175" spans="1:49">
      <c r="A175" s="1">
        <f>HYPERLINK("https://lsnyc.legalserver.org/matter/dynamic-profile/view/1882639","18-1882639")</f>
        <v>0</v>
      </c>
      <c r="B175" t="s">
        <v>690</v>
      </c>
      <c r="C175" t="s">
        <v>54</v>
      </c>
      <c r="D175" t="s">
        <v>107</v>
      </c>
      <c r="E175" t="s">
        <v>139</v>
      </c>
      <c r="F175" t="s">
        <v>993</v>
      </c>
      <c r="G175" t="s">
        <v>1241</v>
      </c>
      <c r="H175" t="s">
        <v>355</v>
      </c>
      <c r="I175" t="s">
        <v>1655</v>
      </c>
      <c r="J175">
        <v>11233</v>
      </c>
      <c r="K175" t="s">
        <v>424</v>
      </c>
      <c r="L175" t="s">
        <v>424</v>
      </c>
      <c r="N175" t="s">
        <v>438</v>
      </c>
      <c r="O175" t="s">
        <v>442</v>
      </c>
      <c r="P175" t="s">
        <v>449</v>
      </c>
      <c r="Q175" t="s">
        <v>450</v>
      </c>
      <c r="R175" t="s">
        <v>423</v>
      </c>
      <c r="T175" t="s">
        <v>454</v>
      </c>
      <c r="U175" t="s">
        <v>456</v>
      </c>
      <c r="W175">
        <v>2394</v>
      </c>
      <c r="X175" t="s">
        <v>458</v>
      </c>
      <c r="Y175" t="s">
        <v>465</v>
      </c>
      <c r="Z175" t="s">
        <v>1849</v>
      </c>
      <c r="AA175" t="s">
        <v>2015</v>
      </c>
      <c r="AB175" t="s">
        <v>2155</v>
      </c>
      <c r="AC175" t="s">
        <v>2315</v>
      </c>
      <c r="AD175">
        <v>2</v>
      </c>
      <c r="AE175" t="s">
        <v>623</v>
      </c>
      <c r="AF175" t="s">
        <v>628</v>
      </c>
      <c r="AG175">
        <v>1</v>
      </c>
      <c r="AH175">
        <v>2</v>
      </c>
      <c r="AI175">
        <v>0</v>
      </c>
      <c r="AJ175">
        <v>54.68</v>
      </c>
      <c r="AM175" t="s">
        <v>629</v>
      </c>
      <c r="AN175">
        <v>9000</v>
      </c>
      <c r="AO175" t="s">
        <v>2462</v>
      </c>
      <c r="AT175">
        <v>3</v>
      </c>
      <c r="AU175" t="s">
        <v>131</v>
      </c>
      <c r="AV175" t="s">
        <v>666</v>
      </c>
    </row>
    <row r="176" spans="1:49">
      <c r="A176" s="1">
        <f>HYPERLINK("https://lsnyc.legalserver.org/matter/dynamic-profile/view/1901690","19-1901690")</f>
        <v>0</v>
      </c>
      <c r="B176" t="s">
        <v>690</v>
      </c>
      <c r="C176" t="s">
        <v>55</v>
      </c>
      <c r="D176" t="s">
        <v>120</v>
      </c>
      <c r="F176" t="s">
        <v>916</v>
      </c>
      <c r="G176" t="s">
        <v>272</v>
      </c>
      <c r="H176" t="s">
        <v>1484</v>
      </c>
      <c r="I176" t="s">
        <v>402</v>
      </c>
      <c r="J176">
        <v>11208</v>
      </c>
      <c r="K176" t="s">
        <v>423</v>
      </c>
      <c r="L176" t="s">
        <v>422</v>
      </c>
      <c r="N176" t="s">
        <v>435</v>
      </c>
      <c r="Q176" t="s">
        <v>450</v>
      </c>
      <c r="R176" t="s">
        <v>423</v>
      </c>
      <c r="T176" t="s">
        <v>453</v>
      </c>
      <c r="U176" t="s">
        <v>457</v>
      </c>
      <c r="W176">
        <v>2300</v>
      </c>
      <c r="X176" t="s">
        <v>458</v>
      </c>
      <c r="Y176" t="s">
        <v>464</v>
      </c>
      <c r="AA176" t="s">
        <v>2016</v>
      </c>
      <c r="AB176" t="s">
        <v>1720</v>
      </c>
      <c r="AC176" t="s">
        <v>2316</v>
      </c>
      <c r="AD176">
        <v>2</v>
      </c>
      <c r="AE176" t="s">
        <v>623</v>
      </c>
      <c r="AF176" t="s">
        <v>625</v>
      </c>
      <c r="AG176">
        <v>0</v>
      </c>
      <c r="AH176">
        <v>2</v>
      </c>
      <c r="AI176">
        <v>1</v>
      </c>
      <c r="AJ176">
        <v>54.85</v>
      </c>
      <c r="AM176" t="s">
        <v>629</v>
      </c>
      <c r="AN176">
        <v>11700</v>
      </c>
      <c r="AT176">
        <v>0.75</v>
      </c>
      <c r="AU176" t="s">
        <v>122</v>
      </c>
      <c r="AV176" t="s">
        <v>666</v>
      </c>
      <c r="AW176" t="s">
        <v>625</v>
      </c>
    </row>
    <row r="177" spans="1:49">
      <c r="A177" s="1">
        <f>HYPERLINK("https://lsnyc.legalserver.org/matter/dynamic-profile/view/1901176","19-1901176")</f>
        <v>0</v>
      </c>
      <c r="B177" t="s">
        <v>690</v>
      </c>
      <c r="C177" t="s">
        <v>55</v>
      </c>
      <c r="D177" t="s">
        <v>786</v>
      </c>
      <c r="F177" t="s">
        <v>994</v>
      </c>
      <c r="G177" t="s">
        <v>237</v>
      </c>
      <c r="H177" t="s">
        <v>1485</v>
      </c>
      <c r="I177" t="s">
        <v>1622</v>
      </c>
      <c r="J177">
        <v>11233</v>
      </c>
      <c r="K177" t="s">
        <v>424</v>
      </c>
      <c r="L177" t="s">
        <v>422</v>
      </c>
      <c r="N177" t="s">
        <v>435</v>
      </c>
      <c r="O177" t="s">
        <v>446</v>
      </c>
      <c r="Q177" t="s">
        <v>450</v>
      </c>
      <c r="R177" t="s">
        <v>423</v>
      </c>
      <c r="T177" t="s">
        <v>453</v>
      </c>
      <c r="U177" t="s">
        <v>457</v>
      </c>
      <c r="W177">
        <v>1546.83</v>
      </c>
      <c r="X177" t="s">
        <v>458</v>
      </c>
      <c r="Y177" t="s">
        <v>460</v>
      </c>
      <c r="AA177" t="s">
        <v>2017</v>
      </c>
      <c r="AC177" t="s">
        <v>2317</v>
      </c>
      <c r="AD177">
        <v>16</v>
      </c>
      <c r="AE177" t="s">
        <v>622</v>
      </c>
      <c r="AF177" t="s">
        <v>626</v>
      </c>
      <c r="AG177">
        <v>9</v>
      </c>
      <c r="AH177">
        <v>1</v>
      </c>
      <c r="AI177">
        <v>2</v>
      </c>
      <c r="AJ177">
        <v>57.33</v>
      </c>
      <c r="AM177" t="s">
        <v>629</v>
      </c>
      <c r="AN177">
        <v>12228</v>
      </c>
      <c r="AT177">
        <v>10.25</v>
      </c>
      <c r="AU177" t="s">
        <v>122</v>
      </c>
      <c r="AV177" t="s">
        <v>666</v>
      </c>
      <c r="AW177" t="s">
        <v>671</v>
      </c>
    </row>
    <row r="178" spans="1:49">
      <c r="A178" s="1">
        <f>HYPERLINK("https://lsnyc.legalserver.org/matter/dynamic-profile/view/1874946","18-1874946")</f>
        <v>0</v>
      </c>
      <c r="B178" t="s">
        <v>690</v>
      </c>
      <c r="C178" t="s">
        <v>54</v>
      </c>
      <c r="D178" t="s">
        <v>787</v>
      </c>
      <c r="E178" t="s">
        <v>795</v>
      </c>
      <c r="F178" t="s">
        <v>995</v>
      </c>
      <c r="G178" t="s">
        <v>1242</v>
      </c>
      <c r="H178" t="s">
        <v>1486</v>
      </c>
      <c r="I178">
        <v>122</v>
      </c>
      <c r="J178">
        <v>11208</v>
      </c>
      <c r="K178" t="s">
        <v>423</v>
      </c>
      <c r="L178" t="s">
        <v>423</v>
      </c>
      <c r="M178" t="s">
        <v>435</v>
      </c>
      <c r="N178" t="s">
        <v>1820</v>
      </c>
      <c r="P178" t="s">
        <v>447</v>
      </c>
      <c r="Q178" t="s">
        <v>450</v>
      </c>
      <c r="R178" t="s">
        <v>423</v>
      </c>
      <c r="T178" t="s">
        <v>453</v>
      </c>
      <c r="U178" t="s">
        <v>457</v>
      </c>
      <c r="W178">
        <v>1200</v>
      </c>
      <c r="X178" t="s">
        <v>458</v>
      </c>
      <c r="Z178" t="s">
        <v>470</v>
      </c>
      <c r="AA178" t="s">
        <v>2018</v>
      </c>
      <c r="AB178" t="s">
        <v>2156</v>
      </c>
      <c r="AC178" t="s">
        <v>2318</v>
      </c>
      <c r="AD178">
        <v>266</v>
      </c>
      <c r="AE178" t="s">
        <v>621</v>
      </c>
      <c r="AF178" t="s">
        <v>2429</v>
      </c>
      <c r="AG178">
        <v>2</v>
      </c>
      <c r="AH178">
        <v>1</v>
      </c>
      <c r="AI178">
        <v>0</v>
      </c>
      <c r="AJ178">
        <v>69.18000000000001</v>
      </c>
      <c r="AM178" t="s">
        <v>629</v>
      </c>
      <c r="AN178">
        <v>8640</v>
      </c>
      <c r="AT178">
        <v>1.5</v>
      </c>
      <c r="AU178" t="s">
        <v>760</v>
      </c>
      <c r="AV178" t="s">
        <v>666</v>
      </c>
    </row>
    <row r="179" spans="1:49">
      <c r="A179" s="1">
        <f>HYPERLINK("https://lsnyc.legalserver.org/matter/dynamic-profile/view/1895220","19-1895220")</f>
        <v>0</v>
      </c>
      <c r="B179" t="s">
        <v>690</v>
      </c>
      <c r="C179" t="s">
        <v>55</v>
      </c>
      <c r="D179" t="s">
        <v>788</v>
      </c>
      <c r="F179" t="s">
        <v>883</v>
      </c>
      <c r="G179" t="s">
        <v>1243</v>
      </c>
      <c r="H179" t="s">
        <v>1487</v>
      </c>
      <c r="I179" t="s">
        <v>375</v>
      </c>
      <c r="J179">
        <v>11233</v>
      </c>
      <c r="K179" t="s">
        <v>423</v>
      </c>
      <c r="L179" t="s">
        <v>423</v>
      </c>
      <c r="M179" t="s">
        <v>625</v>
      </c>
      <c r="N179" t="s">
        <v>1822</v>
      </c>
      <c r="O179" t="s">
        <v>442</v>
      </c>
      <c r="Q179" t="s">
        <v>450</v>
      </c>
      <c r="R179" t="s">
        <v>423</v>
      </c>
      <c r="T179" t="s">
        <v>454</v>
      </c>
      <c r="U179" t="s">
        <v>457</v>
      </c>
      <c r="W179">
        <v>957.15</v>
      </c>
      <c r="X179" t="s">
        <v>458</v>
      </c>
      <c r="Y179" t="s">
        <v>467</v>
      </c>
      <c r="AA179" t="s">
        <v>2019</v>
      </c>
      <c r="AB179" t="s">
        <v>2157</v>
      </c>
      <c r="AC179" t="s">
        <v>2319</v>
      </c>
      <c r="AD179">
        <v>15</v>
      </c>
      <c r="AE179" t="s">
        <v>621</v>
      </c>
      <c r="AF179" t="s">
        <v>625</v>
      </c>
      <c r="AG179">
        <v>25</v>
      </c>
      <c r="AH179">
        <v>1</v>
      </c>
      <c r="AI179">
        <v>0</v>
      </c>
      <c r="AJ179">
        <v>70.62</v>
      </c>
      <c r="AM179" t="s">
        <v>629</v>
      </c>
      <c r="AN179">
        <v>8820</v>
      </c>
      <c r="AT179">
        <v>19.25</v>
      </c>
      <c r="AU179" t="s">
        <v>709</v>
      </c>
      <c r="AV179" t="s">
        <v>666</v>
      </c>
    </row>
    <row r="180" spans="1:49">
      <c r="A180" s="1">
        <f>HYPERLINK("https://lsnyc.legalserver.org/matter/dynamic-profile/view/1885925","18-1885925")</f>
        <v>0</v>
      </c>
      <c r="B180" t="s">
        <v>690</v>
      </c>
      <c r="C180" t="s">
        <v>54</v>
      </c>
      <c r="D180" t="s">
        <v>710</v>
      </c>
      <c r="E180" t="s">
        <v>838</v>
      </c>
      <c r="F180" t="s">
        <v>996</v>
      </c>
      <c r="G180" t="s">
        <v>1244</v>
      </c>
      <c r="H180" t="s">
        <v>1488</v>
      </c>
      <c r="I180" t="s">
        <v>1610</v>
      </c>
      <c r="J180">
        <v>11233</v>
      </c>
      <c r="K180" t="s">
        <v>423</v>
      </c>
      <c r="L180" t="s">
        <v>423</v>
      </c>
      <c r="M180" t="s">
        <v>1768</v>
      </c>
      <c r="N180" t="s">
        <v>434</v>
      </c>
      <c r="O180" t="s">
        <v>441</v>
      </c>
      <c r="P180" t="s">
        <v>447</v>
      </c>
      <c r="Q180" t="s">
        <v>450</v>
      </c>
      <c r="R180" t="s">
        <v>423</v>
      </c>
      <c r="T180" t="s">
        <v>453</v>
      </c>
      <c r="U180" t="s">
        <v>457</v>
      </c>
      <c r="W180">
        <v>1336</v>
      </c>
      <c r="X180" t="s">
        <v>458</v>
      </c>
      <c r="Y180" t="s">
        <v>462</v>
      </c>
      <c r="Z180" t="s">
        <v>470</v>
      </c>
      <c r="AA180" t="s">
        <v>2020</v>
      </c>
      <c r="AB180" t="s">
        <v>2158</v>
      </c>
      <c r="AC180" t="s">
        <v>2320</v>
      </c>
      <c r="AD180">
        <v>3</v>
      </c>
      <c r="AE180" t="s">
        <v>623</v>
      </c>
      <c r="AF180" t="s">
        <v>626</v>
      </c>
      <c r="AG180">
        <v>6</v>
      </c>
      <c r="AH180">
        <v>2</v>
      </c>
      <c r="AI180">
        <v>1</v>
      </c>
      <c r="AJ180">
        <v>72.56999999999999</v>
      </c>
      <c r="AM180" t="s">
        <v>629</v>
      </c>
      <c r="AN180">
        <v>15080</v>
      </c>
      <c r="AT180">
        <v>2.75</v>
      </c>
      <c r="AU180" t="s">
        <v>2505</v>
      </c>
      <c r="AV180" t="s">
        <v>663</v>
      </c>
    </row>
    <row r="181" spans="1:49">
      <c r="A181" s="1">
        <f>HYPERLINK("https://lsnyc.legalserver.org/matter/dynamic-profile/view/1882679","18-1882679")</f>
        <v>0</v>
      </c>
      <c r="B181" t="s">
        <v>690</v>
      </c>
      <c r="C181" t="s">
        <v>54</v>
      </c>
      <c r="D181" t="s">
        <v>107</v>
      </c>
      <c r="E181" t="s">
        <v>139</v>
      </c>
      <c r="F181" t="s">
        <v>997</v>
      </c>
      <c r="G181" t="s">
        <v>1245</v>
      </c>
      <c r="H181" t="s">
        <v>355</v>
      </c>
      <c r="I181" t="s">
        <v>402</v>
      </c>
      <c r="J181">
        <v>11233</v>
      </c>
      <c r="K181" t="s">
        <v>424</v>
      </c>
      <c r="L181" t="s">
        <v>424</v>
      </c>
      <c r="N181" t="s">
        <v>438</v>
      </c>
      <c r="O181" t="s">
        <v>442</v>
      </c>
      <c r="P181" t="s">
        <v>449</v>
      </c>
      <c r="Q181" t="s">
        <v>450</v>
      </c>
      <c r="R181" t="s">
        <v>423</v>
      </c>
      <c r="T181" t="s">
        <v>454</v>
      </c>
      <c r="U181" t="s">
        <v>456</v>
      </c>
      <c r="W181">
        <v>220</v>
      </c>
      <c r="X181" t="s">
        <v>458</v>
      </c>
      <c r="Y181" t="s">
        <v>465</v>
      </c>
      <c r="Z181" t="s">
        <v>1849</v>
      </c>
      <c r="AA181" t="s">
        <v>2021</v>
      </c>
      <c r="AB181">
        <v>4470485</v>
      </c>
      <c r="AC181" t="s">
        <v>2321</v>
      </c>
      <c r="AD181">
        <v>2</v>
      </c>
      <c r="AE181" t="s">
        <v>623</v>
      </c>
      <c r="AF181" t="s">
        <v>628</v>
      </c>
      <c r="AG181">
        <v>1</v>
      </c>
      <c r="AH181">
        <v>1</v>
      </c>
      <c r="AI181">
        <v>0</v>
      </c>
      <c r="AJ181">
        <v>74.14</v>
      </c>
      <c r="AM181" t="s">
        <v>629</v>
      </c>
      <c r="AN181">
        <v>9000</v>
      </c>
      <c r="AO181" t="s">
        <v>2463</v>
      </c>
      <c r="AT181">
        <v>2.5</v>
      </c>
      <c r="AU181" t="s">
        <v>131</v>
      </c>
      <c r="AV181" t="s">
        <v>674</v>
      </c>
    </row>
    <row r="182" spans="1:49">
      <c r="A182" s="1">
        <f>HYPERLINK("https://lsnyc.legalserver.org/matter/dynamic-profile/view/1881270","18-1881270")</f>
        <v>0</v>
      </c>
      <c r="B182" t="s">
        <v>690</v>
      </c>
      <c r="C182" t="s">
        <v>54</v>
      </c>
      <c r="D182" t="s">
        <v>142</v>
      </c>
      <c r="E182" t="s">
        <v>836</v>
      </c>
      <c r="F182" t="s">
        <v>998</v>
      </c>
      <c r="G182" t="s">
        <v>1246</v>
      </c>
      <c r="H182" t="s">
        <v>1489</v>
      </c>
      <c r="I182" t="s">
        <v>1656</v>
      </c>
      <c r="J182">
        <v>11212</v>
      </c>
      <c r="K182" t="s">
        <v>423</v>
      </c>
      <c r="L182" t="s">
        <v>423</v>
      </c>
      <c r="N182" t="s">
        <v>435</v>
      </c>
      <c r="P182" t="s">
        <v>447</v>
      </c>
      <c r="Q182" t="s">
        <v>450</v>
      </c>
      <c r="R182" t="s">
        <v>423</v>
      </c>
      <c r="T182" t="s">
        <v>453</v>
      </c>
      <c r="U182" t="s">
        <v>457</v>
      </c>
      <c r="W182">
        <v>1650</v>
      </c>
      <c r="X182" t="s">
        <v>458</v>
      </c>
      <c r="Y182" t="s">
        <v>1837</v>
      </c>
      <c r="Z182" t="s">
        <v>470</v>
      </c>
      <c r="AA182" t="s">
        <v>2022</v>
      </c>
      <c r="AC182" t="s">
        <v>2322</v>
      </c>
      <c r="AD182">
        <v>32</v>
      </c>
      <c r="AE182" t="s">
        <v>621</v>
      </c>
      <c r="AF182" t="s">
        <v>626</v>
      </c>
      <c r="AG182">
        <v>0</v>
      </c>
      <c r="AH182">
        <v>1</v>
      </c>
      <c r="AI182">
        <v>0</v>
      </c>
      <c r="AJ182">
        <v>74.14</v>
      </c>
      <c r="AM182" t="s">
        <v>629</v>
      </c>
      <c r="AN182">
        <v>9000</v>
      </c>
      <c r="AT182">
        <v>1.5</v>
      </c>
      <c r="AU182" t="s">
        <v>836</v>
      </c>
      <c r="AV182" t="s">
        <v>2513</v>
      </c>
    </row>
    <row r="183" spans="1:49">
      <c r="A183" s="1">
        <f>HYPERLINK("https://lsnyc.legalserver.org/matter/dynamic-profile/view/1889495","19-1889495")</f>
        <v>0</v>
      </c>
      <c r="B183" t="s">
        <v>690</v>
      </c>
      <c r="C183" t="s">
        <v>54</v>
      </c>
      <c r="D183" t="s">
        <v>759</v>
      </c>
      <c r="E183" t="s">
        <v>724</v>
      </c>
      <c r="F183" t="s">
        <v>202</v>
      </c>
      <c r="G183" t="s">
        <v>1247</v>
      </c>
      <c r="H183" t="s">
        <v>1490</v>
      </c>
      <c r="I183" t="s">
        <v>382</v>
      </c>
      <c r="J183">
        <v>11212</v>
      </c>
      <c r="K183" t="s">
        <v>424</v>
      </c>
      <c r="L183" t="s">
        <v>424</v>
      </c>
      <c r="M183" t="s">
        <v>435</v>
      </c>
      <c r="N183" t="s">
        <v>435</v>
      </c>
      <c r="O183" t="s">
        <v>441</v>
      </c>
      <c r="P183" t="s">
        <v>447</v>
      </c>
      <c r="Q183" t="s">
        <v>450</v>
      </c>
      <c r="R183" t="s">
        <v>423</v>
      </c>
      <c r="T183" t="s">
        <v>453</v>
      </c>
      <c r="U183" t="s">
        <v>457</v>
      </c>
      <c r="W183">
        <v>135</v>
      </c>
      <c r="X183" t="s">
        <v>458</v>
      </c>
      <c r="Y183" t="s">
        <v>467</v>
      </c>
      <c r="Z183" t="s">
        <v>470</v>
      </c>
      <c r="AA183" t="s">
        <v>2023</v>
      </c>
      <c r="AB183" t="s">
        <v>2159</v>
      </c>
      <c r="AC183" t="s">
        <v>2323</v>
      </c>
      <c r="AD183">
        <v>260</v>
      </c>
      <c r="AF183" t="s">
        <v>2430</v>
      </c>
      <c r="AG183">
        <v>39</v>
      </c>
      <c r="AH183">
        <v>1</v>
      </c>
      <c r="AI183">
        <v>0</v>
      </c>
      <c r="AJ183">
        <v>74.36</v>
      </c>
      <c r="AM183" t="s">
        <v>629</v>
      </c>
      <c r="AN183">
        <v>9288</v>
      </c>
      <c r="AT183">
        <v>5.25</v>
      </c>
      <c r="AU183" t="s">
        <v>724</v>
      </c>
      <c r="AV183" t="s">
        <v>666</v>
      </c>
    </row>
    <row r="184" spans="1:49">
      <c r="A184" s="1">
        <f>HYPERLINK("https://lsnyc.legalserver.org/matter/dynamic-profile/view/1884423","18-1884423")</f>
        <v>0</v>
      </c>
      <c r="B184" t="s">
        <v>690</v>
      </c>
      <c r="C184" t="s">
        <v>54</v>
      </c>
      <c r="D184" t="s">
        <v>779</v>
      </c>
      <c r="E184" t="s">
        <v>135</v>
      </c>
      <c r="F184" t="s">
        <v>999</v>
      </c>
      <c r="G184" t="s">
        <v>1248</v>
      </c>
      <c r="H184" t="s">
        <v>1491</v>
      </c>
      <c r="I184" t="s">
        <v>1590</v>
      </c>
      <c r="J184">
        <v>11212</v>
      </c>
      <c r="K184" t="s">
        <v>423</v>
      </c>
      <c r="L184" t="s">
        <v>423</v>
      </c>
      <c r="P184" t="s">
        <v>447</v>
      </c>
      <c r="Q184" t="s">
        <v>450</v>
      </c>
      <c r="R184" t="s">
        <v>423</v>
      </c>
      <c r="T184" t="s">
        <v>454</v>
      </c>
      <c r="W184">
        <v>1499</v>
      </c>
      <c r="X184" t="s">
        <v>458</v>
      </c>
      <c r="Y184" t="s">
        <v>462</v>
      </c>
      <c r="Z184" t="s">
        <v>1850</v>
      </c>
      <c r="AA184" t="s">
        <v>2024</v>
      </c>
      <c r="AC184" t="s">
        <v>2324</v>
      </c>
      <c r="AD184">
        <v>4</v>
      </c>
      <c r="AE184" t="s">
        <v>623</v>
      </c>
      <c r="AF184" t="s">
        <v>626</v>
      </c>
      <c r="AG184">
        <v>4</v>
      </c>
      <c r="AH184">
        <v>1</v>
      </c>
      <c r="AI184">
        <v>0</v>
      </c>
      <c r="AJ184">
        <v>76.41</v>
      </c>
      <c r="AN184">
        <v>9276</v>
      </c>
      <c r="AT184">
        <v>2.5</v>
      </c>
      <c r="AU184" t="s">
        <v>135</v>
      </c>
      <c r="AV184" t="s">
        <v>674</v>
      </c>
    </row>
    <row r="185" spans="1:49">
      <c r="A185" s="1">
        <f>HYPERLINK("https://lsnyc.legalserver.org/matter/dynamic-profile/view/1902322","19-1902322")</f>
        <v>0</v>
      </c>
      <c r="B185" t="s">
        <v>690</v>
      </c>
      <c r="C185" t="s">
        <v>54</v>
      </c>
      <c r="D185" t="s">
        <v>765</v>
      </c>
      <c r="E185" t="s">
        <v>122</v>
      </c>
      <c r="F185" t="s">
        <v>1000</v>
      </c>
      <c r="G185" t="s">
        <v>1249</v>
      </c>
      <c r="H185" t="s">
        <v>1492</v>
      </c>
      <c r="I185" t="s">
        <v>1657</v>
      </c>
      <c r="J185">
        <v>11239</v>
      </c>
      <c r="K185" t="s">
        <v>423</v>
      </c>
      <c r="L185" t="s">
        <v>422</v>
      </c>
      <c r="M185" t="s">
        <v>625</v>
      </c>
      <c r="N185" t="s">
        <v>435</v>
      </c>
      <c r="O185" t="s">
        <v>444</v>
      </c>
      <c r="P185" t="s">
        <v>447</v>
      </c>
      <c r="Q185" t="s">
        <v>450</v>
      </c>
      <c r="R185" t="s">
        <v>423</v>
      </c>
      <c r="T185" t="s">
        <v>453</v>
      </c>
      <c r="U185" t="s">
        <v>457</v>
      </c>
      <c r="W185">
        <v>1618</v>
      </c>
      <c r="X185" t="s">
        <v>458</v>
      </c>
      <c r="Y185" t="s">
        <v>1835</v>
      </c>
      <c r="Z185" t="s">
        <v>470</v>
      </c>
      <c r="AA185" t="s">
        <v>2025</v>
      </c>
      <c r="AB185" t="s">
        <v>625</v>
      </c>
      <c r="AC185" t="s">
        <v>2325</v>
      </c>
      <c r="AD185">
        <v>1164</v>
      </c>
      <c r="AE185" t="s">
        <v>2419</v>
      </c>
      <c r="AF185" t="s">
        <v>626</v>
      </c>
      <c r="AG185">
        <v>4</v>
      </c>
      <c r="AH185">
        <v>1</v>
      </c>
      <c r="AI185">
        <v>0</v>
      </c>
      <c r="AJ185">
        <v>83.27</v>
      </c>
      <c r="AM185" t="s">
        <v>629</v>
      </c>
      <c r="AN185">
        <v>10400</v>
      </c>
      <c r="AT185">
        <v>3.25</v>
      </c>
      <c r="AU185" t="s">
        <v>122</v>
      </c>
      <c r="AV185" t="s">
        <v>2511</v>
      </c>
      <c r="AW185" t="s">
        <v>625</v>
      </c>
    </row>
    <row r="186" spans="1:49">
      <c r="A186" s="1">
        <f>HYPERLINK("https://lsnyc.legalserver.org/matter/dynamic-profile/view/1903639","19-1903639")</f>
        <v>0</v>
      </c>
      <c r="B186" t="s">
        <v>690</v>
      </c>
      <c r="C186" t="s">
        <v>54</v>
      </c>
      <c r="D186" t="s">
        <v>653</v>
      </c>
      <c r="E186" t="s">
        <v>122</v>
      </c>
      <c r="F186" t="s">
        <v>982</v>
      </c>
      <c r="G186" t="s">
        <v>1250</v>
      </c>
      <c r="H186" t="s">
        <v>1493</v>
      </c>
      <c r="I186" t="s">
        <v>1615</v>
      </c>
      <c r="J186">
        <v>11212</v>
      </c>
      <c r="K186" t="s">
        <v>423</v>
      </c>
      <c r="L186" t="s">
        <v>422</v>
      </c>
      <c r="N186" t="s">
        <v>435</v>
      </c>
      <c r="O186" t="s">
        <v>441</v>
      </c>
      <c r="P186" t="s">
        <v>447</v>
      </c>
      <c r="Q186" t="s">
        <v>450</v>
      </c>
      <c r="R186" t="s">
        <v>423</v>
      </c>
      <c r="T186" t="s">
        <v>453</v>
      </c>
      <c r="U186" t="s">
        <v>457</v>
      </c>
      <c r="W186">
        <v>1008</v>
      </c>
      <c r="X186" t="s">
        <v>458</v>
      </c>
      <c r="Y186" t="s">
        <v>1835</v>
      </c>
      <c r="Z186" t="s">
        <v>470</v>
      </c>
      <c r="AA186" t="s">
        <v>2026</v>
      </c>
      <c r="AB186" t="s">
        <v>1751</v>
      </c>
      <c r="AC186" t="s">
        <v>2326</v>
      </c>
      <c r="AD186">
        <v>24</v>
      </c>
      <c r="AE186" t="s">
        <v>622</v>
      </c>
      <c r="AF186" t="s">
        <v>626</v>
      </c>
      <c r="AG186">
        <v>5</v>
      </c>
      <c r="AH186">
        <v>2</v>
      </c>
      <c r="AI186">
        <v>0</v>
      </c>
      <c r="AJ186">
        <v>105.59</v>
      </c>
      <c r="AM186" t="s">
        <v>629</v>
      </c>
      <c r="AN186">
        <v>17856</v>
      </c>
      <c r="AT186">
        <v>2.66</v>
      </c>
      <c r="AU186" t="s">
        <v>122</v>
      </c>
      <c r="AV186" t="s">
        <v>2513</v>
      </c>
      <c r="AW186" t="s">
        <v>625</v>
      </c>
    </row>
    <row r="187" spans="1:49">
      <c r="A187" s="1">
        <f>HYPERLINK("https://lsnyc.legalserver.org/matter/dynamic-profile/view/1899084","19-1899084")</f>
        <v>0</v>
      </c>
      <c r="B187" t="s">
        <v>690</v>
      </c>
      <c r="C187" t="s">
        <v>55</v>
      </c>
      <c r="D187" t="s">
        <v>125</v>
      </c>
      <c r="F187" t="s">
        <v>1001</v>
      </c>
      <c r="G187" t="s">
        <v>1251</v>
      </c>
      <c r="H187" t="s">
        <v>1494</v>
      </c>
      <c r="I187" t="s">
        <v>1658</v>
      </c>
      <c r="J187">
        <v>11212</v>
      </c>
      <c r="K187" t="s">
        <v>422</v>
      </c>
      <c r="L187" t="s">
        <v>422</v>
      </c>
      <c r="N187" t="s">
        <v>1821</v>
      </c>
      <c r="Q187" t="s">
        <v>450</v>
      </c>
      <c r="T187" t="s">
        <v>1830</v>
      </c>
      <c r="W187">
        <v>0</v>
      </c>
      <c r="X187" t="s">
        <v>458</v>
      </c>
      <c r="Y187" t="s">
        <v>459</v>
      </c>
      <c r="AA187" t="s">
        <v>2027</v>
      </c>
      <c r="AC187" t="s">
        <v>2327</v>
      </c>
      <c r="AD187">
        <v>0</v>
      </c>
      <c r="AG187">
        <v>0</v>
      </c>
      <c r="AH187">
        <v>2</v>
      </c>
      <c r="AI187">
        <v>2</v>
      </c>
      <c r="AJ187">
        <v>121.17</v>
      </c>
      <c r="AM187" t="s">
        <v>629</v>
      </c>
      <c r="AN187">
        <v>31200</v>
      </c>
      <c r="AT187">
        <v>0.5</v>
      </c>
      <c r="AU187" t="s">
        <v>125</v>
      </c>
      <c r="AV187" t="s">
        <v>668</v>
      </c>
    </row>
    <row r="188" spans="1:49">
      <c r="A188" s="1">
        <f>HYPERLINK("https://lsnyc.legalserver.org/matter/dynamic-profile/view/1901547","19-1901547")</f>
        <v>0</v>
      </c>
      <c r="B188" t="s">
        <v>690</v>
      </c>
      <c r="C188" t="s">
        <v>54</v>
      </c>
      <c r="D188" t="s">
        <v>115</v>
      </c>
      <c r="E188" t="s">
        <v>122</v>
      </c>
      <c r="F188" t="s">
        <v>1002</v>
      </c>
      <c r="G188" t="s">
        <v>1252</v>
      </c>
      <c r="H188" t="s">
        <v>1495</v>
      </c>
      <c r="I188" t="s">
        <v>393</v>
      </c>
      <c r="J188">
        <v>11233</v>
      </c>
      <c r="K188" t="s">
        <v>424</v>
      </c>
      <c r="L188" t="s">
        <v>422</v>
      </c>
      <c r="N188" t="s">
        <v>435</v>
      </c>
      <c r="P188" t="s">
        <v>447</v>
      </c>
      <c r="Q188" t="s">
        <v>450</v>
      </c>
      <c r="R188" t="s">
        <v>423</v>
      </c>
      <c r="T188" t="s">
        <v>453</v>
      </c>
      <c r="U188" t="s">
        <v>457</v>
      </c>
      <c r="W188">
        <v>1879.2</v>
      </c>
      <c r="X188" t="s">
        <v>458</v>
      </c>
      <c r="Y188" t="s">
        <v>460</v>
      </c>
      <c r="Z188" t="s">
        <v>470</v>
      </c>
      <c r="AA188" t="s">
        <v>2028</v>
      </c>
      <c r="AB188" t="s">
        <v>2160</v>
      </c>
      <c r="AC188" t="s">
        <v>2328</v>
      </c>
      <c r="AD188">
        <v>13</v>
      </c>
      <c r="AE188" t="s">
        <v>622</v>
      </c>
      <c r="AF188" t="s">
        <v>2428</v>
      </c>
      <c r="AG188">
        <v>0</v>
      </c>
      <c r="AH188">
        <v>3</v>
      </c>
      <c r="AI188">
        <v>2</v>
      </c>
      <c r="AJ188">
        <v>122.98</v>
      </c>
      <c r="AM188" t="s">
        <v>629</v>
      </c>
      <c r="AN188">
        <v>37104</v>
      </c>
      <c r="AT188">
        <v>1</v>
      </c>
      <c r="AU188" t="s">
        <v>122</v>
      </c>
      <c r="AV188" t="s">
        <v>666</v>
      </c>
      <c r="AW188" t="s">
        <v>671</v>
      </c>
    </row>
    <row r="189" spans="1:49">
      <c r="A189" s="1">
        <f>HYPERLINK("https://lsnyc.legalserver.org/matter/dynamic-profile/view/1880561","18-1880561")</f>
        <v>0</v>
      </c>
      <c r="B189" t="s">
        <v>690</v>
      </c>
      <c r="C189" t="s">
        <v>54</v>
      </c>
      <c r="D189" t="s">
        <v>746</v>
      </c>
      <c r="E189" t="s">
        <v>776</v>
      </c>
      <c r="F189" t="s">
        <v>1003</v>
      </c>
      <c r="G189" t="s">
        <v>1253</v>
      </c>
      <c r="H189" t="s">
        <v>1403</v>
      </c>
      <c r="I189" t="s">
        <v>1633</v>
      </c>
      <c r="J189">
        <v>11233</v>
      </c>
      <c r="K189" t="s">
        <v>423</v>
      </c>
      <c r="L189" t="s">
        <v>423</v>
      </c>
      <c r="N189" t="s">
        <v>435</v>
      </c>
      <c r="O189" t="s">
        <v>441</v>
      </c>
      <c r="P189" t="s">
        <v>447</v>
      </c>
      <c r="Q189" t="s">
        <v>450</v>
      </c>
      <c r="R189" t="s">
        <v>423</v>
      </c>
      <c r="T189" t="s">
        <v>453</v>
      </c>
      <c r="U189" t="s">
        <v>457</v>
      </c>
      <c r="W189">
        <v>915</v>
      </c>
      <c r="X189" t="s">
        <v>458</v>
      </c>
      <c r="Z189" t="s">
        <v>470</v>
      </c>
      <c r="AA189" t="s">
        <v>2029</v>
      </c>
      <c r="AB189" t="s">
        <v>2142</v>
      </c>
      <c r="AC189" t="s">
        <v>2329</v>
      </c>
      <c r="AD189">
        <v>12</v>
      </c>
      <c r="AE189" t="s">
        <v>2421</v>
      </c>
      <c r="AF189" t="s">
        <v>2429</v>
      </c>
      <c r="AG189">
        <v>4</v>
      </c>
      <c r="AH189">
        <v>1</v>
      </c>
      <c r="AI189">
        <v>3</v>
      </c>
      <c r="AJ189">
        <v>127.04</v>
      </c>
      <c r="AM189" t="s">
        <v>629</v>
      </c>
      <c r="AN189">
        <v>31888</v>
      </c>
      <c r="AT189">
        <v>2</v>
      </c>
      <c r="AU189" t="s">
        <v>776</v>
      </c>
      <c r="AV189" t="s">
        <v>2511</v>
      </c>
    </row>
    <row r="190" spans="1:49">
      <c r="A190" s="1">
        <f>HYPERLINK("https://lsnyc.legalserver.org/matter/dynamic-profile/view/1880288","18-1880288")</f>
        <v>0</v>
      </c>
      <c r="B190" t="s">
        <v>690</v>
      </c>
      <c r="C190" t="s">
        <v>54</v>
      </c>
      <c r="D190" t="s">
        <v>780</v>
      </c>
      <c r="E190" t="s">
        <v>813</v>
      </c>
      <c r="F190" t="s">
        <v>185</v>
      </c>
      <c r="G190" t="s">
        <v>1254</v>
      </c>
      <c r="H190" t="s">
        <v>1496</v>
      </c>
      <c r="I190" t="s">
        <v>1659</v>
      </c>
      <c r="J190">
        <v>11208</v>
      </c>
      <c r="K190" t="s">
        <v>423</v>
      </c>
      <c r="L190" t="s">
        <v>423</v>
      </c>
      <c r="N190" t="s">
        <v>435</v>
      </c>
      <c r="P190" t="s">
        <v>447</v>
      </c>
      <c r="Q190" t="s">
        <v>450</v>
      </c>
      <c r="R190" t="s">
        <v>423</v>
      </c>
      <c r="T190" t="s">
        <v>453</v>
      </c>
      <c r="W190">
        <v>1200</v>
      </c>
      <c r="X190" t="s">
        <v>458</v>
      </c>
      <c r="Z190" t="s">
        <v>470</v>
      </c>
      <c r="AA190" t="s">
        <v>2030</v>
      </c>
      <c r="AC190" t="s">
        <v>2330</v>
      </c>
      <c r="AD190">
        <v>3</v>
      </c>
      <c r="AE190" t="s">
        <v>621</v>
      </c>
      <c r="AG190">
        <v>1</v>
      </c>
      <c r="AH190">
        <v>1</v>
      </c>
      <c r="AI190">
        <v>0</v>
      </c>
      <c r="AJ190">
        <v>128.5</v>
      </c>
      <c r="AM190" t="s">
        <v>629</v>
      </c>
      <c r="AN190">
        <v>15600</v>
      </c>
      <c r="AT190">
        <v>1.25</v>
      </c>
      <c r="AU190" t="s">
        <v>813</v>
      </c>
      <c r="AV190" t="s">
        <v>2514</v>
      </c>
    </row>
    <row r="191" spans="1:49">
      <c r="A191" s="1">
        <f>HYPERLINK("https://lsnyc.legalserver.org/matter/dynamic-profile/view/1888647","19-1888647")</f>
        <v>0</v>
      </c>
      <c r="B191" t="s">
        <v>690</v>
      </c>
      <c r="C191" t="s">
        <v>54</v>
      </c>
      <c r="D191" t="s">
        <v>143</v>
      </c>
      <c r="E191" t="s">
        <v>648</v>
      </c>
      <c r="F191" t="s">
        <v>285</v>
      </c>
      <c r="G191" t="s">
        <v>1255</v>
      </c>
      <c r="H191" t="s">
        <v>1497</v>
      </c>
      <c r="J191">
        <v>11207</v>
      </c>
      <c r="K191" t="s">
        <v>423</v>
      </c>
      <c r="L191" t="s">
        <v>423</v>
      </c>
      <c r="M191" t="s">
        <v>435</v>
      </c>
      <c r="N191" t="s">
        <v>435</v>
      </c>
      <c r="O191" t="s">
        <v>443</v>
      </c>
      <c r="P191" t="s">
        <v>448</v>
      </c>
      <c r="Q191" t="s">
        <v>450</v>
      </c>
      <c r="R191" t="s">
        <v>423</v>
      </c>
      <c r="T191" t="s">
        <v>453</v>
      </c>
      <c r="U191" t="s">
        <v>457</v>
      </c>
      <c r="W191">
        <v>800</v>
      </c>
      <c r="X191" t="s">
        <v>458</v>
      </c>
      <c r="Y191" t="s">
        <v>459</v>
      </c>
      <c r="Z191" t="s">
        <v>474</v>
      </c>
      <c r="AA191" t="s">
        <v>2031</v>
      </c>
      <c r="AC191" t="s">
        <v>2331</v>
      </c>
      <c r="AD191">
        <v>1</v>
      </c>
      <c r="AE191" t="s">
        <v>621</v>
      </c>
      <c r="AF191" t="s">
        <v>625</v>
      </c>
      <c r="AG191">
        <v>12</v>
      </c>
      <c r="AH191">
        <v>1</v>
      </c>
      <c r="AI191">
        <v>0</v>
      </c>
      <c r="AJ191">
        <v>144.12</v>
      </c>
      <c r="AM191" t="s">
        <v>629</v>
      </c>
      <c r="AN191">
        <v>18000</v>
      </c>
      <c r="AO191" t="s">
        <v>2464</v>
      </c>
      <c r="AT191">
        <v>1</v>
      </c>
      <c r="AU191" t="s">
        <v>648</v>
      </c>
      <c r="AV191" t="s">
        <v>662</v>
      </c>
    </row>
    <row r="192" spans="1:49">
      <c r="A192" s="1">
        <f>HYPERLINK("https://lsnyc.legalserver.org/matter/dynamic-profile/view/1882533","18-1882533")</f>
        <v>0</v>
      </c>
      <c r="B192" t="s">
        <v>690</v>
      </c>
      <c r="C192" t="s">
        <v>54</v>
      </c>
      <c r="D192" t="s">
        <v>105</v>
      </c>
      <c r="E192" t="s">
        <v>121</v>
      </c>
      <c r="F192" t="s">
        <v>972</v>
      </c>
      <c r="G192" t="s">
        <v>1219</v>
      </c>
      <c r="H192" t="s">
        <v>1462</v>
      </c>
      <c r="I192">
        <v>2</v>
      </c>
      <c r="J192">
        <v>11212</v>
      </c>
      <c r="K192" t="s">
        <v>422</v>
      </c>
      <c r="L192" t="s">
        <v>422</v>
      </c>
      <c r="N192" t="s">
        <v>435</v>
      </c>
      <c r="O192" t="s">
        <v>441</v>
      </c>
      <c r="P192" t="s">
        <v>447</v>
      </c>
      <c r="Q192" t="s">
        <v>450</v>
      </c>
      <c r="R192" t="s">
        <v>424</v>
      </c>
      <c r="T192" t="s">
        <v>453</v>
      </c>
      <c r="U192" t="s">
        <v>457</v>
      </c>
      <c r="W192">
        <v>2200</v>
      </c>
      <c r="X192" t="s">
        <v>458</v>
      </c>
      <c r="Y192" t="s">
        <v>460</v>
      </c>
      <c r="Z192" t="s">
        <v>470</v>
      </c>
      <c r="AA192" t="s">
        <v>1990</v>
      </c>
      <c r="AC192" t="s">
        <v>2291</v>
      </c>
      <c r="AD192">
        <v>3</v>
      </c>
      <c r="AE192" t="s">
        <v>621</v>
      </c>
      <c r="AF192" t="s">
        <v>625</v>
      </c>
      <c r="AG192">
        <v>1</v>
      </c>
      <c r="AH192">
        <v>1</v>
      </c>
      <c r="AI192">
        <v>0</v>
      </c>
      <c r="AJ192">
        <v>148.27</v>
      </c>
      <c r="AM192" t="s">
        <v>629</v>
      </c>
      <c r="AN192">
        <v>18000</v>
      </c>
      <c r="AT192">
        <v>1.25</v>
      </c>
      <c r="AU192" t="s">
        <v>121</v>
      </c>
      <c r="AV192" t="s">
        <v>2514</v>
      </c>
    </row>
    <row r="193" spans="1:49">
      <c r="A193" s="1">
        <f>HYPERLINK("https://lsnyc.legalserver.org/matter/dynamic-profile/view/1903131","19-1903131")</f>
        <v>0</v>
      </c>
      <c r="B193" t="s">
        <v>690</v>
      </c>
      <c r="C193" t="s">
        <v>54</v>
      </c>
      <c r="D193" t="s">
        <v>726</v>
      </c>
      <c r="E193" t="s">
        <v>122</v>
      </c>
      <c r="F193" t="s">
        <v>1004</v>
      </c>
      <c r="G193" t="s">
        <v>1256</v>
      </c>
      <c r="H193" t="s">
        <v>1498</v>
      </c>
      <c r="I193" t="s">
        <v>1648</v>
      </c>
      <c r="J193">
        <v>11212</v>
      </c>
      <c r="K193" t="s">
        <v>423</v>
      </c>
      <c r="L193" t="s">
        <v>422</v>
      </c>
      <c r="M193" t="s">
        <v>625</v>
      </c>
      <c r="N193" t="s">
        <v>435</v>
      </c>
      <c r="O193" t="s">
        <v>441</v>
      </c>
      <c r="P193" t="s">
        <v>447</v>
      </c>
      <c r="Q193" t="s">
        <v>450</v>
      </c>
      <c r="R193" t="s">
        <v>423</v>
      </c>
      <c r="T193" t="s">
        <v>453</v>
      </c>
      <c r="U193" t="s">
        <v>457</v>
      </c>
      <c r="W193">
        <v>1235</v>
      </c>
      <c r="X193" t="s">
        <v>458</v>
      </c>
      <c r="Y193" t="s">
        <v>460</v>
      </c>
      <c r="Z193" t="s">
        <v>470</v>
      </c>
      <c r="AA193" t="s">
        <v>2032</v>
      </c>
      <c r="AB193" t="s">
        <v>2161</v>
      </c>
      <c r="AD193">
        <v>4</v>
      </c>
      <c r="AE193" t="s">
        <v>623</v>
      </c>
      <c r="AF193" t="s">
        <v>2432</v>
      </c>
      <c r="AG193">
        <v>30</v>
      </c>
      <c r="AH193">
        <v>1</v>
      </c>
      <c r="AI193">
        <v>0</v>
      </c>
      <c r="AJ193">
        <v>151.8</v>
      </c>
      <c r="AM193" t="s">
        <v>629</v>
      </c>
      <c r="AN193">
        <v>18960</v>
      </c>
      <c r="AT193">
        <v>2.16</v>
      </c>
      <c r="AU193" t="s">
        <v>122</v>
      </c>
      <c r="AV193" t="s">
        <v>2513</v>
      </c>
      <c r="AW193" t="s">
        <v>625</v>
      </c>
    </row>
    <row r="194" spans="1:49">
      <c r="A194" s="1">
        <f>HYPERLINK("https://lsnyc.legalserver.org/matter/dynamic-profile/view/1880298","18-1880298")</f>
        <v>0</v>
      </c>
      <c r="B194" t="s">
        <v>690</v>
      </c>
      <c r="C194" t="s">
        <v>54</v>
      </c>
      <c r="D194" t="s">
        <v>780</v>
      </c>
      <c r="E194" t="s">
        <v>836</v>
      </c>
      <c r="F194" t="s">
        <v>1005</v>
      </c>
      <c r="G194" t="s">
        <v>1257</v>
      </c>
      <c r="H194" t="s">
        <v>1499</v>
      </c>
      <c r="I194" t="s">
        <v>1660</v>
      </c>
      <c r="J194">
        <v>11208</v>
      </c>
      <c r="K194" t="s">
        <v>423</v>
      </c>
      <c r="L194" t="s">
        <v>423</v>
      </c>
      <c r="N194" t="s">
        <v>435</v>
      </c>
      <c r="O194" t="s">
        <v>441</v>
      </c>
      <c r="P194" t="s">
        <v>447</v>
      </c>
      <c r="Q194" t="s">
        <v>450</v>
      </c>
      <c r="R194" t="s">
        <v>423</v>
      </c>
      <c r="T194" t="s">
        <v>453</v>
      </c>
      <c r="U194" t="s">
        <v>457</v>
      </c>
      <c r="W194">
        <v>400</v>
      </c>
      <c r="X194" t="s">
        <v>458</v>
      </c>
      <c r="Y194" t="s">
        <v>467</v>
      </c>
      <c r="Z194" t="s">
        <v>470</v>
      </c>
      <c r="AA194" t="s">
        <v>2033</v>
      </c>
      <c r="AB194" t="s">
        <v>2142</v>
      </c>
      <c r="AC194" t="s">
        <v>2332</v>
      </c>
      <c r="AD194">
        <v>3</v>
      </c>
      <c r="AE194" t="s">
        <v>623</v>
      </c>
      <c r="AF194" t="s">
        <v>625</v>
      </c>
      <c r="AG194">
        <v>0</v>
      </c>
      <c r="AH194">
        <v>1</v>
      </c>
      <c r="AI194">
        <v>0</v>
      </c>
      <c r="AJ194">
        <v>171.33</v>
      </c>
      <c r="AM194" t="s">
        <v>629</v>
      </c>
      <c r="AN194">
        <v>20800</v>
      </c>
      <c r="AT194">
        <v>1.41</v>
      </c>
      <c r="AU194" t="s">
        <v>98</v>
      </c>
      <c r="AV194" t="s">
        <v>2513</v>
      </c>
    </row>
    <row r="195" spans="1:49">
      <c r="A195" s="1">
        <f>HYPERLINK("https://lsnyc.legalserver.org/matter/dynamic-profile/view/1891348","19-1891348")</f>
        <v>0</v>
      </c>
      <c r="B195" t="s">
        <v>690</v>
      </c>
      <c r="C195" t="s">
        <v>54</v>
      </c>
      <c r="D195" t="s">
        <v>723</v>
      </c>
      <c r="E195" t="s">
        <v>839</v>
      </c>
      <c r="F195" t="s">
        <v>882</v>
      </c>
      <c r="G195" t="s">
        <v>1258</v>
      </c>
      <c r="H195" t="s">
        <v>1500</v>
      </c>
      <c r="I195">
        <v>8</v>
      </c>
      <c r="J195">
        <v>11233</v>
      </c>
      <c r="K195" t="s">
        <v>424</v>
      </c>
      <c r="L195" t="s">
        <v>424</v>
      </c>
      <c r="M195" t="s">
        <v>1701</v>
      </c>
      <c r="N195" t="s">
        <v>1821</v>
      </c>
      <c r="O195" t="s">
        <v>446</v>
      </c>
      <c r="P195" t="s">
        <v>1826</v>
      </c>
      <c r="Q195" t="s">
        <v>450</v>
      </c>
      <c r="R195" t="s">
        <v>423</v>
      </c>
      <c r="T195" t="s">
        <v>453</v>
      </c>
      <c r="U195" t="s">
        <v>457</v>
      </c>
      <c r="W195">
        <v>1280</v>
      </c>
      <c r="X195" t="s">
        <v>458</v>
      </c>
      <c r="Y195" t="s">
        <v>463</v>
      </c>
      <c r="Z195" t="s">
        <v>473</v>
      </c>
      <c r="AA195" t="s">
        <v>2034</v>
      </c>
      <c r="AB195" t="s">
        <v>2162</v>
      </c>
      <c r="AC195" t="s">
        <v>2333</v>
      </c>
      <c r="AD195">
        <v>8</v>
      </c>
      <c r="AE195" t="s">
        <v>622</v>
      </c>
      <c r="AF195" t="s">
        <v>626</v>
      </c>
      <c r="AG195">
        <v>8</v>
      </c>
      <c r="AH195">
        <v>2</v>
      </c>
      <c r="AI195">
        <v>0</v>
      </c>
      <c r="AJ195">
        <v>184.51</v>
      </c>
      <c r="AM195" t="s">
        <v>629</v>
      </c>
      <c r="AN195">
        <v>31200</v>
      </c>
      <c r="AT195">
        <v>7</v>
      </c>
      <c r="AU195" t="s">
        <v>839</v>
      </c>
      <c r="AV195" t="s">
        <v>666</v>
      </c>
    </row>
    <row r="196" spans="1:49">
      <c r="A196" s="1">
        <f>HYPERLINK("https://lsnyc.legalserver.org/matter/dynamic-profile/view/1895176","19-1895176")</f>
        <v>0</v>
      </c>
      <c r="B196" t="s">
        <v>690</v>
      </c>
      <c r="C196" t="s">
        <v>54</v>
      </c>
      <c r="D196" t="s">
        <v>788</v>
      </c>
      <c r="E196" t="s">
        <v>840</v>
      </c>
      <c r="F196" t="s">
        <v>173</v>
      </c>
      <c r="G196" t="s">
        <v>1259</v>
      </c>
      <c r="H196" t="s">
        <v>1501</v>
      </c>
      <c r="I196">
        <v>1</v>
      </c>
      <c r="J196">
        <v>11208</v>
      </c>
      <c r="K196" t="s">
        <v>423</v>
      </c>
      <c r="L196" t="s">
        <v>423</v>
      </c>
      <c r="M196" t="s">
        <v>1718</v>
      </c>
      <c r="N196" t="s">
        <v>1816</v>
      </c>
      <c r="P196" t="s">
        <v>447</v>
      </c>
      <c r="Q196" t="s">
        <v>450</v>
      </c>
      <c r="R196" t="s">
        <v>423</v>
      </c>
      <c r="T196" t="s">
        <v>454</v>
      </c>
      <c r="U196" t="s">
        <v>457</v>
      </c>
      <c r="W196">
        <v>1215</v>
      </c>
      <c r="X196" t="s">
        <v>458</v>
      </c>
      <c r="Y196" t="s">
        <v>467</v>
      </c>
      <c r="Z196" t="s">
        <v>472</v>
      </c>
      <c r="AA196" t="s">
        <v>2035</v>
      </c>
      <c r="AB196" t="s">
        <v>2163</v>
      </c>
      <c r="AC196" t="s">
        <v>2334</v>
      </c>
      <c r="AD196">
        <v>5</v>
      </c>
      <c r="AE196" t="s">
        <v>623</v>
      </c>
      <c r="AF196" t="s">
        <v>2432</v>
      </c>
      <c r="AG196">
        <v>1</v>
      </c>
      <c r="AH196">
        <v>1</v>
      </c>
      <c r="AI196">
        <v>0</v>
      </c>
      <c r="AJ196">
        <v>187.35</v>
      </c>
      <c r="AM196" t="s">
        <v>2436</v>
      </c>
      <c r="AN196">
        <v>23400</v>
      </c>
      <c r="AT196">
        <v>1</v>
      </c>
      <c r="AU196" t="s">
        <v>840</v>
      </c>
      <c r="AV196" t="s">
        <v>666</v>
      </c>
    </row>
    <row r="197" spans="1:49">
      <c r="A197" s="1">
        <f>HYPERLINK("https://lsnyc.legalserver.org/matter/dynamic-profile/view/1881909","18-1881909")</f>
        <v>0</v>
      </c>
      <c r="B197" t="s">
        <v>690</v>
      </c>
      <c r="C197" t="s">
        <v>54</v>
      </c>
      <c r="D197" t="s">
        <v>86</v>
      </c>
      <c r="E197" t="s">
        <v>841</v>
      </c>
      <c r="F197" t="s">
        <v>148</v>
      </c>
      <c r="G197" t="s">
        <v>224</v>
      </c>
      <c r="H197" t="s">
        <v>299</v>
      </c>
      <c r="I197" t="s">
        <v>1585</v>
      </c>
      <c r="J197">
        <v>11233</v>
      </c>
      <c r="K197" t="s">
        <v>423</v>
      </c>
      <c r="L197" t="s">
        <v>423</v>
      </c>
      <c r="M197" t="s">
        <v>625</v>
      </c>
      <c r="N197" t="s">
        <v>435</v>
      </c>
      <c r="O197" t="s">
        <v>441</v>
      </c>
      <c r="P197" t="s">
        <v>447</v>
      </c>
      <c r="Q197" t="s">
        <v>450</v>
      </c>
      <c r="R197" t="s">
        <v>423</v>
      </c>
      <c r="T197" t="s">
        <v>453</v>
      </c>
      <c r="U197" t="s">
        <v>457</v>
      </c>
      <c r="W197">
        <v>1051.86</v>
      </c>
      <c r="X197" t="s">
        <v>458</v>
      </c>
      <c r="Y197" t="s">
        <v>467</v>
      </c>
      <c r="Z197" t="s">
        <v>470</v>
      </c>
      <c r="AA197" t="s">
        <v>480</v>
      </c>
      <c r="AB197" t="s">
        <v>625</v>
      </c>
      <c r="AC197" t="s">
        <v>2335</v>
      </c>
      <c r="AD197">
        <v>12</v>
      </c>
      <c r="AE197" t="s">
        <v>622</v>
      </c>
      <c r="AF197" t="s">
        <v>625</v>
      </c>
      <c r="AG197">
        <v>8</v>
      </c>
      <c r="AH197">
        <v>2</v>
      </c>
      <c r="AI197">
        <v>0</v>
      </c>
      <c r="AJ197">
        <v>189.55</v>
      </c>
      <c r="AL197" t="s">
        <v>2435</v>
      </c>
      <c r="AM197" t="s">
        <v>629</v>
      </c>
      <c r="AN197">
        <v>31200</v>
      </c>
      <c r="AT197">
        <v>1.25</v>
      </c>
      <c r="AU197" t="s">
        <v>708</v>
      </c>
      <c r="AV197" t="s">
        <v>666</v>
      </c>
    </row>
    <row r="198" spans="1:49">
      <c r="A198" s="1">
        <f>HYPERLINK("https://lsnyc.legalserver.org/matter/dynamic-profile/view/1901830","19-1901830")</f>
        <v>0</v>
      </c>
      <c r="B198" t="s">
        <v>690</v>
      </c>
      <c r="C198" t="s">
        <v>55</v>
      </c>
      <c r="D198" t="s">
        <v>120</v>
      </c>
      <c r="F198" t="s">
        <v>1006</v>
      </c>
      <c r="G198" t="s">
        <v>1219</v>
      </c>
      <c r="H198" t="s">
        <v>1502</v>
      </c>
      <c r="I198" t="s">
        <v>1661</v>
      </c>
      <c r="J198">
        <v>11208</v>
      </c>
      <c r="K198" t="s">
        <v>424</v>
      </c>
      <c r="L198" t="s">
        <v>422</v>
      </c>
      <c r="M198" t="s">
        <v>1769</v>
      </c>
      <c r="N198" t="s">
        <v>1820</v>
      </c>
      <c r="Q198" t="s">
        <v>450</v>
      </c>
      <c r="R198" t="s">
        <v>423</v>
      </c>
      <c r="T198" t="s">
        <v>454</v>
      </c>
      <c r="U198" t="s">
        <v>457</v>
      </c>
      <c r="W198">
        <v>1956</v>
      </c>
      <c r="X198" t="s">
        <v>458</v>
      </c>
      <c r="Y198" t="s">
        <v>459</v>
      </c>
      <c r="AA198" t="s">
        <v>2036</v>
      </c>
      <c r="AC198" t="s">
        <v>2336</v>
      </c>
      <c r="AD198">
        <v>3</v>
      </c>
      <c r="AE198" t="s">
        <v>623</v>
      </c>
      <c r="AF198" t="s">
        <v>2429</v>
      </c>
      <c r="AG198">
        <v>4</v>
      </c>
      <c r="AH198">
        <v>1</v>
      </c>
      <c r="AI198">
        <v>3</v>
      </c>
      <c r="AJ198">
        <v>197.31</v>
      </c>
      <c r="AM198" t="s">
        <v>629</v>
      </c>
      <c r="AN198">
        <v>50806.8</v>
      </c>
      <c r="AT198">
        <v>1.5</v>
      </c>
      <c r="AU198" t="s">
        <v>656</v>
      </c>
      <c r="AV198" t="s">
        <v>674</v>
      </c>
      <c r="AW198" t="s">
        <v>671</v>
      </c>
    </row>
    <row r="199" spans="1:49">
      <c r="A199" s="1">
        <f>HYPERLINK("https://lsnyc.legalserver.org/matter/dynamic-profile/view/1880654","18-1880654")</f>
        <v>0</v>
      </c>
      <c r="B199" t="s">
        <v>690</v>
      </c>
      <c r="C199" t="s">
        <v>54</v>
      </c>
      <c r="D199" t="s">
        <v>746</v>
      </c>
      <c r="E199" t="s">
        <v>813</v>
      </c>
      <c r="F199" t="s">
        <v>1007</v>
      </c>
      <c r="G199" t="s">
        <v>1260</v>
      </c>
      <c r="H199" t="s">
        <v>1503</v>
      </c>
      <c r="I199" t="s">
        <v>1662</v>
      </c>
      <c r="J199">
        <v>11233</v>
      </c>
      <c r="K199" t="s">
        <v>423</v>
      </c>
      <c r="L199" t="s">
        <v>423</v>
      </c>
      <c r="M199" t="s">
        <v>435</v>
      </c>
      <c r="N199" t="s">
        <v>1813</v>
      </c>
      <c r="O199" t="s">
        <v>441</v>
      </c>
      <c r="P199" t="s">
        <v>447</v>
      </c>
      <c r="Q199" t="s">
        <v>450</v>
      </c>
      <c r="R199" t="s">
        <v>423</v>
      </c>
      <c r="T199" t="s">
        <v>453</v>
      </c>
      <c r="U199" t="s">
        <v>457</v>
      </c>
      <c r="W199">
        <v>1304.95</v>
      </c>
      <c r="X199" t="s">
        <v>458</v>
      </c>
      <c r="Y199" t="s">
        <v>467</v>
      </c>
      <c r="Z199" t="s">
        <v>470</v>
      </c>
      <c r="AA199" t="s">
        <v>2037</v>
      </c>
      <c r="AB199" t="s">
        <v>625</v>
      </c>
      <c r="AC199" t="s">
        <v>2337</v>
      </c>
      <c r="AD199">
        <v>40</v>
      </c>
      <c r="AF199" t="s">
        <v>625</v>
      </c>
      <c r="AG199">
        <v>8</v>
      </c>
      <c r="AH199">
        <v>3</v>
      </c>
      <c r="AI199">
        <v>1</v>
      </c>
      <c r="AJ199">
        <v>201.59</v>
      </c>
      <c r="AL199" t="s">
        <v>2435</v>
      </c>
      <c r="AM199" t="s">
        <v>629</v>
      </c>
      <c r="AN199">
        <v>50600</v>
      </c>
      <c r="AT199">
        <v>2.45</v>
      </c>
      <c r="AU199" t="s">
        <v>78</v>
      </c>
      <c r="AV199" t="s">
        <v>663</v>
      </c>
    </row>
    <row r="200" spans="1:49">
      <c r="A200" s="1">
        <f>HYPERLINK("https://lsnyc.legalserver.org/matter/dynamic-profile/view/1895168","19-1895168")</f>
        <v>0</v>
      </c>
      <c r="B200" t="s">
        <v>690</v>
      </c>
      <c r="C200" t="s">
        <v>55</v>
      </c>
      <c r="D200" t="s">
        <v>788</v>
      </c>
      <c r="F200" t="s">
        <v>1000</v>
      </c>
      <c r="G200" t="s">
        <v>1142</v>
      </c>
      <c r="H200" t="s">
        <v>1504</v>
      </c>
      <c r="I200">
        <v>615</v>
      </c>
      <c r="J200">
        <v>11239</v>
      </c>
      <c r="K200" t="s">
        <v>424</v>
      </c>
      <c r="L200" t="s">
        <v>424</v>
      </c>
      <c r="M200" t="s">
        <v>1770</v>
      </c>
      <c r="N200" t="s">
        <v>437</v>
      </c>
      <c r="Q200" t="s">
        <v>450</v>
      </c>
      <c r="R200" t="s">
        <v>423</v>
      </c>
      <c r="T200" t="s">
        <v>454</v>
      </c>
      <c r="W200">
        <v>1205</v>
      </c>
      <c r="X200" t="s">
        <v>458</v>
      </c>
      <c r="Y200" t="s">
        <v>460</v>
      </c>
      <c r="AA200" t="s">
        <v>2038</v>
      </c>
      <c r="AB200">
        <v>32263748</v>
      </c>
      <c r="AC200" t="s">
        <v>2338</v>
      </c>
      <c r="AD200">
        <v>137</v>
      </c>
      <c r="AE200" t="s">
        <v>622</v>
      </c>
      <c r="AF200" t="s">
        <v>626</v>
      </c>
      <c r="AG200">
        <v>1</v>
      </c>
      <c r="AH200">
        <v>2</v>
      </c>
      <c r="AI200">
        <v>1</v>
      </c>
      <c r="AJ200">
        <v>241.76</v>
      </c>
      <c r="AM200" t="s">
        <v>629</v>
      </c>
      <c r="AN200">
        <v>51568</v>
      </c>
      <c r="AT200">
        <v>10.75</v>
      </c>
      <c r="AU200" t="s">
        <v>120</v>
      </c>
      <c r="AV200" t="s">
        <v>674</v>
      </c>
    </row>
    <row r="201" spans="1:49">
      <c r="A201" s="1">
        <f>HYPERLINK("https://lsnyc.legalserver.org/matter/dynamic-profile/view/1887281","19-1887281")</f>
        <v>0</v>
      </c>
      <c r="B201" t="s">
        <v>690</v>
      </c>
      <c r="C201" t="s">
        <v>54</v>
      </c>
      <c r="D201" t="s">
        <v>62</v>
      </c>
      <c r="E201" t="s">
        <v>842</v>
      </c>
      <c r="F201" t="s">
        <v>1008</v>
      </c>
      <c r="G201" t="s">
        <v>290</v>
      </c>
      <c r="H201" t="s">
        <v>1505</v>
      </c>
      <c r="I201" t="s">
        <v>400</v>
      </c>
      <c r="J201">
        <v>11207</v>
      </c>
      <c r="K201" t="s">
        <v>423</v>
      </c>
      <c r="L201" t="s">
        <v>423</v>
      </c>
      <c r="M201" t="s">
        <v>435</v>
      </c>
      <c r="N201" t="s">
        <v>435</v>
      </c>
      <c r="O201" t="s">
        <v>441</v>
      </c>
      <c r="P201" t="s">
        <v>447</v>
      </c>
      <c r="Q201" t="s">
        <v>450</v>
      </c>
      <c r="R201" t="s">
        <v>423</v>
      </c>
      <c r="T201" t="s">
        <v>453</v>
      </c>
      <c r="U201" t="s">
        <v>457</v>
      </c>
      <c r="W201">
        <v>1418</v>
      </c>
      <c r="X201" t="s">
        <v>458</v>
      </c>
      <c r="Z201" t="s">
        <v>470</v>
      </c>
      <c r="AA201" t="s">
        <v>2039</v>
      </c>
      <c r="AB201" t="s">
        <v>625</v>
      </c>
      <c r="AC201" t="s">
        <v>2339</v>
      </c>
      <c r="AD201">
        <v>196</v>
      </c>
      <c r="AE201" t="s">
        <v>621</v>
      </c>
      <c r="AF201" t="s">
        <v>625</v>
      </c>
      <c r="AG201">
        <v>0</v>
      </c>
      <c r="AH201">
        <v>1</v>
      </c>
      <c r="AI201">
        <v>0</v>
      </c>
      <c r="AJ201">
        <v>257</v>
      </c>
      <c r="AM201" t="s">
        <v>629</v>
      </c>
      <c r="AN201">
        <v>31200</v>
      </c>
      <c r="AO201" t="s">
        <v>2465</v>
      </c>
      <c r="AT201">
        <v>0.75</v>
      </c>
      <c r="AU201" t="s">
        <v>842</v>
      </c>
      <c r="AV201" t="s">
        <v>666</v>
      </c>
    </row>
    <row r="202" spans="1:49">
      <c r="A202" s="1">
        <f>HYPERLINK("https://lsnyc.legalserver.org/matter/dynamic-profile/view/1872104","18-1872104")</f>
        <v>0</v>
      </c>
      <c r="B202" t="s">
        <v>690</v>
      </c>
      <c r="C202" t="s">
        <v>54</v>
      </c>
      <c r="D202" t="s">
        <v>758</v>
      </c>
      <c r="E202" t="s">
        <v>121</v>
      </c>
      <c r="F202" t="s">
        <v>1009</v>
      </c>
      <c r="G202" t="s">
        <v>1261</v>
      </c>
      <c r="H202" t="s">
        <v>1480</v>
      </c>
      <c r="I202" t="s">
        <v>409</v>
      </c>
      <c r="J202">
        <v>11207</v>
      </c>
      <c r="K202" t="s">
        <v>423</v>
      </c>
      <c r="L202" t="s">
        <v>423</v>
      </c>
      <c r="M202" t="s">
        <v>435</v>
      </c>
      <c r="P202" t="s">
        <v>447</v>
      </c>
      <c r="Q202" t="s">
        <v>450</v>
      </c>
      <c r="R202" t="s">
        <v>423</v>
      </c>
      <c r="T202" t="s">
        <v>453</v>
      </c>
      <c r="W202">
        <v>1329</v>
      </c>
      <c r="X202" t="s">
        <v>458</v>
      </c>
      <c r="Y202" t="s">
        <v>468</v>
      </c>
      <c r="Z202" t="s">
        <v>470</v>
      </c>
      <c r="AA202" t="s">
        <v>2040</v>
      </c>
      <c r="AB202" t="s">
        <v>2142</v>
      </c>
      <c r="AC202" t="s">
        <v>2340</v>
      </c>
      <c r="AD202">
        <v>84</v>
      </c>
      <c r="AE202" t="s">
        <v>622</v>
      </c>
      <c r="AF202" t="s">
        <v>625</v>
      </c>
      <c r="AG202">
        <v>45</v>
      </c>
      <c r="AH202">
        <v>1</v>
      </c>
      <c r="AI202">
        <v>0</v>
      </c>
      <c r="AJ202">
        <v>257</v>
      </c>
      <c r="AM202" t="s">
        <v>629</v>
      </c>
      <c r="AN202">
        <v>31200</v>
      </c>
      <c r="AT202">
        <v>1.4</v>
      </c>
      <c r="AU202" t="s">
        <v>121</v>
      </c>
      <c r="AV202" t="s">
        <v>2525</v>
      </c>
    </row>
    <row r="203" spans="1:49">
      <c r="A203" s="1">
        <f>HYPERLINK("https://lsnyc.legalserver.org/matter/dynamic-profile/view/1888102","19-1888102")</f>
        <v>0</v>
      </c>
      <c r="B203" t="s">
        <v>690</v>
      </c>
      <c r="C203" t="s">
        <v>54</v>
      </c>
      <c r="D203" t="s">
        <v>789</v>
      </c>
      <c r="E203" t="s">
        <v>816</v>
      </c>
      <c r="F203" t="s">
        <v>1010</v>
      </c>
      <c r="G203" t="s">
        <v>1135</v>
      </c>
      <c r="H203" t="s">
        <v>1506</v>
      </c>
      <c r="I203" t="s">
        <v>372</v>
      </c>
      <c r="J203">
        <v>11233</v>
      </c>
      <c r="K203" t="s">
        <v>423</v>
      </c>
      <c r="L203" t="s">
        <v>423</v>
      </c>
      <c r="M203" t="s">
        <v>435</v>
      </c>
      <c r="N203" t="s">
        <v>435</v>
      </c>
      <c r="O203" t="s">
        <v>441</v>
      </c>
      <c r="P203" t="s">
        <v>447</v>
      </c>
      <c r="Q203" t="s">
        <v>450</v>
      </c>
      <c r="R203" t="s">
        <v>423</v>
      </c>
      <c r="T203" t="s">
        <v>453</v>
      </c>
      <c r="U203" t="s">
        <v>457</v>
      </c>
      <c r="W203">
        <v>1400</v>
      </c>
      <c r="X203" t="s">
        <v>458</v>
      </c>
      <c r="Y203" t="s">
        <v>459</v>
      </c>
      <c r="Z203" t="s">
        <v>470</v>
      </c>
      <c r="AA203" t="s">
        <v>2041</v>
      </c>
      <c r="AB203" t="s">
        <v>625</v>
      </c>
      <c r="AC203" t="s">
        <v>2341</v>
      </c>
      <c r="AD203">
        <v>6</v>
      </c>
      <c r="AE203" t="s">
        <v>622</v>
      </c>
      <c r="AF203" t="s">
        <v>625</v>
      </c>
      <c r="AG203">
        <v>18</v>
      </c>
      <c r="AH203">
        <v>1</v>
      </c>
      <c r="AI203">
        <v>0</v>
      </c>
      <c r="AJ203">
        <v>329.49</v>
      </c>
      <c r="AM203" t="s">
        <v>629</v>
      </c>
      <c r="AN203">
        <v>40000</v>
      </c>
      <c r="AO203" t="s">
        <v>2466</v>
      </c>
      <c r="AT203">
        <v>1.9</v>
      </c>
      <c r="AU203" t="s">
        <v>816</v>
      </c>
      <c r="AV203" t="s">
        <v>2518</v>
      </c>
    </row>
    <row r="204" spans="1:49">
      <c r="A204" s="1">
        <f>HYPERLINK("https://lsnyc.legalserver.org/matter/dynamic-profile/view/1894172","19-1894172")</f>
        <v>0</v>
      </c>
      <c r="B204" t="s">
        <v>690</v>
      </c>
      <c r="C204" t="s">
        <v>55</v>
      </c>
      <c r="D204" t="s">
        <v>790</v>
      </c>
      <c r="F204" t="s">
        <v>1011</v>
      </c>
      <c r="G204" t="s">
        <v>1262</v>
      </c>
      <c r="H204" t="s">
        <v>1507</v>
      </c>
      <c r="I204" t="s">
        <v>1663</v>
      </c>
      <c r="J204">
        <v>11239</v>
      </c>
      <c r="K204" t="s">
        <v>423</v>
      </c>
      <c r="L204" t="s">
        <v>423</v>
      </c>
      <c r="M204" t="s">
        <v>1771</v>
      </c>
      <c r="N204" t="s">
        <v>437</v>
      </c>
      <c r="Q204" t="s">
        <v>450</v>
      </c>
      <c r="R204" t="s">
        <v>423</v>
      </c>
      <c r="T204" t="s">
        <v>454</v>
      </c>
      <c r="W204">
        <v>1191</v>
      </c>
      <c r="X204" t="s">
        <v>458</v>
      </c>
      <c r="AA204" t="s">
        <v>2042</v>
      </c>
      <c r="AC204" t="s">
        <v>2342</v>
      </c>
      <c r="AD204">
        <v>1168</v>
      </c>
      <c r="AE204" t="s">
        <v>622</v>
      </c>
      <c r="AF204" t="s">
        <v>459</v>
      </c>
      <c r="AG204">
        <v>2</v>
      </c>
      <c r="AH204">
        <v>1</v>
      </c>
      <c r="AI204">
        <v>0</v>
      </c>
      <c r="AJ204">
        <v>384.31</v>
      </c>
      <c r="AM204" t="s">
        <v>629</v>
      </c>
      <c r="AN204">
        <v>48000</v>
      </c>
      <c r="AT204">
        <v>31</v>
      </c>
      <c r="AU204" t="s">
        <v>137</v>
      </c>
      <c r="AV204" t="s">
        <v>674</v>
      </c>
    </row>
    <row r="205" spans="1:49">
      <c r="A205" s="1">
        <f>HYPERLINK("https://lsnyc.legalserver.org/matter/dynamic-profile/view/1888215","19-1888215")</f>
        <v>0</v>
      </c>
      <c r="B205" t="s">
        <v>691</v>
      </c>
      <c r="C205" t="s">
        <v>55</v>
      </c>
      <c r="D205" t="s">
        <v>704</v>
      </c>
      <c r="F205" t="s">
        <v>1012</v>
      </c>
      <c r="G205" t="s">
        <v>1263</v>
      </c>
      <c r="H205" t="s">
        <v>1508</v>
      </c>
      <c r="I205" t="s">
        <v>1632</v>
      </c>
      <c r="J205">
        <v>11215</v>
      </c>
      <c r="K205" t="s">
        <v>423</v>
      </c>
      <c r="L205" t="s">
        <v>423</v>
      </c>
      <c r="M205" t="s">
        <v>1772</v>
      </c>
      <c r="N205" t="s">
        <v>436</v>
      </c>
      <c r="O205" t="s">
        <v>445</v>
      </c>
      <c r="Q205" t="s">
        <v>450</v>
      </c>
      <c r="T205" t="s">
        <v>453</v>
      </c>
      <c r="U205" t="s">
        <v>457</v>
      </c>
      <c r="W205">
        <v>165</v>
      </c>
      <c r="X205" t="s">
        <v>458</v>
      </c>
      <c r="Y205" t="s">
        <v>467</v>
      </c>
      <c r="AA205" t="s">
        <v>2043</v>
      </c>
      <c r="AC205" t="s">
        <v>2343</v>
      </c>
      <c r="AD205">
        <v>7</v>
      </c>
      <c r="AE205" t="s">
        <v>2421</v>
      </c>
      <c r="AF205" t="s">
        <v>625</v>
      </c>
      <c r="AG205">
        <v>22</v>
      </c>
      <c r="AH205">
        <v>3</v>
      </c>
      <c r="AI205">
        <v>2</v>
      </c>
      <c r="AJ205">
        <v>34.33</v>
      </c>
      <c r="AM205" t="s">
        <v>629</v>
      </c>
      <c r="AN205">
        <v>10100</v>
      </c>
      <c r="AT205">
        <v>0</v>
      </c>
      <c r="AV205" t="s">
        <v>666</v>
      </c>
    </row>
    <row r="206" spans="1:49">
      <c r="A206" s="1">
        <f>HYPERLINK("https://lsnyc.legalserver.org/matter/dynamic-profile/view/1896625","19-1896625")</f>
        <v>0</v>
      </c>
      <c r="B206" t="s">
        <v>691</v>
      </c>
      <c r="C206" t="s">
        <v>55</v>
      </c>
      <c r="D206" t="s">
        <v>791</v>
      </c>
      <c r="F206" t="s">
        <v>882</v>
      </c>
      <c r="G206" t="s">
        <v>1244</v>
      </c>
      <c r="H206" t="s">
        <v>1509</v>
      </c>
      <c r="I206" t="s">
        <v>1664</v>
      </c>
      <c r="J206">
        <v>11233</v>
      </c>
      <c r="K206" t="s">
        <v>423</v>
      </c>
      <c r="L206" t="s">
        <v>423</v>
      </c>
      <c r="N206" t="s">
        <v>440</v>
      </c>
      <c r="O206" t="s">
        <v>446</v>
      </c>
      <c r="Q206" t="s">
        <v>450</v>
      </c>
      <c r="T206" t="s">
        <v>453</v>
      </c>
      <c r="U206" t="s">
        <v>457</v>
      </c>
      <c r="W206">
        <v>1056</v>
      </c>
      <c r="X206" t="s">
        <v>458</v>
      </c>
      <c r="AA206" t="s">
        <v>2044</v>
      </c>
      <c r="AD206">
        <v>359</v>
      </c>
      <c r="AE206" t="s">
        <v>622</v>
      </c>
      <c r="AF206" t="s">
        <v>625</v>
      </c>
      <c r="AG206">
        <v>9</v>
      </c>
      <c r="AH206">
        <v>2</v>
      </c>
      <c r="AI206">
        <v>0</v>
      </c>
      <c r="AJ206">
        <v>37.21</v>
      </c>
      <c r="AM206" t="s">
        <v>629</v>
      </c>
      <c r="AN206">
        <v>6292</v>
      </c>
      <c r="AO206" t="s">
        <v>2467</v>
      </c>
      <c r="AT206">
        <v>0</v>
      </c>
      <c r="AV206" t="s">
        <v>674</v>
      </c>
    </row>
    <row r="207" spans="1:49">
      <c r="A207" s="1">
        <f>HYPERLINK("https://lsnyc.legalserver.org/matter/dynamic-profile/view/1896627","19-1896627")</f>
        <v>0</v>
      </c>
      <c r="B207" t="s">
        <v>691</v>
      </c>
      <c r="C207" t="s">
        <v>55</v>
      </c>
      <c r="D207" t="s">
        <v>791</v>
      </c>
      <c r="F207" t="s">
        <v>882</v>
      </c>
      <c r="G207" t="s">
        <v>1244</v>
      </c>
      <c r="H207" t="s">
        <v>1509</v>
      </c>
      <c r="I207" t="s">
        <v>1664</v>
      </c>
      <c r="J207">
        <v>11233</v>
      </c>
      <c r="K207" t="s">
        <v>423</v>
      </c>
      <c r="L207" t="s">
        <v>423</v>
      </c>
      <c r="N207" t="s">
        <v>1816</v>
      </c>
      <c r="O207" t="s">
        <v>443</v>
      </c>
      <c r="Q207" t="s">
        <v>450</v>
      </c>
      <c r="R207" t="s">
        <v>424</v>
      </c>
      <c r="T207" t="s">
        <v>453</v>
      </c>
      <c r="U207" t="s">
        <v>457</v>
      </c>
      <c r="W207">
        <v>1056</v>
      </c>
      <c r="X207" t="s">
        <v>458</v>
      </c>
      <c r="AA207" t="s">
        <v>2044</v>
      </c>
      <c r="AD207">
        <v>359</v>
      </c>
      <c r="AE207" t="s">
        <v>622</v>
      </c>
      <c r="AF207" t="s">
        <v>625</v>
      </c>
      <c r="AG207">
        <v>9</v>
      </c>
      <c r="AH207">
        <v>2</v>
      </c>
      <c r="AI207">
        <v>0</v>
      </c>
      <c r="AJ207">
        <v>37.21</v>
      </c>
      <c r="AM207" t="s">
        <v>629</v>
      </c>
      <c r="AN207">
        <v>6292</v>
      </c>
      <c r="AT207">
        <v>0</v>
      </c>
      <c r="AV207" t="s">
        <v>674</v>
      </c>
    </row>
    <row r="208" spans="1:49">
      <c r="A208" s="1">
        <f>HYPERLINK("https://lsnyc.legalserver.org/matter/dynamic-profile/view/1888217","19-1888217")</f>
        <v>0</v>
      </c>
      <c r="B208" t="s">
        <v>691</v>
      </c>
      <c r="C208" t="s">
        <v>55</v>
      </c>
      <c r="D208" t="s">
        <v>704</v>
      </c>
      <c r="F208" t="s">
        <v>1013</v>
      </c>
      <c r="G208" t="s">
        <v>1264</v>
      </c>
      <c r="H208" t="s">
        <v>1508</v>
      </c>
      <c r="I208" t="s">
        <v>1597</v>
      </c>
      <c r="J208">
        <v>11215</v>
      </c>
      <c r="K208" t="s">
        <v>423</v>
      </c>
      <c r="L208" t="s">
        <v>423</v>
      </c>
      <c r="N208" t="s">
        <v>436</v>
      </c>
      <c r="O208" t="s">
        <v>445</v>
      </c>
      <c r="Q208" t="s">
        <v>450</v>
      </c>
      <c r="R208" t="s">
        <v>424</v>
      </c>
      <c r="T208" t="s">
        <v>453</v>
      </c>
      <c r="U208" t="s">
        <v>457</v>
      </c>
      <c r="W208">
        <v>149</v>
      </c>
      <c r="X208" t="s">
        <v>458</v>
      </c>
      <c r="Y208" t="s">
        <v>467</v>
      </c>
      <c r="AA208" t="s">
        <v>2045</v>
      </c>
      <c r="AD208">
        <v>7</v>
      </c>
      <c r="AE208" t="s">
        <v>2421</v>
      </c>
      <c r="AF208" t="s">
        <v>625</v>
      </c>
      <c r="AG208">
        <v>42</v>
      </c>
      <c r="AH208">
        <v>2</v>
      </c>
      <c r="AI208">
        <v>0</v>
      </c>
      <c r="AJ208">
        <v>63.06</v>
      </c>
      <c r="AM208" t="s">
        <v>629</v>
      </c>
      <c r="AN208">
        <v>10380</v>
      </c>
      <c r="AT208">
        <v>0</v>
      </c>
      <c r="AV208" t="s">
        <v>666</v>
      </c>
    </row>
    <row r="209" spans="1:49">
      <c r="A209" s="1">
        <f>HYPERLINK("https://lsnyc.legalserver.org/matter/dynamic-profile/view/1887156","19-1887156")</f>
        <v>0</v>
      </c>
      <c r="B209" t="s">
        <v>691</v>
      </c>
      <c r="C209" t="s">
        <v>55</v>
      </c>
      <c r="D209" t="s">
        <v>792</v>
      </c>
      <c r="F209" t="s">
        <v>167</v>
      </c>
      <c r="G209" t="s">
        <v>1265</v>
      </c>
      <c r="H209" t="s">
        <v>1396</v>
      </c>
      <c r="I209" t="s">
        <v>1665</v>
      </c>
      <c r="J209">
        <v>11233</v>
      </c>
      <c r="K209" t="s">
        <v>424</v>
      </c>
      <c r="L209" t="s">
        <v>424</v>
      </c>
      <c r="N209" t="s">
        <v>440</v>
      </c>
      <c r="O209" t="s">
        <v>442</v>
      </c>
      <c r="Q209" t="s">
        <v>450</v>
      </c>
      <c r="R209" t="s">
        <v>424</v>
      </c>
      <c r="T209" t="s">
        <v>453</v>
      </c>
      <c r="U209" t="s">
        <v>457</v>
      </c>
      <c r="W209">
        <v>0</v>
      </c>
      <c r="X209" t="s">
        <v>458</v>
      </c>
      <c r="AA209" t="s">
        <v>1884</v>
      </c>
      <c r="AB209" t="s">
        <v>625</v>
      </c>
      <c r="AD209">
        <v>0</v>
      </c>
      <c r="AE209" t="s">
        <v>622</v>
      </c>
      <c r="AF209" t="s">
        <v>625</v>
      </c>
      <c r="AG209">
        <v>0</v>
      </c>
      <c r="AH209">
        <v>1</v>
      </c>
      <c r="AI209">
        <v>0</v>
      </c>
      <c r="AJ209">
        <v>329.49</v>
      </c>
      <c r="AM209" t="s">
        <v>629</v>
      </c>
      <c r="AN209">
        <v>40000</v>
      </c>
      <c r="AT209">
        <v>0</v>
      </c>
      <c r="AV209" t="s">
        <v>666</v>
      </c>
    </row>
    <row r="210" spans="1:49">
      <c r="A210" s="1">
        <f>HYPERLINK("https://lsnyc.legalserver.org/matter/dynamic-profile/view/1892512","19-1892512")</f>
        <v>0</v>
      </c>
      <c r="B210" t="s">
        <v>691</v>
      </c>
      <c r="C210" t="s">
        <v>55</v>
      </c>
      <c r="D210" t="s">
        <v>793</v>
      </c>
      <c r="F210" t="s">
        <v>1014</v>
      </c>
      <c r="G210" t="s">
        <v>1232</v>
      </c>
      <c r="H210" t="s">
        <v>1509</v>
      </c>
      <c r="I210" t="s">
        <v>1666</v>
      </c>
      <c r="J210">
        <v>11233</v>
      </c>
      <c r="K210" t="s">
        <v>424</v>
      </c>
      <c r="L210" t="s">
        <v>423</v>
      </c>
      <c r="M210" t="s">
        <v>625</v>
      </c>
      <c r="N210" t="s">
        <v>440</v>
      </c>
      <c r="O210" t="s">
        <v>446</v>
      </c>
      <c r="Q210" t="s">
        <v>450</v>
      </c>
      <c r="R210" t="s">
        <v>424</v>
      </c>
      <c r="T210" t="s">
        <v>453</v>
      </c>
      <c r="U210" t="s">
        <v>457</v>
      </c>
      <c r="W210">
        <v>0</v>
      </c>
      <c r="X210" t="s">
        <v>458</v>
      </c>
      <c r="Y210" t="s">
        <v>459</v>
      </c>
      <c r="AA210" t="s">
        <v>1884</v>
      </c>
      <c r="AB210" t="s">
        <v>625</v>
      </c>
      <c r="AD210">
        <v>359</v>
      </c>
      <c r="AE210" t="s">
        <v>622</v>
      </c>
      <c r="AF210" t="s">
        <v>625</v>
      </c>
      <c r="AG210">
        <v>43</v>
      </c>
      <c r="AH210">
        <v>2</v>
      </c>
      <c r="AI210">
        <v>0</v>
      </c>
      <c r="AJ210">
        <v>413.96</v>
      </c>
      <c r="AM210" t="s">
        <v>629</v>
      </c>
      <c r="AN210">
        <v>70000</v>
      </c>
      <c r="AO210" t="s">
        <v>2468</v>
      </c>
      <c r="AT210">
        <v>0</v>
      </c>
      <c r="AV210" t="s">
        <v>674</v>
      </c>
      <c r="AW210" t="s">
        <v>625</v>
      </c>
    </row>
    <row r="211" spans="1:49">
      <c r="A211" s="1">
        <f>HYPERLINK("https://lsnyc.legalserver.org/matter/dynamic-profile/view/1891464","19-1891464")</f>
        <v>0</v>
      </c>
      <c r="B211" t="s">
        <v>691</v>
      </c>
      <c r="C211" t="s">
        <v>55</v>
      </c>
      <c r="D211" t="s">
        <v>794</v>
      </c>
      <c r="F211" t="s">
        <v>1015</v>
      </c>
      <c r="G211" t="s">
        <v>1193</v>
      </c>
      <c r="H211" t="s">
        <v>1509</v>
      </c>
      <c r="I211" t="s">
        <v>1667</v>
      </c>
      <c r="J211">
        <v>11233</v>
      </c>
      <c r="K211" t="s">
        <v>424</v>
      </c>
      <c r="L211" t="s">
        <v>423</v>
      </c>
      <c r="N211" t="s">
        <v>1816</v>
      </c>
      <c r="O211" t="s">
        <v>443</v>
      </c>
      <c r="Q211" t="s">
        <v>450</v>
      </c>
      <c r="R211" t="s">
        <v>424</v>
      </c>
      <c r="T211" t="s">
        <v>453</v>
      </c>
      <c r="U211" t="s">
        <v>457</v>
      </c>
      <c r="W211">
        <v>1027</v>
      </c>
      <c r="X211" t="s">
        <v>458</v>
      </c>
      <c r="Y211" t="s">
        <v>1837</v>
      </c>
      <c r="AA211" t="s">
        <v>2046</v>
      </c>
      <c r="AB211" t="s">
        <v>625</v>
      </c>
      <c r="AD211">
        <v>359</v>
      </c>
      <c r="AE211" t="s">
        <v>622</v>
      </c>
      <c r="AF211" t="s">
        <v>625</v>
      </c>
      <c r="AG211">
        <v>7</v>
      </c>
      <c r="AH211">
        <v>2</v>
      </c>
      <c r="AI211">
        <v>0</v>
      </c>
      <c r="AJ211">
        <v>420.19</v>
      </c>
      <c r="AM211" t="s">
        <v>629</v>
      </c>
      <c r="AN211">
        <v>71054</v>
      </c>
      <c r="AO211" t="s">
        <v>2469</v>
      </c>
      <c r="AT211">
        <v>0</v>
      </c>
      <c r="AV211" t="s">
        <v>674</v>
      </c>
      <c r="AW211" t="s">
        <v>625</v>
      </c>
    </row>
    <row r="212" spans="1:49">
      <c r="A212" s="1">
        <f>HYPERLINK("https://lsnyc.legalserver.org/matter/dynamic-profile/view/1890634","19-1890634")</f>
        <v>0</v>
      </c>
      <c r="B212" t="s">
        <v>691</v>
      </c>
      <c r="C212" t="s">
        <v>55</v>
      </c>
      <c r="D212" t="s">
        <v>795</v>
      </c>
      <c r="F212" t="s">
        <v>166</v>
      </c>
      <c r="G212" t="s">
        <v>1266</v>
      </c>
      <c r="H212" t="s">
        <v>1509</v>
      </c>
      <c r="I212" t="s">
        <v>1668</v>
      </c>
      <c r="J212">
        <v>11233</v>
      </c>
      <c r="K212" t="s">
        <v>424</v>
      </c>
      <c r="L212" t="s">
        <v>423</v>
      </c>
      <c r="M212" t="s">
        <v>625</v>
      </c>
      <c r="N212" t="s">
        <v>440</v>
      </c>
      <c r="O212" t="s">
        <v>446</v>
      </c>
      <c r="Q212" t="s">
        <v>450</v>
      </c>
      <c r="R212" t="s">
        <v>424</v>
      </c>
      <c r="T212" t="s">
        <v>453</v>
      </c>
      <c r="U212" t="s">
        <v>457</v>
      </c>
      <c r="W212">
        <v>776.46</v>
      </c>
      <c r="X212" t="s">
        <v>458</v>
      </c>
      <c r="Y212" t="s">
        <v>459</v>
      </c>
      <c r="AA212" t="s">
        <v>2047</v>
      </c>
      <c r="AD212">
        <v>359</v>
      </c>
      <c r="AE212" t="s">
        <v>622</v>
      </c>
      <c r="AF212" t="s">
        <v>625</v>
      </c>
      <c r="AG212">
        <v>2</v>
      </c>
      <c r="AH212">
        <v>2</v>
      </c>
      <c r="AI212">
        <v>0</v>
      </c>
      <c r="AJ212">
        <v>543.35</v>
      </c>
      <c r="AM212" t="s">
        <v>629</v>
      </c>
      <c r="AN212">
        <v>91879.89999999999</v>
      </c>
      <c r="AO212" t="s">
        <v>2470</v>
      </c>
      <c r="AT212">
        <v>0</v>
      </c>
      <c r="AV212" t="s">
        <v>674</v>
      </c>
      <c r="AW212" t="s">
        <v>625</v>
      </c>
    </row>
    <row r="213" spans="1:49">
      <c r="A213" s="1">
        <f>HYPERLINK("https://lsnyc.legalserver.org/matter/dynamic-profile/view/1891621","19-1891621")</f>
        <v>0</v>
      </c>
      <c r="B213" t="s">
        <v>691</v>
      </c>
      <c r="C213" t="s">
        <v>55</v>
      </c>
      <c r="D213" t="s">
        <v>136</v>
      </c>
      <c r="F213" t="s">
        <v>166</v>
      </c>
      <c r="G213" t="s">
        <v>1266</v>
      </c>
      <c r="H213" t="s">
        <v>1509</v>
      </c>
      <c r="I213" t="s">
        <v>1668</v>
      </c>
      <c r="J213">
        <v>11233</v>
      </c>
      <c r="K213" t="s">
        <v>424</v>
      </c>
      <c r="L213" t="s">
        <v>423</v>
      </c>
      <c r="N213" t="s">
        <v>1816</v>
      </c>
      <c r="O213" t="s">
        <v>443</v>
      </c>
      <c r="Q213" t="s">
        <v>450</v>
      </c>
      <c r="R213" t="s">
        <v>424</v>
      </c>
      <c r="T213" t="s">
        <v>453</v>
      </c>
      <c r="U213" t="s">
        <v>457</v>
      </c>
      <c r="W213">
        <v>776.46</v>
      </c>
      <c r="X213" t="s">
        <v>458</v>
      </c>
      <c r="Y213" t="s">
        <v>459</v>
      </c>
      <c r="AA213" t="s">
        <v>2047</v>
      </c>
      <c r="AB213" t="s">
        <v>625</v>
      </c>
      <c r="AD213">
        <v>359</v>
      </c>
      <c r="AE213" t="s">
        <v>622</v>
      </c>
      <c r="AF213" t="s">
        <v>625</v>
      </c>
      <c r="AG213">
        <v>2</v>
      </c>
      <c r="AH213">
        <v>2</v>
      </c>
      <c r="AI213">
        <v>0</v>
      </c>
      <c r="AJ213">
        <v>543.35</v>
      </c>
      <c r="AM213" t="s">
        <v>629</v>
      </c>
      <c r="AN213">
        <v>91879.89999999999</v>
      </c>
      <c r="AO213" t="s">
        <v>2471</v>
      </c>
      <c r="AT213">
        <v>0</v>
      </c>
      <c r="AV213" t="s">
        <v>674</v>
      </c>
      <c r="AW213" t="s">
        <v>625</v>
      </c>
    </row>
    <row r="214" spans="1:49">
      <c r="A214" s="1">
        <f>HYPERLINK("https://lsnyc.legalserver.org/matter/dynamic-profile/view/0821335","16-0821335")</f>
        <v>0</v>
      </c>
      <c r="B214" t="s">
        <v>692</v>
      </c>
      <c r="C214" t="s">
        <v>54</v>
      </c>
      <c r="D214" t="s">
        <v>796</v>
      </c>
      <c r="E214" t="s">
        <v>745</v>
      </c>
      <c r="F214" t="s">
        <v>1016</v>
      </c>
      <c r="G214" t="s">
        <v>1214</v>
      </c>
      <c r="H214" t="s">
        <v>1510</v>
      </c>
      <c r="I214">
        <v>4</v>
      </c>
      <c r="J214">
        <v>11233</v>
      </c>
      <c r="K214" t="s">
        <v>424</v>
      </c>
      <c r="L214" t="s">
        <v>422</v>
      </c>
      <c r="M214" t="s">
        <v>1773</v>
      </c>
      <c r="N214" t="s">
        <v>434</v>
      </c>
      <c r="O214" t="s">
        <v>441</v>
      </c>
      <c r="P214" t="s">
        <v>447</v>
      </c>
      <c r="Q214" t="s">
        <v>450</v>
      </c>
      <c r="R214" t="s">
        <v>424</v>
      </c>
      <c r="T214" t="s">
        <v>453</v>
      </c>
      <c r="W214">
        <v>2175</v>
      </c>
      <c r="X214" t="s">
        <v>458</v>
      </c>
      <c r="Y214" t="s">
        <v>1835</v>
      </c>
      <c r="Z214" t="s">
        <v>470</v>
      </c>
      <c r="AA214" t="s">
        <v>2048</v>
      </c>
      <c r="AC214" t="s">
        <v>2344</v>
      </c>
      <c r="AD214">
        <v>4</v>
      </c>
      <c r="AE214" t="s">
        <v>623</v>
      </c>
      <c r="AF214" t="s">
        <v>626</v>
      </c>
      <c r="AG214">
        <v>5</v>
      </c>
      <c r="AH214">
        <v>3</v>
      </c>
      <c r="AI214">
        <v>5</v>
      </c>
      <c r="AJ214">
        <v>70.12</v>
      </c>
      <c r="AM214" t="s">
        <v>629</v>
      </c>
      <c r="AN214">
        <v>28672</v>
      </c>
      <c r="AT214">
        <v>0.3</v>
      </c>
      <c r="AU214" t="s">
        <v>73</v>
      </c>
      <c r="AV214" t="s">
        <v>666</v>
      </c>
    </row>
    <row r="215" spans="1:49">
      <c r="A215" s="1">
        <f>HYPERLINK("https://lsnyc.legalserver.org/matter/dynamic-profile/view/0827260","17-0827260")</f>
        <v>0</v>
      </c>
      <c r="B215" t="s">
        <v>692</v>
      </c>
      <c r="C215" t="s">
        <v>54</v>
      </c>
      <c r="D215" t="s">
        <v>797</v>
      </c>
      <c r="E215" t="s">
        <v>745</v>
      </c>
      <c r="F215" t="s">
        <v>1017</v>
      </c>
      <c r="G215" t="s">
        <v>1267</v>
      </c>
      <c r="H215" t="s">
        <v>1511</v>
      </c>
      <c r="J215">
        <v>11208</v>
      </c>
      <c r="K215" t="s">
        <v>424</v>
      </c>
      <c r="L215" t="s">
        <v>422</v>
      </c>
      <c r="M215" t="s">
        <v>1774</v>
      </c>
      <c r="N215" t="s">
        <v>437</v>
      </c>
      <c r="O215" t="s">
        <v>442</v>
      </c>
      <c r="P215" t="s">
        <v>449</v>
      </c>
      <c r="Q215" t="s">
        <v>450</v>
      </c>
      <c r="T215" t="s">
        <v>453</v>
      </c>
      <c r="W215">
        <v>1500</v>
      </c>
      <c r="X215" t="s">
        <v>458</v>
      </c>
      <c r="Z215" t="s">
        <v>473</v>
      </c>
      <c r="AA215" t="s">
        <v>2049</v>
      </c>
      <c r="AC215" t="s">
        <v>2345</v>
      </c>
      <c r="AD215">
        <v>2</v>
      </c>
      <c r="AG215">
        <v>8</v>
      </c>
      <c r="AH215">
        <v>1</v>
      </c>
      <c r="AI215">
        <v>0</v>
      </c>
      <c r="AJ215">
        <v>164.48</v>
      </c>
      <c r="AM215" t="s">
        <v>629</v>
      </c>
      <c r="AN215">
        <v>19836</v>
      </c>
      <c r="AT215">
        <v>6.4</v>
      </c>
      <c r="AU215" t="s">
        <v>73</v>
      </c>
      <c r="AV215" t="s">
        <v>2520</v>
      </c>
    </row>
    <row r="216" spans="1:49">
      <c r="A216" s="1">
        <f>HYPERLINK("https://lsnyc.legalserver.org/matter/dynamic-profile/view/1895299","19-1895299")</f>
        <v>0</v>
      </c>
      <c r="B216" t="s">
        <v>693</v>
      </c>
      <c r="C216" t="s">
        <v>55</v>
      </c>
      <c r="D216" t="s">
        <v>739</v>
      </c>
      <c r="F216" t="s">
        <v>183</v>
      </c>
      <c r="G216" t="s">
        <v>1268</v>
      </c>
      <c r="H216" t="s">
        <v>1512</v>
      </c>
      <c r="I216" t="s">
        <v>384</v>
      </c>
      <c r="J216">
        <v>11233</v>
      </c>
      <c r="K216" t="s">
        <v>424</v>
      </c>
      <c r="L216" t="s">
        <v>423</v>
      </c>
      <c r="N216" t="s">
        <v>1823</v>
      </c>
      <c r="O216" t="s">
        <v>1825</v>
      </c>
      <c r="Q216" t="s">
        <v>450</v>
      </c>
      <c r="R216" t="s">
        <v>424</v>
      </c>
      <c r="T216" t="s">
        <v>1832</v>
      </c>
      <c r="W216">
        <v>0</v>
      </c>
      <c r="X216" t="s">
        <v>458</v>
      </c>
      <c r="AA216" t="s">
        <v>2050</v>
      </c>
      <c r="AC216" t="s">
        <v>2346</v>
      </c>
      <c r="AD216">
        <v>6</v>
      </c>
      <c r="AE216" t="s">
        <v>622</v>
      </c>
      <c r="AG216">
        <v>1</v>
      </c>
      <c r="AH216">
        <v>1</v>
      </c>
      <c r="AI216">
        <v>0</v>
      </c>
      <c r="AJ216">
        <v>9.550000000000001</v>
      </c>
      <c r="AM216" t="s">
        <v>629</v>
      </c>
      <c r="AN216">
        <v>1192.8</v>
      </c>
      <c r="AT216">
        <v>14</v>
      </c>
      <c r="AU216" t="s">
        <v>115</v>
      </c>
      <c r="AV216" t="s">
        <v>666</v>
      </c>
    </row>
    <row r="217" spans="1:49">
      <c r="A217" s="1">
        <f>HYPERLINK("https://lsnyc.legalserver.org/matter/dynamic-profile/view/1900002","19-1900002")</f>
        <v>0</v>
      </c>
      <c r="B217" t="s">
        <v>693</v>
      </c>
      <c r="C217" t="s">
        <v>55</v>
      </c>
      <c r="D217" t="s">
        <v>120</v>
      </c>
      <c r="F217" t="s">
        <v>1018</v>
      </c>
      <c r="G217" t="s">
        <v>1269</v>
      </c>
      <c r="H217" t="s">
        <v>1386</v>
      </c>
      <c r="I217" t="s">
        <v>398</v>
      </c>
      <c r="J217">
        <v>11206</v>
      </c>
      <c r="K217" t="s">
        <v>423</v>
      </c>
      <c r="L217" t="s">
        <v>422</v>
      </c>
      <c r="M217" t="s">
        <v>1775</v>
      </c>
      <c r="N217" t="s">
        <v>437</v>
      </c>
      <c r="O217" t="s">
        <v>445</v>
      </c>
      <c r="Q217" t="s">
        <v>450</v>
      </c>
      <c r="R217" t="s">
        <v>423</v>
      </c>
      <c r="T217" t="s">
        <v>453</v>
      </c>
      <c r="U217" t="s">
        <v>457</v>
      </c>
      <c r="W217">
        <v>473</v>
      </c>
      <c r="X217" t="s">
        <v>458</v>
      </c>
      <c r="Y217" t="s">
        <v>467</v>
      </c>
      <c r="AA217" t="s">
        <v>2051</v>
      </c>
      <c r="AC217" t="s">
        <v>2347</v>
      </c>
      <c r="AD217">
        <v>16</v>
      </c>
      <c r="AE217" t="s">
        <v>622</v>
      </c>
      <c r="AG217">
        <v>7</v>
      </c>
      <c r="AH217">
        <v>1</v>
      </c>
      <c r="AI217">
        <v>0</v>
      </c>
      <c r="AJ217">
        <v>73.98</v>
      </c>
      <c r="AM217" t="s">
        <v>629</v>
      </c>
      <c r="AN217">
        <v>9240</v>
      </c>
      <c r="AO217" t="s">
        <v>2472</v>
      </c>
      <c r="AT217">
        <v>12</v>
      </c>
      <c r="AU217" t="s">
        <v>654</v>
      </c>
      <c r="AV217" t="s">
        <v>666</v>
      </c>
      <c r="AW217" t="s">
        <v>625</v>
      </c>
    </row>
    <row r="218" spans="1:49">
      <c r="A218" s="1">
        <f>HYPERLINK("https://lsnyc.legalserver.org/matter/dynamic-profile/view/1894832","19-1894832")</f>
        <v>0</v>
      </c>
      <c r="B218" t="s">
        <v>693</v>
      </c>
      <c r="C218" t="s">
        <v>55</v>
      </c>
      <c r="D218" t="s">
        <v>798</v>
      </c>
      <c r="F218" t="s">
        <v>1019</v>
      </c>
      <c r="G218" t="s">
        <v>1270</v>
      </c>
      <c r="H218" t="s">
        <v>1513</v>
      </c>
      <c r="I218" t="s">
        <v>1590</v>
      </c>
      <c r="J218">
        <v>11233</v>
      </c>
      <c r="K218" t="s">
        <v>423</v>
      </c>
      <c r="L218" t="s">
        <v>423</v>
      </c>
      <c r="M218" t="s">
        <v>1776</v>
      </c>
      <c r="N218" t="s">
        <v>437</v>
      </c>
      <c r="O218" t="s">
        <v>445</v>
      </c>
      <c r="Q218" t="s">
        <v>450</v>
      </c>
      <c r="R218" t="s">
        <v>423</v>
      </c>
      <c r="T218" t="s">
        <v>453</v>
      </c>
      <c r="U218" t="s">
        <v>457</v>
      </c>
      <c r="W218">
        <v>2350</v>
      </c>
      <c r="X218" t="s">
        <v>458</v>
      </c>
      <c r="Y218" t="s">
        <v>467</v>
      </c>
      <c r="AA218" t="s">
        <v>2052</v>
      </c>
      <c r="AC218" t="s">
        <v>2348</v>
      </c>
      <c r="AD218">
        <v>7</v>
      </c>
      <c r="AE218" t="s">
        <v>622</v>
      </c>
      <c r="AG218">
        <v>2</v>
      </c>
      <c r="AH218">
        <v>2</v>
      </c>
      <c r="AI218">
        <v>0</v>
      </c>
      <c r="AJ218">
        <v>85.16</v>
      </c>
      <c r="AM218" t="s">
        <v>629</v>
      </c>
      <c r="AN218">
        <v>14400</v>
      </c>
      <c r="AT218">
        <v>53.65</v>
      </c>
      <c r="AU218" t="s">
        <v>843</v>
      </c>
      <c r="AV218" t="s">
        <v>666</v>
      </c>
    </row>
    <row r="219" spans="1:49">
      <c r="A219" s="1">
        <f>HYPERLINK("https://lsnyc.legalserver.org/matter/dynamic-profile/view/1889278","19-1889278")</f>
        <v>0</v>
      </c>
      <c r="B219" t="s">
        <v>693</v>
      </c>
      <c r="C219" t="s">
        <v>54</v>
      </c>
      <c r="D219" t="s">
        <v>787</v>
      </c>
      <c r="E219" t="s">
        <v>840</v>
      </c>
      <c r="F219" t="s">
        <v>1020</v>
      </c>
      <c r="G219" t="s">
        <v>1271</v>
      </c>
      <c r="H219" t="s">
        <v>1514</v>
      </c>
      <c r="I219" t="s">
        <v>1669</v>
      </c>
      <c r="J219">
        <v>11212</v>
      </c>
      <c r="K219" t="s">
        <v>423</v>
      </c>
      <c r="L219" t="s">
        <v>423</v>
      </c>
      <c r="M219" t="s">
        <v>1777</v>
      </c>
      <c r="N219" t="s">
        <v>434</v>
      </c>
      <c r="O219" t="s">
        <v>443</v>
      </c>
      <c r="P219" t="s">
        <v>447</v>
      </c>
      <c r="Q219" t="s">
        <v>450</v>
      </c>
      <c r="R219" t="s">
        <v>423</v>
      </c>
      <c r="T219" t="s">
        <v>453</v>
      </c>
      <c r="U219" t="s">
        <v>457</v>
      </c>
      <c r="W219">
        <v>800</v>
      </c>
      <c r="X219" t="s">
        <v>458</v>
      </c>
      <c r="Z219" t="s">
        <v>470</v>
      </c>
      <c r="AA219" t="s">
        <v>2053</v>
      </c>
      <c r="AC219" t="s">
        <v>2349</v>
      </c>
      <c r="AD219">
        <v>2</v>
      </c>
      <c r="AE219" t="s">
        <v>623</v>
      </c>
      <c r="AF219" t="s">
        <v>2427</v>
      </c>
      <c r="AG219">
        <v>1</v>
      </c>
      <c r="AH219">
        <v>1</v>
      </c>
      <c r="AI219">
        <v>1</v>
      </c>
      <c r="AJ219">
        <v>92.25</v>
      </c>
      <c r="AM219" t="s">
        <v>629</v>
      </c>
      <c r="AN219">
        <v>15600</v>
      </c>
      <c r="AT219">
        <v>2.5</v>
      </c>
      <c r="AU219" t="s">
        <v>788</v>
      </c>
      <c r="AV219" t="s">
        <v>668</v>
      </c>
    </row>
    <row r="220" spans="1:49">
      <c r="A220" s="1">
        <f>HYPERLINK("https://lsnyc.legalserver.org/matter/dynamic-profile/view/1899590","19-1899590")</f>
        <v>0</v>
      </c>
      <c r="B220" t="s">
        <v>693</v>
      </c>
      <c r="C220" t="s">
        <v>55</v>
      </c>
      <c r="D220" t="s">
        <v>799</v>
      </c>
      <c r="F220" t="s">
        <v>1021</v>
      </c>
      <c r="G220" t="s">
        <v>147</v>
      </c>
      <c r="H220" t="s">
        <v>1515</v>
      </c>
      <c r="I220" t="s">
        <v>1622</v>
      </c>
      <c r="J220">
        <v>11206</v>
      </c>
      <c r="K220" t="s">
        <v>423</v>
      </c>
      <c r="L220" t="s">
        <v>422</v>
      </c>
      <c r="M220" t="s">
        <v>1778</v>
      </c>
      <c r="N220" t="s">
        <v>437</v>
      </c>
      <c r="O220" t="s">
        <v>445</v>
      </c>
      <c r="Q220" t="s">
        <v>450</v>
      </c>
      <c r="R220" t="s">
        <v>423</v>
      </c>
      <c r="T220" t="s">
        <v>453</v>
      </c>
      <c r="U220" t="s">
        <v>457</v>
      </c>
      <c r="W220">
        <v>1155.44</v>
      </c>
      <c r="X220" t="s">
        <v>458</v>
      </c>
      <c r="Y220" t="s">
        <v>467</v>
      </c>
      <c r="AA220" t="s">
        <v>2054</v>
      </c>
      <c r="AC220" t="s">
        <v>2350</v>
      </c>
      <c r="AD220">
        <v>25</v>
      </c>
      <c r="AE220" t="s">
        <v>622</v>
      </c>
      <c r="AG220">
        <v>0</v>
      </c>
      <c r="AH220">
        <v>6</v>
      </c>
      <c r="AI220">
        <v>1</v>
      </c>
      <c r="AJ220">
        <v>178.42</v>
      </c>
      <c r="AM220" t="s">
        <v>629</v>
      </c>
      <c r="AN220">
        <v>69600</v>
      </c>
      <c r="AT220">
        <v>5.5</v>
      </c>
      <c r="AU220" t="s">
        <v>718</v>
      </c>
      <c r="AV220" t="s">
        <v>666</v>
      </c>
      <c r="AW220" t="s">
        <v>625</v>
      </c>
    </row>
    <row r="221" spans="1:49">
      <c r="A221" s="1">
        <f>HYPERLINK("https://lsnyc.legalserver.org/matter/dynamic-profile/view/1900703","19-1900703")</f>
        <v>0</v>
      </c>
      <c r="B221" t="s">
        <v>694</v>
      </c>
      <c r="C221" t="s">
        <v>55</v>
      </c>
      <c r="D221" t="s">
        <v>800</v>
      </c>
      <c r="F221" t="s">
        <v>1022</v>
      </c>
      <c r="G221" t="s">
        <v>1272</v>
      </c>
      <c r="H221" t="s">
        <v>1449</v>
      </c>
      <c r="I221" t="s">
        <v>392</v>
      </c>
      <c r="J221">
        <v>11213</v>
      </c>
      <c r="K221" t="s">
        <v>424</v>
      </c>
      <c r="L221" t="s">
        <v>422</v>
      </c>
      <c r="N221" t="s">
        <v>435</v>
      </c>
      <c r="O221" t="s">
        <v>442</v>
      </c>
      <c r="Q221" t="s">
        <v>450</v>
      </c>
      <c r="R221" t="s">
        <v>424</v>
      </c>
      <c r="T221" t="s">
        <v>453</v>
      </c>
      <c r="U221" t="s">
        <v>457</v>
      </c>
      <c r="W221">
        <v>862</v>
      </c>
      <c r="X221" t="s">
        <v>458</v>
      </c>
      <c r="Y221" t="s">
        <v>463</v>
      </c>
      <c r="AA221" t="s">
        <v>2055</v>
      </c>
      <c r="AC221" t="s">
        <v>2351</v>
      </c>
      <c r="AD221">
        <v>23</v>
      </c>
      <c r="AE221" t="s">
        <v>622</v>
      </c>
      <c r="AF221" t="s">
        <v>625</v>
      </c>
      <c r="AG221">
        <v>20</v>
      </c>
      <c r="AH221">
        <v>2</v>
      </c>
      <c r="AI221">
        <v>0</v>
      </c>
      <c r="AJ221">
        <v>0</v>
      </c>
      <c r="AM221" t="s">
        <v>629</v>
      </c>
      <c r="AN221">
        <v>0</v>
      </c>
      <c r="AO221" t="s">
        <v>2473</v>
      </c>
      <c r="AT221">
        <v>0.1</v>
      </c>
      <c r="AU221" t="s">
        <v>2506</v>
      </c>
      <c r="AV221" t="s">
        <v>666</v>
      </c>
      <c r="AW221" t="s">
        <v>625</v>
      </c>
    </row>
    <row r="222" spans="1:49">
      <c r="A222" s="1">
        <f>HYPERLINK("https://lsnyc.legalserver.org/matter/dynamic-profile/view/1858116","18-1858116")</f>
        <v>0</v>
      </c>
      <c r="B222" t="s">
        <v>694</v>
      </c>
      <c r="C222" t="s">
        <v>55</v>
      </c>
      <c r="D222" t="s">
        <v>801</v>
      </c>
      <c r="F222" t="s">
        <v>1023</v>
      </c>
      <c r="G222" t="s">
        <v>1273</v>
      </c>
      <c r="H222" t="s">
        <v>1516</v>
      </c>
      <c r="I222" t="s">
        <v>1597</v>
      </c>
      <c r="J222">
        <v>11237</v>
      </c>
      <c r="K222" t="s">
        <v>424</v>
      </c>
      <c r="L222" t="s">
        <v>423</v>
      </c>
      <c r="O222" t="s">
        <v>444</v>
      </c>
      <c r="Q222" t="s">
        <v>450</v>
      </c>
      <c r="R222" t="s">
        <v>424</v>
      </c>
      <c r="T222" t="s">
        <v>453</v>
      </c>
      <c r="W222">
        <v>850</v>
      </c>
      <c r="X222" t="s">
        <v>458</v>
      </c>
      <c r="AA222" t="s">
        <v>1933</v>
      </c>
      <c r="AC222" t="s">
        <v>2352</v>
      </c>
      <c r="AD222">
        <v>8</v>
      </c>
      <c r="AE222" t="s">
        <v>622</v>
      </c>
      <c r="AG222">
        <v>32</v>
      </c>
      <c r="AH222">
        <v>2</v>
      </c>
      <c r="AI222">
        <v>2</v>
      </c>
      <c r="AJ222">
        <v>26</v>
      </c>
      <c r="AM222" t="s">
        <v>629</v>
      </c>
      <c r="AN222">
        <v>6396</v>
      </c>
      <c r="AT222">
        <v>0</v>
      </c>
      <c r="AV222" t="s">
        <v>2520</v>
      </c>
    </row>
    <row r="223" spans="1:49">
      <c r="A223" s="1">
        <f>HYPERLINK("https://lsnyc.legalserver.org/matter/dynamic-profile/view/1861154","18-1861154")</f>
        <v>0</v>
      </c>
      <c r="B223" t="s">
        <v>694</v>
      </c>
      <c r="C223" t="s">
        <v>55</v>
      </c>
      <c r="D223" t="s">
        <v>802</v>
      </c>
      <c r="F223" t="s">
        <v>1024</v>
      </c>
      <c r="G223" t="s">
        <v>1274</v>
      </c>
      <c r="H223" t="s">
        <v>1517</v>
      </c>
      <c r="I223" t="s">
        <v>1670</v>
      </c>
      <c r="J223">
        <v>11212</v>
      </c>
      <c r="K223" t="s">
        <v>423</v>
      </c>
      <c r="L223" t="s">
        <v>422</v>
      </c>
      <c r="M223" t="s">
        <v>435</v>
      </c>
      <c r="Q223" t="s">
        <v>450</v>
      </c>
      <c r="T223" t="s">
        <v>453</v>
      </c>
      <c r="W223">
        <v>48</v>
      </c>
      <c r="X223" t="s">
        <v>458</v>
      </c>
      <c r="Y223" t="s">
        <v>460</v>
      </c>
      <c r="AA223" t="s">
        <v>2056</v>
      </c>
      <c r="AC223" t="s">
        <v>2353</v>
      </c>
      <c r="AD223">
        <v>43</v>
      </c>
      <c r="AE223" t="s">
        <v>622</v>
      </c>
      <c r="AF223" t="s">
        <v>626</v>
      </c>
      <c r="AG223">
        <v>9</v>
      </c>
      <c r="AH223">
        <v>1</v>
      </c>
      <c r="AI223">
        <v>0</v>
      </c>
      <c r="AJ223">
        <v>76.11</v>
      </c>
      <c r="AM223" t="s">
        <v>631</v>
      </c>
      <c r="AN223">
        <v>9240</v>
      </c>
      <c r="AT223">
        <v>1.75</v>
      </c>
      <c r="AU223" t="s">
        <v>2507</v>
      </c>
      <c r="AV223" t="s">
        <v>2516</v>
      </c>
    </row>
    <row r="224" spans="1:49">
      <c r="A224" s="1">
        <f>HYPERLINK("https://lsnyc.legalserver.org/matter/dynamic-profile/view/0826379","17-0826379")</f>
        <v>0</v>
      </c>
      <c r="B224" t="s">
        <v>694</v>
      </c>
      <c r="C224" t="s">
        <v>55</v>
      </c>
      <c r="D224" t="s">
        <v>803</v>
      </c>
      <c r="F224" t="s">
        <v>1025</v>
      </c>
      <c r="G224" t="s">
        <v>1275</v>
      </c>
      <c r="H224" t="s">
        <v>1518</v>
      </c>
      <c r="I224" t="s">
        <v>1655</v>
      </c>
      <c r="J224">
        <v>11207</v>
      </c>
      <c r="K224" t="s">
        <v>424</v>
      </c>
      <c r="L224" t="s">
        <v>422</v>
      </c>
      <c r="O224" t="s">
        <v>441</v>
      </c>
      <c r="Q224" t="s">
        <v>450</v>
      </c>
      <c r="R224" t="s">
        <v>423</v>
      </c>
      <c r="T224" t="s">
        <v>453</v>
      </c>
      <c r="W224">
        <v>1650</v>
      </c>
      <c r="X224" t="s">
        <v>458</v>
      </c>
      <c r="Y224" t="s">
        <v>467</v>
      </c>
      <c r="AA224" t="s">
        <v>2057</v>
      </c>
      <c r="AC224" t="s">
        <v>2354</v>
      </c>
      <c r="AD224">
        <v>5</v>
      </c>
      <c r="AE224" t="s">
        <v>621</v>
      </c>
      <c r="AF224" t="s">
        <v>626</v>
      </c>
      <c r="AG224">
        <v>10</v>
      </c>
      <c r="AH224">
        <v>4</v>
      </c>
      <c r="AI224">
        <v>3</v>
      </c>
      <c r="AJ224">
        <v>81.84</v>
      </c>
      <c r="AM224" t="s">
        <v>629</v>
      </c>
      <c r="AN224">
        <v>30394</v>
      </c>
      <c r="AT224">
        <v>0.2</v>
      </c>
      <c r="AU224" t="s">
        <v>2508</v>
      </c>
      <c r="AV224" t="s">
        <v>666</v>
      </c>
    </row>
    <row r="225" spans="1:49">
      <c r="A225" s="1">
        <f>HYPERLINK("https://lsnyc.legalserver.org/matter/dynamic-profile/view/1877280","18-1877280")</f>
        <v>0</v>
      </c>
      <c r="B225" t="s">
        <v>694</v>
      </c>
      <c r="C225" t="s">
        <v>55</v>
      </c>
      <c r="D225" t="s">
        <v>736</v>
      </c>
      <c r="F225" t="s">
        <v>1026</v>
      </c>
      <c r="G225" t="s">
        <v>1276</v>
      </c>
      <c r="H225" t="s">
        <v>1519</v>
      </c>
      <c r="I225" t="s">
        <v>1671</v>
      </c>
      <c r="J225">
        <v>11207</v>
      </c>
      <c r="K225" t="s">
        <v>423</v>
      </c>
      <c r="L225" t="s">
        <v>422</v>
      </c>
      <c r="N225" t="s">
        <v>435</v>
      </c>
      <c r="O225" t="s">
        <v>443</v>
      </c>
      <c r="Q225" t="s">
        <v>450</v>
      </c>
      <c r="R225" t="s">
        <v>423</v>
      </c>
      <c r="T225" t="s">
        <v>453</v>
      </c>
      <c r="W225">
        <v>1050.19</v>
      </c>
      <c r="X225" t="s">
        <v>458</v>
      </c>
      <c r="Y225" t="s">
        <v>460</v>
      </c>
      <c r="AA225" t="s">
        <v>2058</v>
      </c>
      <c r="AC225" t="s">
        <v>2355</v>
      </c>
      <c r="AD225">
        <v>66</v>
      </c>
      <c r="AE225" t="s">
        <v>622</v>
      </c>
      <c r="AF225" t="s">
        <v>626</v>
      </c>
      <c r="AG225">
        <v>14</v>
      </c>
      <c r="AH225">
        <v>1</v>
      </c>
      <c r="AI225">
        <v>0</v>
      </c>
      <c r="AJ225">
        <v>98.84999999999999</v>
      </c>
      <c r="AM225" t="s">
        <v>629</v>
      </c>
      <c r="AN225">
        <v>12000</v>
      </c>
      <c r="AT225">
        <v>1.7</v>
      </c>
      <c r="AU225" t="s">
        <v>779</v>
      </c>
      <c r="AV225" t="s">
        <v>666</v>
      </c>
    </row>
    <row r="226" spans="1:49">
      <c r="A226" s="1">
        <f>HYPERLINK("https://lsnyc.legalserver.org/matter/dynamic-profile/view/1895283","19-1895283")</f>
        <v>0</v>
      </c>
      <c r="B226" t="s">
        <v>694</v>
      </c>
      <c r="C226" t="s">
        <v>55</v>
      </c>
      <c r="D226" t="s">
        <v>804</v>
      </c>
      <c r="F226" t="s">
        <v>1027</v>
      </c>
      <c r="G226" t="s">
        <v>1208</v>
      </c>
      <c r="H226" t="s">
        <v>1383</v>
      </c>
      <c r="I226" t="s">
        <v>371</v>
      </c>
      <c r="J226">
        <v>11212</v>
      </c>
      <c r="K226" t="s">
        <v>423</v>
      </c>
      <c r="L226" t="s">
        <v>423</v>
      </c>
      <c r="M226" t="s">
        <v>1779</v>
      </c>
      <c r="N226" t="s">
        <v>1813</v>
      </c>
      <c r="O226" t="s">
        <v>443</v>
      </c>
      <c r="Q226" t="s">
        <v>450</v>
      </c>
      <c r="R226" t="s">
        <v>424</v>
      </c>
      <c r="T226" t="s">
        <v>1833</v>
      </c>
      <c r="U226" t="s">
        <v>456</v>
      </c>
      <c r="W226">
        <v>1326</v>
      </c>
      <c r="X226" t="s">
        <v>458</v>
      </c>
      <c r="Y226" t="s">
        <v>459</v>
      </c>
      <c r="AA226" t="s">
        <v>2059</v>
      </c>
      <c r="AD226">
        <v>16</v>
      </c>
      <c r="AE226" t="s">
        <v>622</v>
      </c>
      <c r="AF226" t="s">
        <v>2427</v>
      </c>
      <c r="AG226">
        <v>3</v>
      </c>
      <c r="AH226">
        <v>1</v>
      </c>
      <c r="AI226">
        <v>1</v>
      </c>
      <c r="AJ226">
        <v>116.88</v>
      </c>
      <c r="AM226" t="s">
        <v>629</v>
      </c>
      <c r="AN226">
        <v>19764</v>
      </c>
      <c r="AT226">
        <v>2.6</v>
      </c>
      <c r="AU226" t="s">
        <v>800</v>
      </c>
      <c r="AV226" t="s">
        <v>674</v>
      </c>
    </row>
    <row r="227" spans="1:49">
      <c r="A227" s="1">
        <f>HYPERLINK("https://lsnyc.legalserver.org/matter/dynamic-profile/view/0826416","17-0826416")</f>
        <v>0</v>
      </c>
      <c r="B227" t="s">
        <v>694</v>
      </c>
      <c r="C227" t="s">
        <v>55</v>
      </c>
      <c r="D227" t="s">
        <v>803</v>
      </c>
      <c r="F227" t="s">
        <v>202</v>
      </c>
      <c r="G227" t="s">
        <v>1277</v>
      </c>
      <c r="H227" t="s">
        <v>1520</v>
      </c>
      <c r="I227" t="s">
        <v>1597</v>
      </c>
      <c r="J227">
        <v>11207</v>
      </c>
      <c r="K227" t="s">
        <v>424</v>
      </c>
      <c r="L227" t="s">
        <v>422</v>
      </c>
      <c r="O227" t="s">
        <v>443</v>
      </c>
      <c r="Q227" t="s">
        <v>450</v>
      </c>
      <c r="R227" t="s">
        <v>1829</v>
      </c>
      <c r="T227" t="s">
        <v>453</v>
      </c>
      <c r="W227">
        <v>900</v>
      </c>
      <c r="X227" t="s">
        <v>458</v>
      </c>
      <c r="Y227" t="s">
        <v>469</v>
      </c>
      <c r="AA227" t="s">
        <v>2060</v>
      </c>
      <c r="AB227">
        <v>6515564</v>
      </c>
      <c r="AC227" t="s">
        <v>2356</v>
      </c>
      <c r="AD227">
        <v>6</v>
      </c>
      <c r="AF227" t="s">
        <v>2427</v>
      </c>
      <c r="AG227">
        <v>6</v>
      </c>
      <c r="AH227">
        <v>1</v>
      </c>
      <c r="AI227">
        <v>1</v>
      </c>
      <c r="AJ227">
        <v>136.01</v>
      </c>
      <c r="AM227" t="s">
        <v>629</v>
      </c>
      <c r="AN227">
        <v>22088</v>
      </c>
      <c r="AT227">
        <v>1</v>
      </c>
      <c r="AU227" t="s">
        <v>803</v>
      </c>
      <c r="AV227" t="s">
        <v>2526</v>
      </c>
    </row>
    <row r="228" spans="1:49">
      <c r="A228" s="1">
        <f>HYPERLINK("https://lsnyc.legalserver.org/matter/dynamic-profile/view/1895292","19-1895292")</f>
        <v>0</v>
      </c>
      <c r="B228" t="s">
        <v>694</v>
      </c>
      <c r="C228" t="s">
        <v>55</v>
      </c>
      <c r="D228" t="s">
        <v>739</v>
      </c>
      <c r="F228" t="s">
        <v>1028</v>
      </c>
      <c r="G228" t="s">
        <v>1278</v>
      </c>
      <c r="H228" t="s">
        <v>1399</v>
      </c>
      <c r="I228" t="s">
        <v>1585</v>
      </c>
      <c r="J228">
        <v>11212</v>
      </c>
      <c r="K228" t="s">
        <v>423</v>
      </c>
      <c r="L228" t="s">
        <v>423</v>
      </c>
      <c r="N228" t="s">
        <v>1823</v>
      </c>
      <c r="Q228" t="s">
        <v>450</v>
      </c>
      <c r="R228" t="s">
        <v>424</v>
      </c>
      <c r="T228" t="s">
        <v>453</v>
      </c>
      <c r="W228">
        <v>663</v>
      </c>
      <c r="X228" t="s">
        <v>458</v>
      </c>
      <c r="Y228" t="s">
        <v>459</v>
      </c>
      <c r="AA228" t="s">
        <v>2061</v>
      </c>
      <c r="AD228">
        <v>0</v>
      </c>
      <c r="AG228">
        <v>25</v>
      </c>
      <c r="AH228">
        <v>3</v>
      </c>
      <c r="AI228">
        <v>0</v>
      </c>
      <c r="AJ228">
        <v>150.02</v>
      </c>
      <c r="AM228" t="s">
        <v>629</v>
      </c>
      <c r="AN228">
        <v>32000</v>
      </c>
      <c r="AT228">
        <v>11.5</v>
      </c>
      <c r="AU228" t="s">
        <v>709</v>
      </c>
      <c r="AV228" t="s">
        <v>674</v>
      </c>
    </row>
    <row r="229" spans="1:49">
      <c r="A229" s="1">
        <f>HYPERLINK("https://lsnyc.legalserver.org/matter/dynamic-profile/view/1869101","18-1869101")</f>
        <v>0</v>
      </c>
      <c r="B229" t="s">
        <v>694</v>
      </c>
      <c r="C229" t="s">
        <v>54</v>
      </c>
      <c r="D229" t="s">
        <v>805</v>
      </c>
      <c r="E229" t="s">
        <v>89</v>
      </c>
      <c r="F229" t="s">
        <v>1029</v>
      </c>
      <c r="G229" t="s">
        <v>1279</v>
      </c>
      <c r="H229" t="s">
        <v>1521</v>
      </c>
      <c r="I229" t="s">
        <v>1672</v>
      </c>
      <c r="J229">
        <v>11208</v>
      </c>
      <c r="K229" t="s">
        <v>423</v>
      </c>
      <c r="L229" t="s">
        <v>422</v>
      </c>
      <c r="N229" t="s">
        <v>435</v>
      </c>
      <c r="O229" t="s">
        <v>441</v>
      </c>
      <c r="P229" t="s">
        <v>447</v>
      </c>
      <c r="Q229" t="s">
        <v>450</v>
      </c>
      <c r="T229" t="s">
        <v>453</v>
      </c>
      <c r="W229">
        <v>1340</v>
      </c>
      <c r="X229" t="s">
        <v>458</v>
      </c>
      <c r="Y229" t="s">
        <v>464</v>
      </c>
      <c r="Z229" t="s">
        <v>470</v>
      </c>
      <c r="AA229" t="s">
        <v>2062</v>
      </c>
      <c r="AC229" t="s">
        <v>2357</v>
      </c>
      <c r="AD229">
        <v>33</v>
      </c>
      <c r="AE229" t="s">
        <v>622</v>
      </c>
      <c r="AF229" t="s">
        <v>626</v>
      </c>
      <c r="AG229">
        <v>10</v>
      </c>
      <c r="AH229">
        <v>1</v>
      </c>
      <c r="AI229">
        <v>0</v>
      </c>
      <c r="AJ229">
        <v>190.77</v>
      </c>
      <c r="AM229" t="s">
        <v>629</v>
      </c>
      <c r="AN229">
        <v>23160</v>
      </c>
      <c r="AT229">
        <v>0.5</v>
      </c>
      <c r="AU229" t="s">
        <v>805</v>
      </c>
      <c r="AV229" t="s">
        <v>668</v>
      </c>
    </row>
    <row r="230" spans="1:49">
      <c r="A230" s="1">
        <f>HYPERLINK("https://lsnyc.legalserver.org/matter/dynamic-profile/view/1880274","18-1880274")</f>
        <v>0</v>
      </c>
      <c r="B230" t="s">
        <v>694</v>
      </c>
      <c r="C230" t="s">
        <v>55</v>
      </c>
      <c r="D230" t="s">
        <v>806</v>
      </c>
      <c r="F230" t="s">
        <v>1030</v>
      </c>
      <c r="G230" t="s">
        <v>1129</v>
      </c>
      <c r="H230" t="s">
        <v>1522</v>
      </c>
      <c r="I230">
        <v>7</v>
      </c>
      <c r="J230">
        <v>11213</v>
      </c>
      <c r="K230" t="s">
        <v>424</v>
      </c>
      <c r="L230" t="s">
        <v>424</v>
      </c>
      <c r="M230" t="s">
        <v>435</v>
      </c>
      <c r="N230" t="s">
        <v>1824</v>
      </c>
      <c r="O230" t="s">
        <v>443</v>
      </c>
      <c r="Q230" t="s">
        <v>450</v>
      </c>
      <c r="R230" t="s">
        <v>423</v>
      </c>
      <c r="T230" t="s">
        <v>453</v>
      </c>
      <c r="U230" t="s">
        <v>457</v>
      </c>
      <c r="W230">
        <v>931.36</v>
      </c>
      <c r="X230" t="s">
        <v>458</v>
      </c>
      <c r="AA230" t="s">
        <v>2063</v>
      </c>
      <c r="AB230" t="s">
        <v>625</v>
      </c>
      <c r="AD230">
        <v>31</v>
      </c>
      <c r="AE230" t="s">
        <v>622</v>
      </c>
      <c r="AF230" t="s">
        <v>625</v>
      </c>
      <c r="AG230">
        <v>35</v>
      </c>
      <c r="AH230">
        <v>2</v>
      </c>
      <c r="AI230">
        <v>0</v>
      </c>
      <c r="AJ230">
        <v>194.41</v>
      </c>
      <c r="AM230" t="s">
        <v>629</v>
      </c>
      <c r="AN230">
        <v>32000</v>
      </c>
      <c r="AO230" t="s">
        <v>2474</v>
      </c>
      <c r="AT230">
        <v>0</v>
      </c>
      <c r="AV230" t="s">
        <v>666</v>
      </c>
    </row>
    <row r="231" spans="1:49">
      <c r="A231" s="1">
        <f>HYPERLINK("https://lsnyc.legalserver.org/matter/dynamic-profile/view/1866220","18-1866220")</f>
        <v>0</v>
      </c>
      <c r="B231" t="s">
        <v>694</v>
      </c>
      <c r="C231" t="s">
        <v>55</v>
      </c>
      <c r="D231" t="s">
        <v>807</v>
      </c>
      <c r="F231" t="s">
        <v>1031</v>
      </c>
      <c r="G231" t="s">
        <v>1280</v>
      </c>
      <c r="H231" t="s">
        <v>1523</v>
      </c>
      <c r="J231">
        <v>11207</v>
      </c>
      <c r="K231" t="s">
        <v>423</v>
      </c>
      <c r="L231" t="s">
        <v>422</v>
      </c>
      <c r="M231" t="s">
        <v>435</v>
      </c>
      <c r="N231" t="s">
        <v>435</v>
      </c>
      <c r="Q231" t="s">
        <v>450</v>
      </c>
      <c r="R231" t="s">
        <v>1829</v>
      </c>
      <c r="T231" t="s">
        <v>453</v>
      </c>
      <c r="W231">
        <v>930</v>
      </c>
      <c r="X231" t="s">
        <v>458</v>
      </c>
      <c r="AA231" t="s">
        <v>2064</v>
      </c>
      <c r="AC231" t="s">
        <v>2358</v>
      </c>
      <c r="AD231">
        <v>7</v>
      </c>
      <c r="AE231" t="s">
        <v>621</v>
      </c>
      <c r="AF231" t="s">
        <v>625</v>
      </c>
      <c r="AG231">
        <v>0</v>
      </c>
      <c r="AH231">
        <v>1</v>
      </c>
      <c r="AI231">
        <v>0</v>
      </c>
      <c r="AJ231">
        <v>257</v>
      </c>
      <c r="AM231" t="s">
        <v>629</v>
      </c>
      <c r="AN231">
        <v>31200</v>
      </c>
      <c r="AT231">
        <v>0.5</v>
      </c>
      <c r="AU231" t="s">
        <v>807</v>
      </c>
      <c r="AV231" t="s">
        <v>2516</v>
      </c>
    </row>
    <row r="232" spans="1:49">
      <c r="A232" s="1">
        <f>HYPERLINK("https://lsnyc.legalserver.org/matter/dynamic-profile/view/1900688","19-1900688")</f>
        <v>0</v>
      </c>
      <c r="B232" t="s">
        <v>694</v>
      </c>
      <c r="C232" t="s">
        <v>55</v>
      </c>
      <c r="D232" t="s">
        <v>800</v>
      </c>
      <c r="F232" t="s">
        <v>1032</v>
      </c>
      <c r="G232" t="s">
        <v>1281</v>
      </c>
      <c r="H232" t="s">
        <v>1524</v>
      </c>
      <c r="I232" t="s">
        <v>1673</v>
      </c>
      <c r="J232">
        <v>11213</v>
      </c>
      <c r="K232" t="s">
        <v>424</v>
      </c>
      <c r="L232" t="s">
        <v>422</v>
      </c>
      <c r="N232" t="s">
        <v>435</v>
      </c>
      <c r="O232" t="s">
        <v>442</v>
      </c>
      <c r="Q232" t="s">
        <v>450</v>
      </c>
      <c r="R232" t="s">
        <v>424</v>
      </c>
      <c r="T232" t="s">
        <v>453</v>
      </c>
      <c r="U232" t="s">
        <v>457</v>
      </c>
      <c r="W232">
        <v>1169.88</v>
      </c>
      <c r="X232" t="s">
        <v>458</v>
      </c>
      <c r="Y232" t="s">
        <v>463</v>
      </c>
      <c r="AA232" t="s">
        <v>2065</v>
      </c>
      <c r="AC232" t="s">
        <v>2359</v>
      </c>
      <c r="AD232">
        <v>35</v>
      </c>
      <c r="AE232" t="s">
        <v>622</v>
      </c>
      <c r="AF232" t="s">
        <v>625</v>
      </c>
      <c r="AG232">
        <v>5</v>
      </c>
      <c r="AH232">
        <v>2</v>
      </c>
      <c r="AI232">
        <v>0</v>
      </c>
      <c r="AJ232">
        <v>425.78</v>
      </c>
      <c r="AM232" t="s">
        <v>629</v>
      </c>
      <c r="AN232">
        <v>72000</v>
      </c>
      <c r="AO232" t="s">
        <v>2475</v>
      </c>
      <c r="AT232">
        <v>0</v>
      </c>
      <c r="AV232" t="s">
        <v>666</v>
      </c>
      <c r="AW232" t="s">
        <v>671</v>
      </c>
    </row>
    <row r="233" spans="1:49">
      <c r="A233" s="1">
        <f>HYPERLINK("https://lsnyc.legalserver.org/matter/dynamic-profile/view/1900712","19-1900712")</f>
        <v>0</v>
      </c>
      <c r="B233" t="s">
        <v>694</v>
      </c>
      <c r="C233" t="s">
        <v>55</v>
      </c>
      <c r="D233" t="s">
        <v>800</v>
      </c>
      <c r="F233" t="s">
        <v>933</v>
      </c>
      <c r="G233" t="s">
        <v>196</v>
      </c>
      <c r="H233" t="s">
        <v>1525</v>
      </c>
      <c r="I233" t="s">
        <v>1674</v>
      </c>
      <c r="J233">
        <v>11213</v>
      </c>
      <c r="K233" t="s">
        <v>424</v>
      </c>
      <c r="L233" t="s">
        <v>422</v>
      </c>
      <c r="N233" t="s">
        <v>435</v>
      </c>
      <c r="O233" t="s">
        <v>442</v>
      </c>
      <c r="Q233" t="s">
        <v>450</v>
      </c>
      <c r="R233" t="s">
        <v>424</v>
      </c>
      <c r="T233" t="s">
        <v>453</v>
      </c>
      <c r="U233" t="s">
        <v>457</v>
      </c>
      <c r="W233">
        <v>1197</v>
      </c>
      <c r="X233" t="s">
        <v>458</v>
      </c>
      <c r="Y233" t="s">
        <v>463</v>
      </c>
      <c r="AA233" t="s">
        <v>2066</v>
      </c>
      <c r="AB233" t="s">
        <v>625</v>
      </c>
      <c r="AC233" t="s">
        <v>2360</v>
      </c>
      <c r="AD233">
        <v>34</v>
      </c>
      <c r="AE233" t="s">
        <v>622</v>
      </c>
      <c r="AF233" t="s">
        <v>625</v>
      </c>
      <c r="AG233">
        <v>7</v>
      </c>
      <c r="AH233">
        <v>3</v>
      </c>
      <c r="AI233">
        <v>0</v>
      </c>
      <c r="AJ233">
        <v>445.62</v>
      </c>
      <c r="AM233" t="s">
        <v>629</v>
      </c>
      <c r="AN233">
        <v>95050.08</v>
      </c>
      <c r="AO233" t="s">
        <v>2476</v>
      </c>
      <c r="AT233">
        <v>0</v>
      </c>
      <c r="AV233" t="s">
        <v>666</v>
      </c>
      <c r="AW233" t="s">
        <v>671</v>
      </c>
    </row>
    <row r="234" spans="1:49">
      <c r="A234" s="1">
        <f>HYPERLINK("https://lsnyc.legalserver.org/matter/dynamic-profile/view/1900809","19-1900809")</f>
        <v>0</v>
      </c>
      <c r="B234" t="s">
        <v>694</v>
      </c>
      <c r="C234" t="s">
        <v>55</v>
      </c>
      <c r="D234" t="s">
        <v>58</v>
      </c>
      <c r="F234" t="s">
        <v>1033</v>
      </c>
      <c r="G234" t="s">
        <v>1282</v>
      </c>
      <c r="H234" t="s">
        <v>1525</v>
      </c>
      <c r="I234" t="s">
        <v>1590</v>
      </c>
      <c r="J234">
        <v>11213</v>
      </c>
      <c r="K234" t="s">
        <v>424</v>
      </c>
      <c r="L234" t="s">
        <v>422</v>
      </c>
      <c r="N234" t="s">
        <v>435</v>
      </c>
      <c r="O234" t="s">
        <v>442</v>
      </c>
      <c r="Q234" t="s">
        <v>450</v>
      </c>
      <c r="R234" t="s">
        <v>424</v>
      </c>
      <c r="T234" t="s">
        <v>453</v>
      </c>
      <c r="U234" t="s">
        <v>457</v>
      </c>
      <c r="W234">
        <v>0</v>
      </c>
      <c r="X234" t="s">
        <v>458</v>
      </c>
      <c r="Y234" t="s">
        <v>463</v>
      </c>
      <c r="AA234" t="s">
        <v>2067</v>
      </c>
      <c r="AB234" t="s">
        <v>625</v>
      </c>
      <c r="AC234" t="s">
        <v>2361</v>
      </c>
      <c r="AD234">
        <v>34</v>
      </c>
      <c r="AE234" t="s">
        <v>622</v>
      </c>
      <c r="AF234" t="s">
        <v>625</v>
      </c>
      <c r="AG234">
        <v>0</v>
      </c>
      <c r="AH234">
        <v>1</v>
      </c>
      <c r="AI234">
        <v>0</v>
      </c>
      <c r="AJ234">
        <v>448.36</v>
      </c>
      <c r="AM234" t="s">
        <v>629</v>
      </c>
      <c r="AN234">
        <v>56000</v>
      </c>
      <c r="AO234" t="s">
        <v>2477</v>
      </c>
      <c r="AT234">
        <v>0</v>
      </c>
      <c r="AV234" t="s">
        <v>666</v>
      </c>
      <c r="AW234" t="s">
        <v>671</v>
      </c>
    </row>
    <row r="235" spans="1:49">
      <c r="A235" s="1">
        <f>HYPERLINK("https://lsnyc.legalserver.org/matter/dynamic-profile/view/1881736","18-1881736")</f>
        <v>0</v>
      </c>
      <c r="B235" t="s">
        <v>695</v>
      </c>
      <c r="C235" t="s">
        <v>55</v>
      </c>
      <c r="D235" t="s">
        <v>78</v>
      </c>
      <c r="F235" t="s">
        <v>1034</v>
      </c>
      <c r="G235" t="s">
        <v>1283</v>
      </c>
      <c r="H235" t="s">
        <v>1526</v>
      </c>
      <c r="I235">
        <v>21</v>
      </c>
      <c r="J235">
        <v>11212</v>
      </c>
      <c r="K235" t="s">
        <v>423</v>
      </c>
      <c r="L235" t="s">
        <v>423</v>
      </c>
      <c r="M235" t="s">
        <v>1780</v>
      </c>
      <c r="N235" t="s">
        <v>437</v>
      </c>
      <c r="O235" t="s">
        <v>445</v>
      </c>
      <c r="Q235" t="s">
        <v>450</v>
      </c>
      <c r="R235" t="s">
        <v>423</v>
      </c>
      <c r="T235" t="s">
        <v>453</v>
      </c>
      <c r="U235" t="s">
        <v>1834</v>
      </c>
      <c r="W235">
        <v>1200</v>
      </c>
      <c r="X235" t="s">
        <v>458</v>
      </c>
      <c r="Y235" t="s">
        <v>462</v>
      </c>
      <c r="AA235" t="s">
        <v>2068</v>
      </c>
      <c r="AB235" t="s">
        <v>2164</v>
      </c>
      <c r="AC235" t="s">
        <v>2362</v>
      </c>
      <c r="AD235">
        <v>23</v>
      </c>
      <c r="AE235" t="s">
        <v>622</v>
      </c>
      <c r="AF235" t="s">
        <v>2432</v>
      </c>
      <c r="AG235">
        <v>3</v>
      </c>
      <c r="AH235">
        <v>1</v>
      </c>
      <c r="AI235">
        <v>0</v>
      </c>
      <c r="AJ235">
        <v>42.83</v>
      </c>
      <c r="AM235" t="s">
        <v>629</v>
      </c>
      <c r="AN235">
        <v>5200</v>
      </c>
      <c r="AT235">
        <v>37.4</v>
      </c>
      <c r="AU235" t="s">
        <v>2505</v>
      </c>
      <c r="AV235" t="s">
        <v>666</v>
      </c>
    </row>
    <row r="236" spans="1:49">
      <c r="A236" s="1">
        <f>HYPERLINK("https://lsnyc.legalserver.org/matter/dynamic-profile/view/1901929","19-1901929")</f>
        <v>0</v>
      </c>
      <c r="B236" t="s">
        <v>695</v>
      </c>
      <c r="C236" t="s">
        <v>55</v>
      </c>
      <c r="D236" t="s">
        <v>777</v>
      </c>
      <c r="F236" t="s">
        <v>148</v>
      </c>
      <c r="G236" t="s">
        <v>224</v>
      </c>
      <c r="H236" t="s">
        <v>1368</v>
      </c>
      <c r="I236" t="s">
        <v>1585</v>
      </c>
      <c r="J236">
        <v>11233</v>
      </c>
      <c r="K236" t="s">
        <v>423</v>
      </c>
      <c r="L236" t="s">
        <v>422</v>
      </c>
      <c r="M236" t="s">
        <v>1781</v>
      </c>
      <c r="N236" t="s">
        <v>437</v>
      </c>
      <c r="Q236" t="s">
        <v>450</v>
      </c>
      <c r="R236" t="s">
        <v>423</v>
      </c>
      <c r="T236" t="s">
        <v>453</v>
      </c>
      <c r="U236" t="s">
        <v>457</v>
      </c>
      <c r="W236">
        <v>1052</v>
      </c>
      <c r="X236" t="s">
        <v>458</v>
      </c>
      <c r="Y236" t="s">
        <v>467</v>
      </c>
      <c r="AA236" t="s">
        <v>480</v>
      </c>
      <c r="AB236" t="s">
        <v>625</v>
      </c>
      <c r="AC236" t="s">
        <v>2335</v>
      </c>
      <c r="AD236">
        <v>12</v>
      </c>
      <c r="AE236" t="s">
        <v>622</v>
      </c>
      <c r="AF236" t="s">
        <v>625</v>
      </c>
      <c r="AG236">
        <v>8</v>
      </c>
      <c r="AH236">
        <v>2</v>
      </c>
      <c r="AI236">
        <v>0</v>
      </c>
      <c r="AJ236">
        <v>153.76</v>
      </c>
      <c r="AM236" t="s">
        <v>629</v>
      </c>
      <c r="AN236">
        <v>26000</v>
      </c>
      <c r="AT236">
        <v>11.8</v>
      </c>
      <c r="AU236" t="s">
        <v>843</v>
      </c>
      <c r="AV236" t="s">
        <v>666</v>
      </c>
      <c r="AW236" t="s">
        <v>625</v>
      </c>
    </row>
    <row r="237" spans="1:49">
      <c r="A237" s="1">
        <f>HYPERLINK("https://lsnyc.legalserver.org/matter/dynamic-profile/view/1902614","19-1902614")</f>
        <v>0</v>
      </c>
      <c r="B237" t="s">
        <v>695</v>
      </c>
      <c r="C237" t="s">
        <v>55</v>
      </c>
      <c r="D237" t="s">
        <v>699</v>
      </c>
      <c r="F237" t="s">
        <v>858</v>
      </c>
      <c r="G237" t="s">
        <v>1284</v>
      </c>
      <c r="H237" t="s">
        <v>1330</v>
      </c>
      <c r="I237" t="s">
        <v>1588</v>
      </c>
      <c r="J237">
        <v>11233</v>
      </c>
      <c r="K237" t="s">
        <v>422</v>
      </c>
      <c r="L237" t="s">
        <v>422</v>
      </c>
      <c r="O237" t="s">
        <v>441</v>
      </c>
      <c r="Q237" t="s">
        <v>450</v>
      </c>
      <c r="R237" t="s">
        <v>423</v>
      </c>
      <c r="T237" t="s">
        <v>453</v>
      </c>
      <c r="W237">
        <v>1800</v>
      </c>
      <c r="X237" t="s">
        <v>458</v>
      </c>
      <c r="AA237" t="s">
        <v>2069</v>
      </c>
      <c r="AC237" t="s">
        <v>2363</v>
      </c>
      <c r="AD237">
        <v>20</v>
      </c>
      <c r="AG237">
        <v>3</v>
      </c>
      <c r="AH237">
        <v>1</v>
      </c>
      <c r="AI237">
        <v>1</v>
      </c>
      <c r="AJ237">
        <v>153.76</v>
      </c>
      <c r="AM237" t="s">
        <v>629</v>
      </c>
      <c r="AN237">
        <v>26000</v>
      </c>
      <c r="AT237">
        <v>3</v>
      </c>
      <c r="AU237" t="s">
        <v>137</v>
      </c>
      <c r="AV237" t="s">
        <v>2518</v>
      </c>
    </row>
    <row r="238" spans="1:49">
      <c r="A238" s="1">
        <f>HYPERLINK("https://lsnyc.legalserver.org/matter/dynamic-profile/view/1881186","18-1881186")</f>
        <v>0</v>
      </c>
      <c r="B238" t="s">
        <v>695</v>
      </c>
      <c r="C238" t="s">
        <v>54</v>
      </c>
      <c r="D238" t="s">
        <v>142</v>
      </c>
      <c r="E238" t="s">
        <v>130</v>
      </c>
      <c r="F238" t="s">
        <v>1035</v>
      </c>
      <c r="G238" t="s">
        <v>1219</v>
      </c>
      <c r="H238" t="s">
        <v>1527</v>
      </c>
      <c r="I238" t="s">
        <v>1675</v>
      </c>
      <c r="J238">
        <v>11239</v>
      </c>
      <c r="K238" t="s">
        <v>423</v>
      </c>
      <c r="L238" t="s">
        <v>423</v>
      </c>
      <c r="M238" t="s">
        <v>1782</v>
      </c>
      <c r="N238" t="s">
        <v>437</v>
      </c>
      <c r="O238" t="s">
        <v>443</v>
      </c>
      <c r="P238" t="s">
        <v>449</v>
      </c>
      <c r="Q238" t="s">
        <v>450</v>
      </c>
      <c r="R238" t="s">
        <v>423</v>
      </c>
      <c r="T238" t="s">
        <v>453</v>
      </c>
      <c r="U238" t="s">
        <v>457</v>
      </c>
      <c r="W238">
        <v>897</v>
      </c>
      <c r="X238" t="s">
        <v>458</v>
      </c>
      <c r="Y238" t="s">
        <v>460</v>
      </c>
      <c r="Z238" t="s">
        <v>1847</v>
      </c>
      <c r="AA238" t="s">
        <v>2070</v>
      </c>
      <c r="AB238" t="s">
        <v>2165</v>
      </c>
      <c r="AC238" t="s">
        <v>2364</v>
      </c>
      <c r="AD238">
        <v>160</v>
      </c>
      <c r="AE238" t="s">
        <v>622</v>
      </c>
      <c r="AF238" t="s">
        <v>2430</v>
      </c>
      <c r="AG238">
        <v>9</v>
      </c>
      <c r="AH238">
        <v>1</v>
      </c>
      <c r="AI238">
        <v>0</v>
      </c>
      <c r="AJ238">
        <v>186.33</v>
      </c>
      <c r="AM238" t="s">
        <v>629</v>
      </c>
      <c r="AN238">
        <v>22620</v>
      </c>
      <c r="AT238">
        <v>1.7</v>
      </c>
      <c r="AU238" t="s">
        <v>97</v>
      </c>
      <c r="AV238" t="s">
        <v>2518</v>
      </c>
    </row>
    <row r="239" spans="1:49">
      <c r="A239" s="1">
        <f>HYPERLINK("https://lsnyc.legalserver.org/matter/dynamic-profile/view/1899803","19-1899803")</f>
        <v>0</v>
      </c>
      <c r="B239" t="s">
        <v>695</v>
      </c>
      <c r="C239" t="s">
        <v>55</v>
      </c>
      <c r="D239" t="s">
        <v>127</v>
      </c>
      <c r="F239" t="s">
        <v>1036</v>
      </c>
      <c r="G239" t="s">
        <v>1191</v>
      </c>
      <c r="H239" t="s">
        <v>1528</v>
      </c>
      <c r="I239" t="s">
        <v>1631</v>
      </c>
      <c r="J239">
        <v>11212</v>
      </c>
      <c r="K239" t="s">
        <v>423</v>
      </c>
      <c r="L239" t="s">
        <v>422</v>
      </c>
      <c r="M239" t="s">
        <v>1783</v>
      </c>
      <c r="N239" t="s">
        <v>434</v>
      </c>
      <c r="Q239" t="s">
        <v>450</v>
      </c>
      <c r="R239" t="s">
        <v>423</v>
      </c>
      <c r="T239" t="s">
        <v>453</v>
      </c>
      <c r="U239" t="s">
        <v>457</v>
      </c>
      <c r="W239">
        <v>2200</v>
      </c>
      <c r="X239" t="s">
        <v>458</v>
      </c>
      <c r="AA239" t="s">
        <v>2071</v>
      </c>
      <c r="AC239" t="s">
        <v>2365</v>
      </c>
      <c r="AD239">
        <v>5</v>
      </c>
      <c r="AE239" t="s">
        <v>623</v>
      </c>
      <c r="AF239" t="s">
        <v>625</v>
      </c>
      <c r="AG239">
        <v>1</v>
      </c>
      <c r="AH239">
        <v>1</v>
      </c>
      <c r="AI239">
        <v>1</v>
      </c>
      <c r="AJ239">
        <v>218.1</v>
      </c>
      <c r="AM239" t="s">
        <v>629</v>
      </c>
      <c r="AN239">
        <v>36880</v>
      </c>
      <c r="AT239">
        <v>10.3</v>
      </c>
      <c r="AU239" t="s">
        <v>654</v>
      </c>
      <c r="AV239" t="s">
        <v>662</v>
      </c>
      <c r="AW239" t="s">
        <v>625</v>
      </c>
    </row>
    <row r="240" spans="1:49">
      <c r="A240" s="1">
        <f>HYPERLINK("https://lsnyc.legalserver.org/matter/dynamic-profile/view/1883261","18-1883261")</f>
        <v>0</v>
      </c>
      <c r="B240" t="s">
        <v>695</v>
      </c>
      <c r="C240" t="s">
        <v>54</v>
      </c>
      <c r="D240" t="s">
        <v>762</v>
      </c>
      <c r="E240" t="s">
        <v>130</v>
      </c>
      <c r="F240" t="s">
        <v>1037</v>
      </c>
      <c r="G240" t="s">
        <v>1285</v>
      </c>
      <c r="H240" t="s">
        <v>1529</v>
      </c>
      <c r="I240" t="s">
        <v>1657</v>
      </c>
      <c r="J240">
        <v>11239</v>
      </c>
      <c r="K240" t="s">
        <v>423</v>
      </c>
      <c r="L240" t="s">
        <v>424</v>
      </c>
      <c r="M240" t="s">
        <v>435</v>
      </c>
      <c r="O240" t="s">
        <v>443</v>
      </c>
      <c r="P240" t="s">
        <v>448</v>
      </c>
      <c r="Q240" t="s">
        <v>450</v>
      </c>
      <c r="R240" t="s">
        <v>423</v>
      </c>
      <c r="T240" t="s">
        <v>453</v>
      </c>
      <c r="U240" t="s">
        <v>457</v>
      </c>
      <c r="W240">
        <v>2300</v>
      </c>
      <c r="X240" t="s">
        <v>458</v>
      </c>
      <c r="Y240" t="s">
        <v>460</v>
      </c>
      <c r="Z240" t="s">
        <v>470</v>
      </c>
      <c r="AA240" t="s">
        <v>2072</v>
      </c>
      <c r="AB240" t="s">
        <v>625</v>
      </c>
      <c r="AC240" t="s">
        <v>2366</v>
      </c>
      <c r="AD240">
        <v>152</v>
      </c>
      <c r="AE240" t="s">
        <v>2419</v>
      </c>
      <c r="AF240" t="s">
        <v>626</v>
      </c>
      <c r="AG240">
        <v>5</v>
      </c>
      <c r="AH240">
        <v>2</v>
      </c>
      <c r="AI240">
        <v>1</v>
      </c>
      <c r="AJ240">
        <v>365.74</v>
      </c>
      <c r="AM240" t="s">
        <v>629</v>
      </c>
      <c r="AN240">
        <v>76000</v>
      </c>
      <c r="AT240">
        <v>3.8</v>
      </c>
      <c r="AU240" t="s">
        <v>128</v>
      </c>
      <c r="AV240" t="s">
        <v>664</v>
      </c>
    </row>
    <row r="241" spans="1:49">
      <c r="A241" s="1">
        <f>HYPERLINK("https://lsnyc.legalserver.org/matter/dynamic-profile/view/1883301","18-1883301")</f>
        <v>0</v>
      </c>
      <c r="B241" t="s">
        <v>666</v>
      </c>
      <c r="C241" t="s">
        <v>54</v>
      </c>
      <c r="D241" t="s">
        <v>762</v>
      </c>
      <c r="E241" t="s">
        <v>752</v>
      </c>
      <c r="F241" t="s">
        <v>202</v>
      </c>
      <c r="G241" t="s">
        <v>1176</v>
      </c>
      <c r="H241" t="s">
        <v>1414</v>
      </c>
      <c r="I241">
        <v>3</v>
      </c>
      <c r="J241">
        <v>11233</v>
      </c>
      <c r="K241" t="s">
        <v>423</v>
      </c>
      <c r="L241" t="s">
        <v>423</v>
      </c>
      <c r="M241" t="s">
        <v>1784</v>
      </c>
      <c r="N241" t="s">
        <v>434</v>
      </c>
      <c r="P241" t="s">
        <v>447</v>
      </c>
      <c r="Q241" t="s">
        <v>450</v>
      </c>
      <c r="R241" t="s">
        <v>423</v>
      </c>
      <c r="T241" t="s">
        <v>453</v>
      </c>
      <c r="U241" t="s">
        <v>1834</v>
      </c>
      <c r="W241">
        <v>700</v>
      </c>
      <c r="X241" t="s">
        <v>458</v>
      </c>
      <c r="Y241" t="s">
        <v>462</v>
      </c>
      <c r="Z241" t="s">
        <v>470</v>
      </c>
      <c r="AA241" t="s">
        <v>1942</v>
      </c>
      <c r="AB241" t="s">
        <v>2142</v>
      </c>
      <c r="AC241" t="s">
        <v>2247</v>
      </c>
      <c r="AD241">
        <v>3</v>
      </c>
      <c r="AE241" t="s">
        <v>623</v>
      </c>
      <c r="AF241" t="s">
        <v>2428</v>
      </c>
      <c r="AG241">
        <v>8</v>
      </c>
      <c r="AH241">
        <v>1</v>
      </c>
      <c r="AI241">
        <v>0</v>
      </c>
      <c r="AJ241">
        <v>0</v>
      </c>
      <c r="AM241" t="s">
        <v>629</v>
      </c>
      <c r="AN241">
        <v>0</v>
      </c>
      <c r="AT241">
        <v>0.2</v>
      </c>
      <c r="AU241" t="s">
        <v>752</v>
      </c>
      <c r="AV241" t="s">
        <v>664</v>
      </c>
    </row>
    <row r="242" spans="1:49">
      <c r="A242" s="1">
        <f>HYPERLINK("https://lsnyc.legalserver.org/matter/dynamic-profile/view/1875805","18-1875805")</f>
        <v>0</v>
      </c>
      <c r="B242" t="s">
        <v>666</v>
      </c>
      <c r="C242" t="s">
        <v>54</v>
      </c>
      <c r="D242" t="s">
        <v>761</v>
      </c>
      <c r="E242" t="s">
        <v>817</v>
      </c>
      <c r="F242" t="s">
        <v>1038</v>
      </c>
      <c r="G242" t="s">
        <v>1286</v>
      </c>
      <c r="H242" t="s">
        <v>1530</v>
      </c>
      <c r="I242">
        <v>1</v>
      </c>
      <c r="J242">
        <v>11212</v>
      </c>
      <c r="K242" t="s">
        <v>423</v>
      </c>
      <c r="L242" t="s">
        <v>423</v>
      </c>
      <c r="P242" t="s">
        <v>448</v>
      </c>
      <c r="Q242" t="s">
        <v>450</v>
      </c>
      <c r="T242" t="s">
        <v>453</v>
      </c>
      <c r="W242">
        <v>875</v>
      </c>
      <c r="X242" t="s">
        <v>458</v>
      </c>
      <c r="Y242" t="s">
        <v>459</v>
      </c>
      <c r="Z242" t="s">
        <v>1845</v>
      </c>
      <c r="AA242" t="s">
        <v>2073</v>
      </c>
      <c r="AD242">
        <v>0</v>
      </c>
      <c r="AE242" t="s">
        <v>623</v>
      </c>
      <c r="AG242">
        <v>0</v>
      </c>
      <c r="AH242">
        <v>1</v>
      </c>
      <c r="AI242">
        <v>0</v>
      </c>
      <c r="AJ242">
        <v>0</v>
      </c>
      <c r="AM242" t="s">
        <v>629</v>
      </c>
      <c r="AN242">
        <v>0</v>
      </c>
      <c r="AT242">
        <v>1.55</v>
      </c>
      <c r="AU242" t="s">
        <v>817</v>
      </c>
      <c r="AV242" t="s">
        <v>661</v>
      </c>
    </row>
    <row r="243" spans="1:49">
      <c r="A243" s="1">
        <f>HYPERLINK("https://lsnyc.legalserver.org/matter/dynamic-profile/view/1884562","18-1884562")</f>
        <v>0</v>
      </c>
      <c r="B243" t="s">
        <v>666</v>
      </c>
      <c r="C243" t="s">
        <v>54</v>
      </c>
      <c r="D243" t="s">
        <v>121</v>
      </c>
      <c r="E243" t="s">
        <v>792</v>
      </c>
      <c r="F243" t="s">
        <v>1039</v>
      </c>
      <c r="G243" t="s">
        <v>290</v>
      </c>
      <c r="H243" t="s">
        <v>1531</v>
      </c>
      <c r="I243" t="s">
        <v>1676</v>
      </c>
      <c r="J243">
        <v>11208</v>
      </c>
      <c r="K243" t="s">
        <v>423</v>
      </c>
      <c r="L243" t="s">
        <v>423</v>
      </c>
      <c r="M243" t="s">
        <v>435</v>
      </c>
      <c r="N243" t="s">
        <v>1814</v>
      </c>
      <c r="O243" t="s">
        <v>441</v>
      </c>
      <c r="P243" t="s">
        <v>447</v>
      </c>
      <c r="Q243" t="s">
        <v>450</v>
      </c>
      <c r="R243" t="s">
        <v>423</v>
      </c>
      <c r="T243" t="s">
        <v>453</v>
      </c>
      <c r="U243" t="s">
        <v>457</v>
      </c>
      <c r="W243">
        <v>1761</v>
      </c>
      <c r="X243" t="s">
        <v>458</v>
      </c>
      <c r="Y243" t="s">
        <v>462</v>
      </c>
      <c r="Z243" t="s">
        <v>470</v>
      </c>
      <c r="AA243" t="s">
        <v>2074</v>
      </c>
      <c r="AB243" t="s">
        <v>2166</v>
      </c>
      <c r="AC243" t="s">
        <v>2367</v>
      </c>
      <c r="AD243">
        <v>0</v>
      </c>
      <c r="AE243" t="s">
        <v>2419</v>
      </c>
      <c r="AF243" t="s">
        <v>626</v>
      </c>
      <c r="AG243">
        <v>16</v>
      </c>
      <c r="AH243">
        <v>2</v>
      </c>
      <c r="AI243">
        <v>1</v>
      </c>
      <c r="AJ243">
        <v>0</v>
      </c>
      <c r="AM243" t="s">
        <v>629</v>
      </c>
      <c r="AN243">
        <v>0</v>
      </c>
      <c r="AT243">
        <v>0.2</v>
      </c>
      <c r="AU243" t="s">
        <v>792</v>
      </c>
      <c r="AV243" t="s">
        <v>666</v>
      </c>
    </row>
    <row r="244" spans="1:49">
      <c r="A244" s="1">
        <f>HYPERLINK("https://lsnyc.legalserver.org/matter/dynamic-profile/view/1880173","18-1880173")</f>
        <v>0</v>
      </c>
      <c r="B244" t="s">
        <v>666</v>
      </c>
      <c r="C244" t="s">
        <v>54</v>
      </c>
      <c r="D244" t="s">
        <v>806</v>
      </c>
      <c r="E244" t="s">
        <v>98</v>
      </c>
      <c r="F244" t="s">
        <v>1040</v>
      </c>
      <c r="G244" t="s">
        <v>1287</v>
      </c>
      <c r="H244" t="s">
        <v>1532</v>
      </c>
      <c r="I244" t="s">
        <v>1631</v>
      </c>
      <c r="J244">
        <v>11212</v>
      </c>
      <c r="K244" t="s">
        <v>423</v>
      </c>
      <c r="L244" t="s">
        <v>423</v>
      </c>
      <c r="M244" t="s">
        <v>1785</v>
      </c>
      <c r="N244" t="s">
        <v>434</v>
      </c>
      <c r="P244" t="s">
        <v>447</v>
      </c>
      <c r="Q244" t="s">
        <v>450</v>
      </c>
      <c r="R244" t="s">
        <v>423</v>
      </c>
      <c r="T244" t="s">
        <v>453</v>
      </c>
      <c r="U244" t="s">
        <v>457</v>
      </c>
      <c r="W244">
        <v>1956</v>
      </c>
      <c r="X244" t="s">
        <v>458</v>
      </c>
      <c r="Z244" t="s">
        <v>470</v>
      </c>
      <c r="AA244" t="s">
        <v>2075</v>
      </c>
      <c r="AC244" t="s">
        <v>2368</v>
      </c>
      <c r="AD244">
        <v>2</v>
      </c>
      <c r="AF244" t="s">
        <v>2428</v>
      </c>
      <c r="AG244">
        <v>2</v>
      </c>
      <c r="AH244">
        <v>1</v>
      </c>
      <c r="AI244">
        <v>4</v>
      </c>
      <c r="AJ244">
        <v>0.53</v>
      </c>
      <c r="AM244" t="s">
        <v>629</v>
      </c>
      <c r="AN244">
        <v>156</v>
      </c>
      <c r="AT244">
        <v>0.9</v>
      </c>
      <c r="AU244" t="s">
        <v>806</v>
      </c>
      <c r="AV244" t="s">
        <v>2518</v>
      </c>
    </row>
    <row r="245" spans="1:49">
      <c r="A245" s="1">
        <f>HYPERLINK("https://lsnyc.legalserver.org/matter/dynamic-profile/view/1877005","18-1877005")</f>
        <v>0</v>
      </c>
      <c r="B245" t="s">
        <v>666</v>
      </c>
      <c r="C245" t="s">
        <v>54</v>
      </c>
      <c r="D245" t="s">
        <v>808</v>
      </c>
      <c r="E245" t="s">
        <v>758</v>
      </c>
      <c r="F245" t="s">
        <v>932</v>
      </c>
      <c r="G245" t="s">
        <v>1183</v>
      </c>
      <c r="H245" t="s">
        <v>1421</v>
      </c>
      <c r="I245" t="s">
        <v>1637</v>
      </c>
      <c r="J245">
        <v>11212</v>
      </c>
      <c r="K245" t="s">
        <v>423</v>
      </c>
      <c r="L245" t="s">
        <v>423</v>
      </c>
      <c r="N245" t="s">
        <v>435</v>
      </c>
      <c r="O245" t="s">
        <v>441</v>
      </c>
      <c r="P245" t="s">
        <v>447</v>
      </c>
      <c r="Q245" t="s">
        <v>450</v>
      </c>
      <c r="R245" t="s">
        <v>423</v>
      </c>
      <c r="T245" t="s">
        <v>453</v>
      </c>
      <c r="W245">
        <v>625</v>
      </c>
      <c r="X245" t="s">
        <v>458</v>
      </c>
      <c r="Z245" t="s">
        <v>470</v>
      </c>
      <c r="AA245" t="s">
        <v>1949</v>
      </c>
      <c r="AD245">
        <v>2</v>
      </c>
      <c r="AE245" t="s">
        <v>621</v>
      </c>
      <c r="AF245" t="s">
        <v>625</v>
      </c>
      <c r="AG245">
        <v>0</v>
      </c>
      <c r="AH245">
        <v>1</v>
      </c>
      <c r="AI245">
        <v>1</v>
      </c>
      <c r="AJ245">
        <v>14.37</v>
      </c>
      <c r="AM245" t="s">
        <v>629</v>
      </c>
      <c r="AN245">
        <v>2366</v>
      </c>
      <c r="AO245" t="s">
        <v>2478</v>
      </c>
      <c r="AT245">
        <v>0.5</v>
      </c>
      <c r="AU245" t="s">
        <v>808</v>
      </c>
      <c r="AV245" t="s">
        <v>2514</v>
      </c>
    </row>
    <row r="246" spans="1:49">
      <c r="A246" s="1">
        <f>HYPERLINK("https://lsnyc.legalserver.org/matter/dynamic-profile/view/1873079","18-1873079")</f>
        <v>0</v>
      </c>
      <c r="B246" t="s">
        <v>666</v>
      </c>
      <c r="C246" t="s">
        <v>54</v>
      </c>
      <c r="D246" t="s">
        <v>809</v>
      </c>
      <c r="E246" t="s">
        <v>817</v>
      </c>
      <c r="F246" t="s">
        <v>1041</v>
      </c>
      <c r="G246" t="s">
        <v>1288</v>
      </c>
      <c r="H246" t="s">
        <v>1533</v>
      </c>
      <c r="I246" t="s">
        <v>1677</v>
      </c>
      <c r="J246">
        <v>11207</v>
      </c>
      <c r="K246" t="s">
        <v>423</v>
      </c>
      <c r="L246" t="s">
        <v>423</v>
      </c>
      <c r="N246" t="s">
        <v>435</v>
      </c>
      <c r="O246" t="s">
        <v>441</v>
      </c>
      <c r="P246" t="s">
        <v>447</v>
      </c>
      <c r="Q246" t="s">
        <v>450</v>
      </c>
      <c r="R246" t="s">
        <v>423</v>
      </c>
      <c r="T246" t="s">
        <v>453</v>
      </c>
      <c r="W246">
        <v>600</v>
      </c>
      <c r="X246" t="s">
        <v>458</v>
      </c>
      <c r="Y246" t="s">
        <v>464</v>
      </c>
      <c r="Z246" t="s">
        <v>470</v>
      </c>
      <c r="AA246" t="s">
        <v>2076</v>
      </c>
      <c r="AB246" t="s">
        <v>2167</v>
      </c>
      <c r="AC246" t="s">
        <v>2369</v>
      </c>
      <c r="AD246">
        <v>2</v>
      </c>
      <c r="AE246" t="s">
        <v>623</v>
      </c>
      <c r="AF246" t="s">
        <v>625</v>
      </c>
      <c r="AG246">
        <v>17</v>
      </c>
      <c r="AH246">
        <v>1</v>
      </c>
      <c r="AI246">
        <v>0</v>
      </c>
      <c r="AJ246">
        <v>18.09</v>
      </c>
      <c r="AM246" t="s">
        <v>629</v>
      </c>
      <c r="AN246">
        <v>2196</v>
      </c>
      <c r="AT246">
        <v>1</v>
      </c>
      <c r="AU246" t="s">
        <v>817</v>
      </c>
      <c r="AV246" t="s">
        <v>2514</v>
      </c>
    </row>
    <row r="247" spans="1:49">
      <c r="A247" s="1">
        <f>HYPERLINK("https://lsnyc.legalserver.org/matter/dynamic-profile/view/1880622","18-1880622")</f>
        <v>0</v>
      </c>
      <c r="B247" t="s">
        <v>666</v>
      </c>
      <c r="C247" t="s">
        <v>54</v>
      </c>
      <c r="D247" t="s">
        <v>746</v>
      </c>
      <c r="E247" t="s">
        <v>121</v>
      </c>
      <c r="F247" t="s">
        <v>1042</v>
      </c>
      <c r="G247" t="s">
        <v>1289</v>
      </c>
      <c r="H247" t="s">
        <v>1534</v>
      </c>
      <c r="I247">
        <v>2</v>
      </c>
      <c r="J247">
        <v>11207</v>
      </c>
      <c r="K247" t="s">
        <v>423</v>
      </c>
      <c r="L247" t="s">
        <v>423</v>
      </c>
      <c r="N247" t="s">
        <v>435</v>
      </c>
      <c r="O247" t="s">
        <v>441</v>
      </c>
      <c r="P247" t="s">
        <v>448</v>
      </c>
      <c r="Q247" t="s">
        <v>450</v>
      </c>
      <c r="R247" t="s">
        <v>423</v>
      </c>
      <c r="T247" t="s">
        <v>453</v>
      </c>
      <c r="U247" t="s">
        <v>457</v>
      </c>
      <c r="W247">
        <v>1213</v>
      </c>
      <c r="X247" t="s">
        <v>458</v>
      </c>
      <c r="Z247" t="s">
        <v>473</v>
      </c>
      <c r="AA247" t="s">
        <v>2077</v>
      </c>
      <c r="AB247" t="s">
        <v>2142</v>
      </c>
      <c r="AC247" t="s">
        <v>2370</v>
      </c>
      <c r="AD247">
        <v>3</v>
      </c>
      <c r="AE247" t="s">
        <v>623</v>
      </c>
      <c r="AF247" t="s">
        <v>2432</v>
      </c>
      <c r="AG247">
        <v>8</v>
      </c>
      <c r="AH247">
        <v>1</v>
      </c>
      <c r="AI247">
        <v>0</v>
      </c>
      <c r="AJ247">
        <v>18.09</v>
      </c>
      <c r="AM247" t="s">
        <v>629</v>
      </c>
      <c r="AN247">
        <v>2196</v>
      </c>
      <c r="AT247">
        <v>3.7</v>
      </c>
      <c r="AU247" t="s">
        <v>121</v>
      </c>
      <c r="AV247" t="s">
        <v>2511</v>
      </c>
    </row>
    <row r="248" spans="1:49">
      <c r="A248" s="1">
        <f>HYPERLINK("https://lsnyc.legalserver.org/matter/dynamic-profile/view/1879422","18-1879422")</f>
        <v>0</v>
      </c>
      <c r="B248" t="s">
        <v>666</v>
      </c>
      <c r="C248" t="s">
        <v>54</v>
      </c>
      <c r="D248" t="s">
        <v>751</v>
      </c>
      <c r="E248" t="s">
        <v>817</v>
      </c>
      <c r="F248" t="s">
        <v>1043</v>
      </c>
      <c r="G248" t="s">
        <v>1290</v>
      </c>
      <c r="H248" t="s">
        <v>1535</v>
      </c>
      <c r="I248">
        <v>1</v>
      </c>
      <c r="J248">
        <v>11233</v>
      </c>
      <c r="K248" t="s">
        <v>423</v>
      </c>
      <c r="L248" t="s">
        <v>423</v>
      </c>
      <c r="N248" t="s">
        <v>434</v>
      </c>
      <c r="O248" t="s">
        <v>441</v>
      </c>
      <c r="P248" t="s">
        <v>447</v>
      </c>
      <c r="Q248" t="s">
        <v>450</v>
      </c>
      <c r="T248" t="s">
        <v>453</v>
      </c>
      <c r="W248">
        <v>400</v>
      </c>
      <c r="X248" t="s">
        <v>458</v>
      </c>
      <c r="Y248" t="s">
        <v>460</v>
      </c>
      <c r="Z248" t="s">
        <v>470</v>
      </c>
      <c r="AA248" t="s">
        <v>2078</v>
      </c>
      <c r="AC248" t="s">
        <v>2371</v>
      </c>
      <c r="AD248">
        <v>4</v>
      </c>
      <c r="AE248" t="s">
        <v>623</v>
      </c>
      <c r="AG248">
        <v>10</v>
      </c>
      <c r="AH248">
        <v>1</v>
      </c>
      <c r="AI248">
        <v>0</v>
      </c>
      <c r="AJ248">
        <v>19.18</v>
      </c>
      <c r="AM248" t="s">
        <v>629</v>
      </c>
      <c r="AN248">
        <v>2328</v>
      </c>
      <c r="AT248">
        <v>0.75</v>
      </c>
      <c r="AU248" t="s">
        <v>817</v>
      </c>
      <c r="AV248" t="s">
        <v>2514</v>
      </c>
    </row>
    <row r="249" spans="1:49">
      <c r="A249" s="1">
        <f>HYPERLINK("https://lsnyc.legalserver.org/matter/dynamic-profile/view/1873159","18-1873159")</f>
        <v>0</v>
      </c>
      <c r="B249" t="s">
        <v>666</v>
      </c>
      <c r="C249" t="s">
        <v>54</v>
      </c>
      <c r="D249" t="s">
        <v>810</v>
      </c>
      <c r="E249" t="s">
        <v>810</v>
      </c>
      <c r="F249" t="s">
        <v>1044</v>
      </c>
      <c r="G249" t="s">
        <v>1225</v>
      </c>
      <c r="H249" t="s">
        <v>1536</v>
      </c>
      <c r="I249" t="s">
        <v>1678</v>
      </c>
      <c r="J249">
        <v>11212</v>
      </c>
      <c r="K249" t="s">
        <v>423</v>
      </c>
      <c r="L249" t="s">
        <v>423</v>
      </c>
      <c r="M249" t="s">
        <v>435</v>
      </c>
      <c r="N249" t="s">
        <v>434</v>
      </c>
      <c r="O249" t="s">
        <v>441</v>
      </c>
      <c r="P249" t="s">
        <v>447</v>
      </c>
      <c r="Q249" t="s">
        <v>450</v>
      </c>
      <c r="R249" t="s">
        <v>423</v>
      </c>
      <c r="T249" t="s">
        <v>453</v>
      </c>
      <c r="W249">
        <v>693</v>
      </c>
      <c r="X249" t="s">
        <v>458</v>
      </c>
      <c r="Y249" t="s">
        <v>462</v>
      </c>
      <c r="Z249" t="s">
        <v>470</v>
      </c>
      <c r="AA249" t="s">
        <v>2079</v>
      </c>
      <c r="AB249" t="s">
        <v>625</v>
      </c>
      <c r="AC249" t="s">
        <v>2372</v>
      </c>
      <c r="AD249">
        <v>2</v>
      </c>
      <c r="AE249" t="s">
        <v>623</v>
      </c>
      <c r="AF249" t="s">
        <v>625</v>
      </c>
      <c r="AG249">
        <v>0</v>
      </c>
      <c r="AH249">
        <v>1</v>
      </c>
      <c r="AI249">
        <v>0</v>
      </c>
      <c r="AJ249">
        <v>19.77</v>
      </c>
      <c r="AM249" t="s">
        <v>629</v>
      </c>
      <c r="AN249">
        <v>2400</v>
      </c>
      <c r="AT249">
        <v>0.6</v>
      </c>
      <c r="AU249" t="s">
        <v>810</v>
      </c>
      <c r="AV249" t="s">
        <v>664</v>
      </c>
    </row>
    <row r="250" spans="1:49">
      <c r="A250" s="1">
        <f>HYPERLINK("https://lsnyc.legalserver.org/matter/dynamic-profile/view/1878641","18-1878641")</f>
        <v>0</v>
      </c>
      <c r="B250" t="s">
        <v>666</v>
      </c>
      <c r="C250" t="s">
        <v>54</v>
      </c>
      <c r="D250" t="s">
        <v>811</v>
      </c>
      <c r="E250" t="s">
        <v>825</v>
      </c>
      <c r="F250" t="s">
        <v>1045</v>
      </c>
      <c r="G250" t="s">
        <v>274</v>
      </c>
      <c r="H250" t="s">
        <v>1537</v>
      </c>
      <c r="I250" t="s">
        <v>372</v>
      </c>
      <c r="J250">
        <v>11233</v>
      </c>
      <c r="K250" t="s">
        <v>423</v>
      </c>
      <c r="L250" t="s">
        <v>423</v>
      </c>
      <c r="N250" t="s">
        <v>1813</v>
      </c>
      <c r="O250" t="s">
        <v>441</v>
      </c>
      <c r="P250" t="s">
        <v>447</v>
      </c>
      <c r="Q250" t="s">
        <v>450</v>
      </c>
      <c r="R250" t="s">
        <v>423</v>
      </c>
      <c r="T250" t="s">
        <v>453</v>
      </c>
      <c r="W250">
        <v>1515</v>
      </c>
      <c r="X250" t="s">
        <v>458</v>
      </c>
      <c r="Y250" t="s">
        <v>462</v>
      </c>
      <c r="Z250" t="s">
        <v>470</v>
      </c>
      <c r="AA250" t="s">
        <v>2080</v>
      </c>
      <c r="AD250">
        <v>6</v>
      </c>
      <c r="AE250" t="s">
        <v>621</v>
      </c>
      <c r="AF250" t="s">
        <v>2428</v>
      </c>
      <c r="AG250">
        <v>4</v>
      </c>
      <c r="AH250">
        <v>1</v>
      </c>
      <c r="AI250">
        <v>1</v>
      </c>
      <c r="AJ250">
        <v>20.41</v>
      </c>
      <c r="AM250" t="s">
        <v>629</v>
      </c>
      <c r="AN250">
        <v>3360</v>
      </c>
      <c r="AT250">
        <v>0.66</v>
      </c>
      <c r="AU250" t="s">
        <v>811</v>
      </c>
      <c r="AV250" t="s">
        <v>2513</v>
      </c>
    </row>
    <row r="251" spans="1:49">
      <c r="A251" s="1">
        <f>HYPERLINK("https://lsnyc.legalserver.org/matter/dynamic-profile/view/1871200","18-1871200")</f>
        <v>0</v>
      </c>
      <c r="B251" t="s">
        <v>666</v>
      </c>
      <c r="C251" t="s">
        <v>54</v>
      </c>
      <c r="D251" t="s">
        <v>812</v>
      </c>
      <c r="E251" t="s">
        <v>657</v>
      </c>
      <c r="F251" t="s">
        <v>1046</v>
      </c>
      <c r="G251" t="s">
        <v>1291</v>
      </c>
      <c r="H251" t="s">
        <v>1538</v>
      </c>
      <c r="I251" t="s">
        <v>410</v>
      </c>
      <c r="J251">
        <v>11212</v>
      </c>
      <c r="K251" t="s">
        <v>423</v>
      </c>
      <c r="L251" t="s">
        <v>422</v>
      </c>
      <c r="N251" t="s">
        <v>459</v>
      </c>
      <c r="O251" t="s">
        <v>441</v>
      </c>
      <c r="P251" t="s">
        <v>447</v>
      </c>
      <c r="Q251" t="s">
        <v>450</v>
      </c>
      <c r="R251" t="s">
        <v>423</v>
      </c>
      <c r="T251" t="s">
        <v>453</v>
      </c>
      <c r="W251">
        <v>3000</v>
      </c>
      <c r="X251" t="s">
        <v>458</v>
      </c>
      <c r="Y251" t="s">
        <v>459</v>
      </c>
      <c r="Z251" t="s">
        <v>470</v>
      </c>
      <c r="AA251" t="s">
        <v>2081</v>
      </c>
      <c r="AD251">
        <v>37</v>
      </c>
      <c r="AF251" t="s">
        <v>626</v>
      </c>
      <c r="AG251">
        <v>6</v>
      </c>
      <c r="AH251">
        <v>2</v>
      </c>
      <c r="AI251">
        <v>8</v>
      </c>
      <c r="AJ251">
        <v>26.5</v>
      </c>
      <c r="AM251" t="s">
        <v>629</v>
      </c>
      <c r="AN251">
        <v>13520</v>
      </c>
      <c r="AT251">
        <v>0.58</v>
      </c>
      <c r="AU251" t="s">
        <v>812</v>
      </c>
      <c r="AV251" t="s">
        <v>2513</v>
      </c>
    </row>
    <row r="252" spans="1:49">
      <c r="A252" s="1">
        <f>HYPERLINK("https://lsnyc.legalserver.org/matter/dynamic-profile/view/1873002","18-1873002")</f>
        <v>0</v>
      </c>
      <c r="B252" t="s">
        <v>666</v>
      </c>
      <c r="C252" t="s">
        <v>54</v>
      </c>
      <c r="D252" t="s">
        <v>809</v>
      </c>
      <c r="E252" t="s">
        <v>817</v>
      </c>
      <c r="F252" t="s">
        <v>976</v>
      </c>
      <c r="G252" t="s">
        <v>1292</v>
      </c>
      <c r="H252" t="s">
        <v>1539</v>
      </c>
      <c r="I252" t="s">
        <v>1588</v>
      </c>
      <c r="J252">
        <v>11239</v>
      </c>
      <c r="K252" t="s">
        <v>423</v>
      </c>
      <c r="L252" t="s">
        <v>423</v>
      </c>
      <c r="N252" t="s">
        <v>435</v>
      </c>
      <c r="P252" t="s">
        <v>447</v>
      </c>
      <c r="Q252" t="s">
        <v>450</v>
      </c>
      <c r="R252" t="s">
        <v>423</v>
      </c>
      <c r="T252" t="s">
        <v>453</v>
      </c>
      <c r="W252">
        <v>320</v>
      </c>
      <c r="X252" t="s">
        <v>458</v>
      </c>
      <c r="Z252" t="s">
        <v>470</v>
      </c>
      <c r="AA252" t="s">
        <v>2082</v>
      </c>
      <c r="AC252" t="s">
        <v>2373</v>
      </c>
      <c r="AD252">
        <v>1168</v>
      </c>
      <c r="AE252" t="s">
        <v>2424</v>
      </c>
      <c r="AF252" t="s">
        <v>625</v>
      </c>
      <c r="AG252">
        <v>15</v>
      </c>
      <c r="AH252">
        <v>1</v>
      </c>
      <c r="AI252">
        <v>0</v>
      </c>
      <c r="AJ252">
        <v>34.6</v>
      </c>
      <c r="AM252" t="s">
        <v>629</v>
      </c>
      <c r="AN252">
        <v>4200</v>
      </c>
      <c r="AT252">
        <v>1.25</v>
      </c>
      <c r="AU252" t="s">
        <v>817</v>
      </c>
      <c r="AV252" t="s">
        <v>2511</v>
      </c>
    </row>
    <row r="253" spans="1:49">
      <c r="A253" s="1">
        <f>HYPERLINK("https://lsnyc.legalserver.org/matter/dynamic-profile/view/1881430","18-1881430")</f>
        <v>0</v>
      </c>
      <c r="B253" t="s">
        <v>666</v>
      </c>
      <c r="C253" t="s">
        <v>54</v>
      </c>
      <c r="D253" t="s">
        <v>813</v>
      </c>
      <c r="E253" t="s">
        <v>121</v>
      </c>
      <c r="F253" t="s">
        <v>897</v>
      </c>
      <c r="G253" t="s">
        <v>1293</v>
      </c>
      <c r="H253" t="s">
        <v>1540</v>
      </c>
      <c r="I253" t="s">
        <v>1679</v>
      </c>
      <c r="J253">
        <v>11239</v>
      </c>
      <c r="K253" t="s">
        <v>423</v>
      </c>
      <c r="L253" t="s">
        <v>423</v>
      </c>
      <c r="M253" t="s">
        <v>435</v>
      </c>
      <c r="N253" t="s">
        <v>1818</v>
      </c>
      <c r="P253" t="s">
        <v>447</v>
      </c>
      <c r="Q253" t="s">
        <v>450</v>
      </c>
      <c r="R253" t="s">
        <v>423</v>
      </c>
      <c r="T253" t="s">
        <v>453</v>
      </c>
      <c r="W253">
        <v>1466</v>
      </c>
      <c r="X253" t="s">
        <v>458</v>
      </c>
      <c r="Y253" t="s">
        <v>1836</v>
      </c>
      <c r="Z253" t="s">
        <v>470</v>
      </c>
      <c r="AA253" t="s">
        <v>2083</v>
      </c>
      <c r="AD253">
        <v>192</v>
      </c>
      <c r="AE253" t="s">
        <v>622</v>
      </c>
      <c r="AF253" t="s">
        <v>626</v>
      </c>
      <c r="AG253">
        <v>2</v>
      </c>
      <c r="AH253">
        <v>2</v>
      </c>
      <c r="AI253">
        <v>0</v>
      </c>
      <c r="AJ253">
        <v>47.39</v>
      </c>
      <c r="AM253" t="s">
        <v>629</v>
      </c>
      <c r="AN253">
        <v>7800</v>
      </c>
      <c r="AT253">
        <v>3.5</v>
      </c>
      <c r="AU253" t="s">
        <v>121</v>
      </c>
      <c r="AV253" t="s">
        <v>661</v>
      </c>
    </row>
    <row r="254" spans="1:49">
      <c r="A254" s="1">
        <f>HYPERLINK("https://lsnyc.legalserver.org/matter/dynamic-profile/view/1897059","19-1897059")</f>
        <v>0</v>
      </c>
      <c r="B254" t="s">
        <v>666</v>
      </c>
      <c r="C254" t="s">
        <v>54</v>
      </c>
      <c r="D254" t="s">
        <v>651</v>
      </c>
      <c r="E254" t="s">
        <v>843</v>
      </c>
      <c r="F254" t="s">
        <v>867</v>
      </c>
      <c r="G254" t="s">
        <v>1294</v>
      </c>
      <c r="H254" t="s">
        <v>1495</v>
      </c>
      <c r="I254" t="s">
        <v>392</v>
      </c>
      <c r="J254">
        <v>11233</v>
      </c>
      <c r="K254" t="s">
        <v>424</v>
      </c>
      <c r="L254" t="s">
        <v>424</v>
      </c>
      <c r="M254" t="s">
        <v>1786</v>
      </c>
      <c r="N254" t="s">
        <v>437</v>
      </c>
      <c r="P254" t="s">
        <v>448</v>
      </c>
      <c r="Q254" t="s">
        <v>450</v>
      </c>
      <c r="R254" t="s">
        <v>1829</v>
      </c>
      <c r="T254" t="s">
        <v>453</v>
      </c>
      <c r="U254" t="s">
        <v>457</v>
      </c>
      <c r="W254">
        <v>1343.5</v>
      </c>
      <c r="X254" t="s">
        <v>458</v>
      </c>
      <c r="Y254" t="s">
        <v>1837</v>
      </c>
      <c r="Z254" t="s">
        <v>470</v>
      </c>
      <c r="AA254" t="s">
        <v>2084</v>
      </c>
      <c r="AB254" t="s">
        <v>2168</v>
      </c>
      <c r="AC254" t="s">
        <v>2374</v>
      </c>
      <c r="AD254">
        <v>13</v>
      </c>
      <c r="AE254" t="s">
        <v>622</v>
      </c>
      <c r="AF254" t="s">
        <v>626</v>
      </c>
      <c r="AG254">
        <v>10</v>
      </c>
      <c r="AH254">
        <v>1</v>
      </c>
      <c r="AI254">
        <v>2</v>
      </c>
      <c r="AJ254">
        <v>47.59</v>
      </c>
      <c r="AM254" t="s">
        <v>629</v>
      </c>
      <c r="AN254">
        <v>10152</v>
      </c>
      <c r="AO254" t="s">
        <v>2479</v>
      </c>
      <c r="AT254">
        <v>0.25</v>
      </c>
      <c r="AU254" t="s">
        <v>843</v>
      </c>
      <c r="AV254" t="s">
        <v>666</v>
      </c>
      <c r="AW254" t="s">
        <v>2528</v>
      </c>
    </row>
    <row r="255" spans="1:49">
      <c r="A255" s="1">
        <f>HYPERLINK("https://lsnyc.legalserver.org/matter/dynamic-profile/view/1872806","18-1872806")</f>
        <v>0</v>
      </c>
      <c r="B255" t="s">
        <v>666</v>
      </c>
      <c r="C255" t="s">
        <v>54</v>
      </c>
      <c r="D255" t="s">
        <v>778</v>
      </c>
      <c r="E255" t="s">
        <v>657</v>
      </c>
      <c r="F255" t="s">
        <v>1047</v>
      </c>
      <c r="G255" t="s">
        <v>1257</v>
      </c>
      <c r="H255" t="s">
        <v>1541</v>
      </c>
      <c r="I255" t="s">
        <v>1597</v>
      </c>
      <c r="J255">
        <v>11208</v>
      </c>
      <c r="K255" t="s">
        <v>423</v>
      </c>
      <c r="L255" t="s">
        <v>423</v>
      </c>
      <c r="M255" t="s">
        <v>435</v>
      </c>
      <c r="O255" t="s">
        <v>441</v>
      </c>
      <c r="P255" t="s">
        <v>447</v>
      </c>
      <c r="Q255" t="s">
        <v>450</v>
      </c>
      <c r="R255" t="s">
        <v>423</v>
      </c>
      <c r="T255" t="s">
        <v>453</v>
      </c>
      <c r="W255">
        <v>270</v>
      </c>
      <c r="X255" t="s">
        <v>458</v>
      </c>
      <c r="Y255" t="s">
        <v>463</v>
      </c>
      <c r="Z255" t="s">
        <v>470</v>
      </c>
      <c r="AA255" t="s">
        <v>2085</v>
      </c>
      <c r="AC255" t="s">
        <v>2375</v>
      </c>
      <c r="AD255">
        <v>6</v>
      </c>
      <c r="AE255" t="s">
        <v>2426</v>
      </c>
      <c r="AF255" t="s">
        <v>626</v>
      </c>
      <c r="AG255">
        <v>7</v>
      </c>
      <c r="AH255">
        <v>1</v>
      </c>
      <c r="AI255">
        <v>0</v>
      </c>
      <c r="AJ255">
        <v>69.19</v>
      </c>
      <c r="AM255" t="s">
        <v>629</v>
      </c>
      <c r="AN255">
        <v>8400</v>
      </c>
      <c r="AT255">
        <v>1</v>
      </c>
      <c r="AU255" t="s">
        <v>778</v>
      </c>
      <c r="AV255" t="s">
        <v>2527</v>
      </c>
    </row>
    <row r="256" spans="1:49">
      <c r="A256" s="1">
        <f>HYPERLINK("https://lsnyc.legalserver.org/matter/dynamic-profile/view/1871495","18-1871495")</f>
        <v>0</v>
      </c>
      <c r="B256" t="s">
        <v>666</v>
      </c>
      <c r="C256" t="s">
        <v>54</v>
      </c>
      <c r="D256" t="s">
        <v>101</v>
      </c>
      <c r="E256" t="s">
        <v>778</v>
      </c>
      <c r="F256" t="s">
        <v>926</v>
      </c>
      <c r="G256" t="s">
        <v>1295</v>
      </c>
      <c r="H256" t="s">
        <v>1542</v>
      </c>
      <c r="I256">
        <v>3</v>
      </c>
      <c r="J256">
        <v>11233</v>
      </c>
      <c r="K256" t="s">
        <v>423</v>
      </c>
      <c r="L256" t="s">
        <v>423</v>
      </c>
      <c r="M256" t="s">
        <v>435</v>
      </c>
      <c r="N256" t="s">
        <v>436</v>
      </c>
      <c r="P256" t="s">
        <v>447</v>
      </c>
      <c r="Q256" t="s">
        <v>450</v>
      </c>
      <c r="R256" t="s">
        <v>423</v>
      </c>
      <c r="T256" t="s">
        <v>453</v>
      </c>
      <c r="W256">
        <v>400</v>
      </c>
      <c r="X256" t="s">
        <v>458</v>
      </c>
      <c r="Y256" t="s">
        <v>464</v>
      </c>
      <c r="Z256" t="s">
        <v>470</v>
      </c>
      <c r="AA256" t="s">
        <v>2086</v>
      </c>
      <c r="AB256" t="s">
        <v>2142</v>
      </c>
      <c r="AC256" t="s">
        <v>2376</v>
      </c>
      <c r="AD256">
        <v>4</v>
      </c>
      <c r="AE256" t="s">
        <v>623</v>
      </c>
      <c r="AG256">
        <v>2</v>
      </c>
      <c r="AH256">
        <v>1</v>
      </c>
      <c r="AI256">
        <v>0</v>
      </c>
      <c r="AJ256">
        <v>72.45</v>
      </c>
      <c r="AM256" t="s">
        <v>629</v>
      </c>
      <c r="AN256">
        <v>8796</v>
      </c>
      <c r="AT256">
        <v>1</v>
      </c>
      <c r="AU256" t="s">
        <v>101</v>
      </c>
      <c r="AV256" t="s">
        <v>2512</v>
      </c>
    </row>
    <row r="257" spans="1:49">
      <c r="A257" s="1">
        <f>HYPERLINK("https://lsnyc.legalserver.org/matter/dynamic-profile/view/1881612","18-1881612")</f>
        <v>0</v>
      </c>
      <c r="B257" t="s">
        <v>666</v>
      </c>
      <c r="C257" t="s">
        <v>54</v>
      </c>
      <c r="D257" t="s">
        <v>705</v>
      </c>
      <c r="E257" t="s">
        <v>98</v>
      </c>
      <c r="F257" t="s">
        <v>1048</v>
      </c>
      <c r="G257" t="s">
        <v>1296</v>
      </c>
      <c r="H257" t="s">
        <v>1543</v>
      </c>
      <c r="I257" t="s">
        <v>1588</v>
      </c>
      <c r="J257">
        <v>11233</v>
      </c>
      <c r="K257" t="s">
        <v>423</v>
      </c>
      <c r="L257" t="s">
        <v>423</v>
      </c>
      <c r="M257" t="s">
        <v>435</v>
      </c>
      <c r="N257" t="s">
        <v>435</v>
      </c>
      <c r="O257" t="s">
        <v>441</v>
      </c>
      <c r="P257" t="s">
        <v>447</v>
      </c>
      <c r="Q257" t="s">
        <v>450</v>
      </c>
      <c r="R257" t="s">
        <v>423</v>
      </c>
      <c r="T257" t="s">
        <v>453</v>
      </c>
      <c r="W257">
        <v>1424</v>
      </c>
      <c r="X257" t="s">
        <v>458</v>
      </c>
      <c r="Y257" t="s">
        <v>467</v>
      </c>
      <c r="Z257" t="s">
        <v>470</v>
      </c>
      <c r="AA257" t="s">
        <v>2087</v>
      </c>
      <c r="AC257" t="s">
        <v>2377</v>
      </c>
      <c r="AD257">
        <v>77</v>
      </c>
      <c r="AE257" t="s">
        <v>2426</v>
      </c>
      <c r="AF257" t="s">
        <v>626</v>
      </c>
      <c r="AG257">
        <v>1</v>
      </c>
      <c r="AH257">
        <v>1</v>
      </c>
      <c r="AI257">
        <v>0</v>
      </c>
      <c r="AJ257">
        <v>74.14</v>
      </c>
      <c r="AM257" t="s">
        <v>629</v>
      </c>
      <c r="AN257">
        <v>9000</v>
      </c>
      <c r="AT257">
        <v>0.5</v>
      </c>
      <c r="AU257" t="s">
        <v>705</v>
      </c>
      <c r="AV257" t="s">
        <v>2513</v>
      </c>
    </row>
    <row r="258" spans="1:49">
      <c r="A258" s="1">
        <f>HYPERLINK("https://lsnyc.legalserver.org/matter/dynamic-profile/view/1879834","18-1879834")</f>
        <v>0</v>
      </c>
      <c r="B258" t="s">
        <v>666</v>
      </c>
      <c r="C258" t="s">
        <v>54</v>
      </c>
      <c r="D258" t="s">
        <v>814</v>
      </c>
      <c r="E258" t="s">
        <v>844</v>
      </c>
      <c r="F258" t="s">
        <v>1049</v>
      </c>
      <c r="G258" t="s">
        <v>1297</v>
      </c>
      <c r="H258" t="s">
        <v>1544</v>
      </c>
      <c r="I258" t="s">
        <v>1597</v>
      </c>
      <c r="J258">
        <v>11207</v>
      </c>
      <c r="K258" t="s">
        <v>422</v>
      </c>
      <c r="L258" t="s">
        <v>422</v>
      </c>
      <c r="M258" t="s">
        <v>1787</v>
      </c>
      <c r="N258" t="s">
        <v>437</v>
      </c>
      <c r="P258" t="s">
        <v>447</v>
      </c>
      <c r="Q258" t="s">
        <v>450</v>
      </c>
      <c r="R258" t="s">
        <v>423</v>
      </c>
      <c r="T258" t="s">
        <v>453</v>
      </c>
      <c r="W258">
        <v>225</v>
      </c>
      <c r="X258" t="s">
        <v>458</v>
      </c>
      <c r="Y258" t="s">
        <v>464</v>
      </c>
      <c r="Z258" t="s">
        <v>470</v>
      </c>
      <c r="AA258" t="s">
        <v>2088</v>
      </c>
      <c r="AC258" t="s">
        <v>2378</v>
      </c>
      <c r="AD258">
        <v>6</v>
      </c>
      <c r="AG258">
        <v>3</v>
      </c>
      <c r="AH258">
        <v>1</v>
      </c>
      <c r="AI258">
        <v>0</v>
      </c>
      <c r="AJ258">
        <v>74.14</v>
      </c>
      <c r="AM258" t="s">
        <v>629</v>
      </c>
      <c r="AN258">
        <v>9000</v>
      </c>
      <c r="AT258">
        <v>1</v>
      </c>
      <c r="AU258" t="s">
        <v>814</v>
      </c>
      <c r="AV258" t="s">
        <v>2512</v>
      </c>
    </row>
    <row r="259" spans="1:49">
      <c r="A259" s="1">
        <f>HYPERLINK("https://lsnyc.legalserver.org/matter/dynamic-profile/view/1864193","18-1864193")</f>
        <v>0</v>
      </c>
      <c r="B259" t="s">
        <v>666</v>
      </c>
      <c r="C259" t="s">
        <v>54</v>
      </c>
      <c r="D259" t="s">
        <v>783</v>
      </c>
      <c r="E259" t="s">
        <v>831</v>
      </c>
      <c r="F259" t="s">
        <v>1050</v>
      </c>
      <c r="G259" t="s">
        <v>1298</v>
      </c>
      <c r="H259" t="s">
        <v>1545</v>
      </c>
      <c r="I259">
        <v>2</v>
      </c>
      <c r="J259">
        <v>11233</v>
      </c>
      <c r="K259" t="s">
        <v>423</v>
      </c>
      <c r="L259" t="s">
        <v>423</v>
      </c>
      <c r="M259" t="s">
        <v>1788</v>
      </c>
      <c r="N259" t="s">
        <v>437</v>
      </c>
      <c r="O259" t="s">
        <v>444</v>
      </c>
      <c r="P259" t="s">
        <v>447</v>
      </c>
      <c r="Q259" t="s">
        <v>450</v>
      </c>
      <c r="R259" t="s">
        <v>423</v>
      </c>
      <c r="T259" t="s">
        <v>453</v>
      </c>
      <c r="W259">
        <v>2100</v>
      </c>
      <c r="X259" t="s">
        <v>458</v>
      </c>
      <c r="Y259" t="s">
        <v>460</v>
      </c>
      <c r="Z259" t="s">
        <v>470</v>
      </c>
      <c r="AA259" t="s">
        <v>2089</v>
      </c>
      <c r="AC259" t="s">
        <v>2379</v>
      </c>
      <c r="AD259">
        <v>2</v>
      </c>
      <c r="AE259" t="s">
        <v>623</v>
      </c>
      <c r="AG259">
        <v>3</v>
      </c>
      <c r="AH259">
        <v>4</v>
      </c>
      <c r="AI259">
        <v>0</v>
      </c>
      <c r="AJ259">
        <v>76.48999999999999</v>
      </c>
      <c r="AM259" t="s">
        <v>629</v>
      </c>
      <c r="AN259">
        <v>19200</v>
      </c>
      <c r="AO259" t="s">
        <v>2480</v>
      </c>
      <c r="AT259">
        <v>0.01</v>
      </c>
      <c r="AU259" t="s">
        <v>2509</v>
      </c>
      <c r="AV259" t="s">
        <v>2520</v>
      </c>
    </row>
    <row r="260" spans="1:49">
      <c r="A260" s="1">
        <f>HYPERLINK("https://lsnyc.legalserver.org/matter/dynamic-profile/view/1888922","19-1888922")</f>
        <v>0</v>
      </c>
      <c r="B260" t="s">
        <v>666</v>
      </c>
      <c r="C260" t="s">
        <v>54</v>
      </c>
      <c r="D260" t="s">
        <v>815</v>
      </c>
      <c r="E260" t="s">
        <v>711</v>
      </c>
      <c r="F260" t="s">
        <v>1051</v>
      </c>
      <c r="G260" t="s">
        <v>1106</v>
      </c>
      <c r="H260" t="s">
        <v>1546</v>
      </c>
      <c r="I260" t="s">
        <v>1656</v>
      </c>
      <c r="J260">
        <v>11208</v>
      </c>
      <c r="K260" t="s">
        <v>423</v>
      </c>
      <c r="L260" t="s">
        <v>423</v>
      </c>
      <c r="M260" t="s">
        <v>621</v>
      </c>
      <c r="N260" t="s">
        <v>434</v>
      </c>
      <c r="O260" t="s">
        <v>441</v>
      </c>
      <c r="P260" t="s">
        <v>447</v>
      </c>
      <c r="Q260" t="s">
        <v>450</v>
      </c>
      <c r="R260" t="s">
        <v>423</v>
      </c>
      <c r="T260" t="s">
        <v>453</v>
      </c>
      <c r="U260" t="s">
        <v>457</v>
      </c>
      <c r="W260">
        <v>650</v>
      </c>
      <c r="X260" t="s">
        <v>458</v>
      </c>
      <c r="Y260" t="s">
        <v>1838</v>
      </c>
      <c r="Z260" t="s">
        <v>470</v>
      </c>
      <c r="AA260" t="s">
        <v>1867</v>
      </c>
      <c r="AD260">
        <v>2</v>
      </c>
      <c r="AE260" t="s">
        <v>623</v>
      </c>
      <c r="AF260" t="s">
        <v>625</v>
      </c>
      <c r="AG260">
        <v>2</v>
      </c>
      <c r="AH260">
        <v>1</v>
      </c>
      <c r="AI260">
        <v>0</v>
      </c>
      <c r="AJ260">
        <v>79.06999999999999</v>
      </c>
      <c r="AM260" t="s">
        <v>629</v>
      </c>
      <c r="AN260">
        <v>9876</v>
      </c>
      <c r="AO260" t="s">
        <v>2481</v>
      </c>
      <c r="AT260">
        <v>0.8</v>
      </c>
      <c r="AU260" t="s">
        <v>58</v>
      </c>
      <c r="AV260" t="s">
        <v>664</v>
      </c>
    </row>
    <row r="261" spans="1:49">
      <c r="A261" s="1">
        <f>HYPERLINK("https://lsnyc.legalserver.org/matter/dynamic-profile/view/1888445","19-1888445")</f>
        <v>0</v>
      </c>
      <c r="B261" t="s">
        <v>666</v>
      </c>
      <c r="C261" t="s">
        <v>55</v>
      </c>
      <c r="D261" t="s">
        <v>816</v>
      </c>
      <c r="F261" t="s">
        <v>974</v>
      </c>
      <c r="G261" t="s">
        <v>1299</v>
      </c>
      <c r="H261" t="s">
        <v>1547</v>
      </c>
      <c r="J261">
        <v>11212</v>
      </c>
      <c r="K261" t="s">
        <v>423</v>
      </c>
      <c r="L261" t="s">
        <v>423</v>
      </c>
      <c r="N261" t="s">
        <v>435</v>
      </c>
      <c r="Q261" t="s">
        <v>450</v>
      </c>
      <c r="R261" t="s">
        <v>423</v>
      </c>
      <c r="T261" t="s">
        <v>453</v>
      </c>
      <c r="U261" t="s">
        <v>457</v>
      </c>
      <c r="W261">
        <v>530</v>
      </c>
      <c r="X261" t="s">
        <v>458</v>
      </c>
      <c r="Y261" t="s">
        <v>459</v>
      </c>
      <c r="AA261" t="s">
        <v>2090</v>
      </c>
      <c r="AC261" t="s">
        <v>2380</v>
      </c>
      <c r="AD261">
        <v>0</v>
      </c>
      <c r="AE261" t="s">
        <v>623</v>
      </c>
      <c r="AF261" t="s">
        <v>625</v>
      </c>
      <c r="AG261">
        <v>2</v>
      </c>
      <c r="AH261">
        <v>1</v>
      </c>
      <c r="AI261">
        <v>0</v>
      </c>
      <c r="AJ261">
        <v>79.08</v>
      </c>
      <c r="AM261" t="s">
        <v>629</v>
      </c>
      <c r="AN261">
        <v>9600</v>
      </c>
      <c r="AT261">
        <v>0.5</v>
      </c>
      <c r="AU261" t="s">
        <v>816</v>
      </c>
      <c r="AV261" t="s">
        <v>2513</v>
      </c>
    </row>
    <row r="262" spans="1:49">
      <c r="A262" s="1">
        <f>HYPERLINK("https://lsnyc.legalserver.org/matter/dynamic-profile/view/1887223","19-1887223")</f>
        <v>0</v>
      </c>
      <c r="B262" t="s">
        <v>666</v>
      </c>
      <c r="C262" t="s">
        <v>54</v>
      </c>
      <c r="D262" t="s">
        <v>62</v>
      </c>
      <c r="E262" t="s">
        <v>62</v>
      </c>
      <c r="F262" t="s">
        <v>1052</v>
      </c>
      <c r="G262" t="s">
        <v>1300</v>
      </c>
      <c r="H262" t="s">
        <v>1548</v>
      </c>
      <c r="I262" t="s">
        <v>1677</v>
      </c>
      <c r="J262">
        <v>11207</v>
      </c>
      <c r="K262" t="s">
        <v>423</v>
      </c>
      <c r="L262" t="s">
        <v>423</v>
      </c>
      <c r="M262" t="s">
        <v>1789</v>
      </c>
      <c r="N262" t="s">
        <v>436</v>
      </c>
      <c r="O262" t="s">
        <v>441</v>
      </c>
      <c r="P262" t="s">
        <v>447</v>
      </c>
      <c r="Q262" t="s">
        <v>450</v>
      </c>
      <c r="R262" t="s">
        <v>423</v>
      </c>
      <c r="T262" t="s">
        <v>453</v>
      </c>
      <c r="U262" t="s">
        <v>457</v>
      </c>
      <c r="W262">
        <v>1800</v>
      </c>
      <c r="X262" t="s">
        <v>458</v>
      </c>
      <c r="Y262" t="s">
        <v>1837</v>
      </c>
      <c r="Z262" t="s">
        <v>470</v>
      </c>
      <c r="AA262" t="s">
        <v>2091</v>
      </c>
      <c r="AB262" t="s">
        <v>2142</v>
      </c>
      <c r="AC262" t="s">
        <v>2381</v>
      </c>
      <c r="AD262">
        <v>3</v>
      </c>
      <c r="AE262" t="s">
        <v>623</v>
      </c>
      <c r="AF262" t="s">
        <v>2427</v>
      </c>
      <c r="AG262">
        <v>1</v>
      </c>
      <c r="AH262">
        <v>1</v>
      </c>
      <c r="AI262">
        <v>4</v>
      </c>
      <c r="AJ262">
        <v>79.73999999999999</v>
      </c>
      <c r="AM262" t="s">
        <v>629</v>
      </c>
      <c r="AN262">
        <v>23460</v>
      </c>
      <c r="AT262">
        <v>0.6</v>
      </c>
      <c r="AU262" t="s">
        <v>62</v>
      </c>
      <c r="AV262" t="s">
        <v>664</v>
      </c>
    </row>
    <row r="263" spans="1:49">
      <c r="A263" s="1">
        <f>HYPERLINK("https://lsnyc.legalserver.org/matter/dynamic-profile/view/1901353","19-1901353")</f>
        <v>0</v>
      </c>
      <c r="B263" t="s">
        <v>666</v>
      </c>
      <c r="C263" t="s">
        <v>54</v>
      </c>
      <c r="D263" t="s">
        <v>92</v>
      </c>
      <c r="E263" t="s">
        <v>656</v>
      </c>
      <c r="F263" t="s">
        <v>1053</v>
      </c>
      <c r="G263" t="s">
        <v>1251</v>
      </c>
      <c r="H263" t="s">
        <v>1549</v>
      </c>
      <c r="I263" t="s">
        <v>1680</v>
      </c>
      <c r="J263">
        <v>11233</v>
      </c>
      <c r="K263" t="s">
        <v>423</v>
      </c>
      <c r="L263" t="s">
        <v>422</v>
      </c>
      <c r="M263" t="s">
        <v>1790</v>
      </c>
      <c r="N263" t="s">
        <v>437</v>
      </c>
      <c r="O263" t="s">
        <v>441</v>
      </c>
      <c r="P263" t="s">
        <v>447</v>
      </c>
      <c r="Q263" t="s">
        <v>450</v>
      </c>
      <c r="R263" t="s">
        <v>423</v>
      </c>
      <c r="T263" t="s">
        <v>453</v>
      </c>
      <c r="U263" t="s">
        <v>457</v>
      </c>
      <c r="W263">
        <v>1030.12</v>
      </c>
      <c r="X263" t="s">
        <v>458</v>
      </c>
      <c r="Y263" t="s">
        <v>460</v>
      </c>
      <c r="Z263" t="s">
        <v>470</v>
      </c>
      <c r="AA263" t="s">
        <v>2092</v>
      </c>
      <c r="AB263" t="s">
        <v>625</v>
      </c>
      <c r="AC263" t="s">
        <v>2382</v>
      </c>
      <c r="AD263">
        <v>60</v>
      </c>
      <c r="AE263" t="s">
        <v>621</v>
      </c>
      <c r="AF263" t="s">
        <v>625</v>
      </c>
      <c r="AG263">
        <v>4</v>
      </c>
      <c r="AH263">
        <v>2</v>
      </c>
      <c r="AI263">
        <v>0</v>
      </c>
      <c r="AJ263">
        <v>80.76000000000001</v>
      </c>
      <c r="AM263" t="s">
        <v>629</v>
      </c>
      <c r="AN263">
        <v>13656</v>
      </c>
      <c r="AO263" t="s">
        <v>2482</v>
      </c>
      <c r="AT263">
        <v>0.5</v>
      </c>
      <c r="AU263" t="s">
        <v>92</v>
      </c>
      <c r="AV263" t="s">
        <v>2514</v>
      </c>
      <c r="AW263" t="s">
        <v>625</v>
      </c>
    </row>
    <row r="264" spans="1:49">
      <c r="A264" s="1">
        <f>HYPERLINK("https://lsnyc.legalserver.org/matter/dynamic-profile/view/1892266","19-1892266")</f>
        <v>0</v>
      </c>
      <c r="B264" t="s">
        <v>666</v>
      </c>
      <c r="C264" t="s">
        <v>54</v>
      </c>
      <c r="D264" t="s">
        <v>817</v>
      </c>
      <c r="E264" t="s">
        <v>824</v>
      </c>
      <c r="F264" t="s">
        <v>1054</v>
      </c>
      <c r="G264" t="s">
        <v>1301</v>
      </c>
      <c r="H264" t="s">
        <v>1550</v>
      </c>
      <c r="I264">
        <v>2</v>
      </c>
      <c r="J264">
        <v>11208</v>
      </c>
      <c r="K264" t="s">
        <v>423</v>
      </c>
      <c r="L264" t="s">
        <v>423</v>
      </c>
      <c r="M264" t="s">
        <v>1791</v>
      </c>
      <c r="N264" t="s">
        <v>434</v>
      </c>
      <c r="P264" t="s">
        <v>447</v>
      </c>
      <c r="Q264" t="s">
        <v>450</v>
      </c>
      <c r="R264" t="s">
        <v>423</v>
      </c>
      <c r="T264" t="s">
        <v>453</v>
      </c>
      <c r="U264" t="s">
        <v>457</v>
      </c>
      <c r="W264">
        <v>1756</v>
      </c>
      <c r="X264" t="s">
        <v>458</v>
      </c>
      <c r="Z264" t="s">
        <v>470</v>
      </c>
      <c r="AA264" t="s">
        <v>2093</v>
      </c>
      <c r="AC264" t="s">
        <v>2383</v>
      </c>
      <c r="AD264">
        <v>3</v>
      </c>
      <c r="AE264" t="s">
        <v>623</v>
      </c>
      <c r="AF264" t="s">
        <v>626</v>
      </c>
      <c r="AG264">
        <v>13</v>
      </c>
      <c r="AH264">
        <v>2</v>
      </c>
      <c r="AI264">
        <v>0</v>
      </c>
      <c r="AJ264">
        <v>80.83</v>
      </c>
      <c r="AM264" t="s">
        <v>629</v>
      </c>
      <c r="AN264">
        <v>13668</v>
      </c>
      <c r="AT264">
        <v>1.25</v>
      </c>
      <c r="AU264" t="s">
        <v>824</v>
      </c>
      <c r="AV264" t="s">
        <v>2518</v>
      </c>
    </row>
    <row r="265" spans="1:49">
      <c r="A265" s="1">
        <f>HYPERLINK("https://lsnyc.legalserver.org/matter/dynamic-profile/view/1875148","18-1875148")</f>
        <v>0</v>
      </c>
      <c r="B265" t="s">
        <v>666</v>
      </c>
      <c r="C265" t="s">
        <v>54</v>
      </c>
      <c r="D265" t="s">
        <v>754</v>
      </c>
      <c r="E265" t="s">
        <v>806</v>
      </c>
      <c r="F265" t="s">
        <v>1055</v>
      </c>
      <c r="G265" t="s">
        <v>1302</v>
      </c>
      <c r="H265" t="s">
        <v>1551</v>
      </c>
      <c r="I265">
        <v>4</v>
      </c>
      <c r="J265">
        <v>11233</v>
      </c>
      <c r="K265" t="s">
        <v>423</v>
      </c>
      <c r="L265" t="s">
        <v>423</v>
      </c>
      <c r="P265" t="s">
        <v>447</v>
      </c>
      <c r="Q265" t="s">
        <v>450</v>
      </c>
      <c r="T265" t="s">
        <v>453</v>
      </c>
      <c r="W265">
        <v>1834</v>
      </c>
      <c r="X265" t="s">
        <v>458</v>
      </c>
      <c r="Y265" t="s">
        <v>464</v>
      </c>
      <c r="Z265" t="s">
        <v>470</v>
      </c>
      <c r="AA265" t="s">
        <v>2094</v>
      </c>
      <c r="AC265" t="s">
        <v>2384</v>
      </c>
      <c r="AD265">
        <v>7</v>
      </c>
      <c r="AE265" t="s">
        <v>2419</v>
      </c>
      <c r="AF265" t="s">
        <v>626</v>
      </c>
      <c r="AG265">
        <v>10</v>
      </c>
      <c r="AH265">
        <v>1</v>
      </c>
      <c r="AI265">
        <v>0</v>
      </c>
      <c r="AJ265">
        <v>82.04000000000001</v>
      </c>
      <c r="AM265" t="s">
        <v>629</v>
      </c>
      <c r="AN265">
        <v>9960</v>
      </c>
      <c r="AT265">
        <v>1.5</v>
      </c>
      <c r="AU265" t="s">
        <v>806</v>
      </c>
      <c r="AV265" t="s">
        <v>2527</v>
      </c>
    </row>
    <row r="266" spans="1:49">
      <c r="A266" s="1">
        <f>HYPERLINK("https://lsnyc.legalserver.org/matter/dynamic-profile/view/1899550","19-1899550")</f>
        <v>0</v>
      </c>
      <c r="B266" t="s">
        <v>666</v>
      </c>
      <c r="C266" t="s">
        <v>54</v>
      </c>
      <c r="D266" t="s">
        <v>799</v>
      </c>
      <c r="E266" t="s">
        <v>127</v>
      </c>
      <c r="F266" t="s">
        <v>1056</v>
      </c>
      <c r="G266" t="s">
        <v>1303</v>
      </c>
      <c r="H266" t="s">
        <v>1403</v>
      </c>
      <c r="I266" t="s">
        <v>385</v>
      </c>
      <c r="J266">
        <v>11233</v>
      </c>
      <c r="K266" t="s">
        <v>423</v>
      </c>
      <c r="L266" t="s">
        <v>422</v>
      </c>
      <c r="N266" t="s">
        <v>435</v>
      </c>
      <c r="P266" t="s">
        <v>447</v>
      </c>
      <c r="Q266" t="s">
        <v>450</v>
      </c>
      <c r="R266" t="s">
        <v>423</v>
      </c>
      <c r="T266" t="s">
        <v>453</v>
      </c>
      <c r="U266" t="s">
        <v>457</v>
      </c>
      <c r="W266">
        <v>650</v>
      </c>
      <c r="X266" t="s">
        <v>458</v>
      </c>
      <c r="Z266" t="s">
        <v>470</v>
      </c>
      <c r="AA266" t="s">
        <v>2095</v>
      </c>
      <c r="AC266" t="s">
        <v>2385</v>
      </c>
      <c r="AD266">
        <v>12</v>
      </c>
      <c r="AE266" t="s">
        <v>622</v>
      </c>
      <c r="AF266" t="s">
        <v>625</v>
      </c>
      <c r="AG266">
        <v>2</v>
      </c>
      <c r="AH266">
        <v>1</v>
      </c>
      <c r="AI266">
        <v>0</v>
      </c>
      <c r="AJ266">
        <v>82.23999999999999</v>
      </c>
      <c r="AM266" t="s">
        <v>629</v>
      </c>
      <c r="AN266">
        <v>10272</v>
      </c>
      <c r="AO266" t="s">
        <v>2483</v>
      </c>
      <c r="AT266">
        <v>1.25</v>
      </c>
      <c r="AU266" t="s">
        <v>127</v>
      </c>
      <c r="AV266" t="s">
        <v>2511</v>
      </c>
      <c r="AW266" t="s">
        <v>625</v>
      </c>
    </row>
    <row r="267" spans="1:49">
      <c r="A267" s="1">
        <f>HYPERLINK("https://lsnyc.legalserver.org/matter/dynamic-profile/view/1875856","18-1875856")</f>
        <v>0</v>
      </c>
      <c r="B267" t="s">
        <v>666</v>
      </c>
      <c r="C267" t="s">
        <v>54</v>
      </c>
      <c r="D267" t="s">
        <v>761</v>
      </c>
      <c r="E267" t="s">
        <v>703</v>
      </c>
      <c r="F267" t="s">
        <v>1057</v>
      </c>
      <c r="G267" t="s">
        <v>1304</v>
      </c>
      <c r="H267" t="s">
        <v>1552</v>
      </c>
      <c r="I267" t="s">
        <v>1599</v>
      </c>
      <c r="J267">
        <v>11208</v>
      </c>
      <c r="K267" t="s">
        <v>423</v>
      </c>
      <c r="L267" t="s">
        <v>423</v>
      </c>
      <c r="N267" t="s">
        <v>435</v>
      </c>
      <c r="O267" t="s">
        <v>441</v>
      </c>
      <c r="P267" t="s">
        <v>447</v>
      </c>
      <c r="Q267" t="s">
        <v>450</v>
      </c>
      <c r="T267" t="s">
        <v>453</v>
      </c>
      <c r="W267">
        <v>1000</v>
      </c>
      <c r="X267" t="s">
        <v>458</v>
      </c>
      <c r="Y267" t="s">
        <v>464</v>
      </c>
      <c r="Z267" t="s">
        <v>470</v>
      </c>
      <c r="AA267" t="s">
        <v>2096</v>
      </c>
      <c r="AB267" t="s">
        <v>2169</v>
      </c>
      <c r="AC267" t="s">
        <v>2386</v>
      </c>
      <c r="AD267">
        <v>6</v>
      </c>
      <c r="AF267" t="s">
        <v>624</v>
      </c>
      <c r="AG267">
        <v>10</v>
      </c>
      <c r="AH267">
        <v>1</v>
      </c>
      <c r="AI267">
        <v>0</v>
      </c>
      <c r="AJ267">
        <v>82.64</v>
      </c>
      <c r="AM267" t="s">
        <v>629</v>
      </c>
      <c r="AN267">
        <v>10032</v>
      </c>
      <c r="AO267" t="s">
        <v>2484</v>
      </c>
      <c r="AT267">
        <v>0.25</v>
      </c>
      <c r="AU267" t="s">
        <v>703</v>
      </c>
      <c r="AV267" t="s">
        <v>663</v>
      </c>
    </row>
    <row r="268" spans="1:49">
      <c r="A268" s="1">
        <f>HYPERLINK("https://lsnyc.legalserver.org/matter/dynamic-profile/view/1873765","18-1873765")</f>
        <v>0</v>
      </c>
      <c r="B268" t="s">
        <v>666</v>
      </c>
      <c r="C268" t="s">
        <v>54</v>
      </c>
      <c r="D268" t="s">
        <v>657</v>
      </c>
      <c r="E268" t="s">
        <v>817</v>
      </c>
      <c r="F268" t="s">
        <v>1058</v>
      </c>
      <c r="G268" t="s">
        <v>1305</v>
      </c>
      <c r="H268" t="s">
        <v>1553</v>
      </c>
      <c r="I268">
        <v>10</v>
      </c>
      <c r="J268">
        <v>11208</v>
      </c>
      <c r="K268" t="s">
        <v>423</v>
      </c>
      <c r="L268" t="s">
        <v>423</v>
      </c>
      <c r="M268" t="s">
        <v>435</v>
      </c>
      <c r="N268" t="s">
        <v>434</v>
      </c>
      <c r="O268" t="s">
        <v>441</v>
      </c>
      <c r="P268" t="s">
        <v>447</v>
      </c>
      <c r="Q268" t="s">
        <v>450</v>
      </c>
      <c r="R268" t="s">
        <v>423</v>
      </c>
      <c r="T268" t="s">
        <v>453</v>
      </c>
      <c r="W268">
        <v>0</v>
      </c>
      <c r="X268" t="s">
        <v>458</v>
      </c>
      <c r="Y268" t="s">
        <v>464</v>
      </c>
      <c r="Z268" t="s">
        <v>470</v>
      </c>
      <c r="AA268" t="s">
        <v>2097</v>
      </c>
      <c r="AB268" t="s">
        <v>621</v>
      </c>
      <c r="AC268" t="s">
        <v>2387</v>
      </c>
      <c r="AD268">
        <v>2</v>
      </c>
      <c r="AE268" t="s">
        <v>621</v>
      </c>
      <c r="AF268" t="s">
        <v>625</v>
      </c>
      <c r="AG268">
        <v>10</v>
      </c>
      <c r="AH268">
        <v>1</v>
      </c>
      <c r="AI268">
        <v>0</v>
      </c>
      <c r="AJ268">
        <v>84.70999999999999</v>
      </c>
      <c r="AM268" t="s">
        <v>629</v>
      </c>
      <c r="AN268">
        <v>10284</v>
      </c>
      <c r="AT268">
        <v>0.85</v>
      </c>
      <c r="AU268" t="s">
        <v>817</v>
      </c>
      <c r="AV268" t="s">
        <v>664</v>
      </c>
    </row>
    <row r="269" spans="1:49">
      <c r="A269" s="1">
        <f>HYPERLINK("https://lsnyc.legalserver.org/matter/dynamic-profile/view/1879336","18-1879336")</f>
        <v>0</v>
      </c>
      <c r="B269" t="s">
        <v>666</v>
      </c>
      <c r="C269" t="s">
        <v>54</v>
      </c>
      <c r="D269" t="s">
        <v>751</v>
      </c>
      <c r="E269" t="s">
        <v>813</v>
      </c>
      <c r="F269" t="s">
        <v>871</v>
      </c>
      <c r="G269" t="s">
        <v>1306</v>
      </c>
      <c r="H269" t="s">
        <v>1554</v>
      </c>
      <c r="I269" t="s">
        <v>1661</v>
      </c>
      <c r="J269">
        <v>11207</v>
      </c>
      <c r="K269" t="s">
        <v>423</v>
      </c>
      <c r="L269" t="s">
        <v>423</v>
      </c>
      <c r="N269" t="s">
        <v>435</v>
      </c>
      <c r="O269" t="s">
        <v>441</v>
      </c>
      <c r="P269" t="s">
        <v>447</v>
      </c>
      <c r="Q269" t="s">
        <v>450</v>
      </c>
      <c r="R269" t="s">
        <v>423</v>
      </c>
      <c r="T269" t="s">
        <v>453</v>
      </c>
      <c r="W269">
        <v>1700</v>
      </c>
      <c r="X269" t="s">
        <v>458</v>
      </c>
      <c r="Z269" t="s">
        <v>470</v>
      </c>
      <c r="AA269" t="s">
        <v>2098</v>
      </c>
      <c r="AB269" t="s">
        <v>2142</v>
      </c>
      <c r="AC269" t="s">
        <v>2388</v>
      </c>
      <c r="AD269">
        <v>2</v>
      </c>
      <c r="AE269" t="s">
        <v>623</v>
      </c>
      <c r="AF269" t="s">
        <v>2428</v>
      </c>
      <c r="AG269">
        <v>15</v>
      </c>
      <c r="AH269">
        <v>1</v>
      </c>
      <c r="AI269">
        <v>2</v>
      </c>
      <c r="AJ269">
        <v>97.13</v>
      </c>
      <c r="AM269" t="s">
        <v>629</v>
      </c>
      <c r="AN269">
        <v>20184</v>
      </c>
      <c r="AT269">
        <v>0.6</v>
      </c>
      <c r="AU269" t="s">
        <v>844</v>
      </c>
      <c r="AV269" t="s">
        <v>668</v>
      </c>
    </row>
    <row r="270" spans="1:49">
      <c r="A270" s="1">
        <f>HYPERLINK("https://lsnyc.legalserver.org/matter/dynamic-profile/view/1882587","18-1882587")</f>
        <v>0</v>
      </c>
      <c r="B270" t="s">
        <v>666</v>
      </c>
      <c r="C270" t="s">
        <v>55</v>
      </c>
      <c r="D270" t="s">
        <v>107</v>
      </c>
      <c r="F270" t="s">
        <v>1059</v>
      </c>
      <c r="G270" t="s">
        <v>1307</v>
      </c>
      <c r="H270" t="s">
        <v>1555</v>
      </c>
      <c r="I270" t="s">
        <v>393</v>
      </c>
      <c r="J270">
        <v>11233</v>
      </c>
      <c r="K270" t="s">
        <v>423</v>
      </c>
      <c r="L270" t="s">
        <v>423</v>
      </c>
      <c r="N270" t="s">
        <v>435</v>
      </c>
      <c r="O270" t="s">
        <v>441</v>
      </c>
      <c r="Q270" t="s">
        <v>450</v>
      </c>
      <c r="R270" t="s">
        <v>423</v>
      </c>
      <c r="T270" t="s">
        <v>453</v>
      </c>
      <c r="U270" t="s">
        <v>457</v>
      </c>
      <c r="W270">
        <v>750</v>
      </c>
      <c r="X270" t="s">
        <v>458</v>
      </c>
      <c r="Y270" t="s">
        <v>460</v>
      </c>
      <c r="AA270" t="s">
        <v>2099</v>
      </c>
      <c r="AB270" t="s">
        <v>2142</v>
      </c>
      <c r="AC270" t="s">
        <v>2389</v>
      </c>
      <c r="AD270">
        <v>3</v>
      </c>
      <c r="AE270" t="s">
        <v>623</v>
      </c>
      <c r="AF270" t="s">
        <v>625</v>
      </c>
      <c r="AG270">
        <v>3</v>
      </c>
      <c r="AH270">
        <v>2</v>
      </c>
      <c r="AI270">
        <v>2</v>
      </c>
      <c r="AJ270">
        <v>102.79</v>
      </c>
      <c r="AM270" t="s">
        <v>629</v>
      </c>
      <c r="AN270">
        <v>25800</v>
      </c>
      <c r="AT270">
        <v>0.6</v>
      </c>
      <c r="AU270" t="s">
        <v>58</v>
      </c>
      <c r="AV270" t="s">
        <v>2514</v>
      </c>
    </row>
    <row r="271" spans="1:49">
      <c r="A271" s="1">
        <f>HYPERLINK("https://lsnyc.legalserver.org/matter/dynamic-profile/view/1882338","18-1882338")</f>
        <v>0</v>
      </c>
      <c r="B271" t="s">
        <v>666</v>
      </c>
      <c r="C271" t="s">
        <v>54</v>
      </c>
      <c r="D271" t="s">
        <v>818</v>
      </c>
      <c r="E271" t="s">
        <v>107</v>
      </c>
      <c r="F271" t="s">
        <v>1060</v>
      </c>
      <c r="G271" t="s">
        <v>1308</v>
      </c>
      <c r="H271" t="s">
        <v>1556</v>
      </c>
      <c r="I271" t="s">
        <v>1603</v>
      </c>
      <c r="J271">
        <v>11207</v>
      </c>
      <c r="K271" t="s">
        <v>423</v>
      </c>
      <c r="L271" t="s">
        <v>423</v>
      </c>
      <c r="M271" t="s">
        <v>1792</v>
      </c>
      <c r="N271" t="s">
        <v>437</v>
      </c>
      <c r="P271" t="s">
        <v>447</v>
      </c>
      <c r="Q271" t="s">
        <v>450</v>
      </c>
      <c r="R271" t="s">
        <v>423</v>
      </c>
      <c r="T271" t="s">
        <v>453</v>
      </c>
      <c r="U271" t="s">
        <v>457</v>
      </c>
      <c r="W271">
        <v>555</v>
      </c>
      <c r="X271" t="s">
        <v>458</v>
      </c>
      <c r="Y271" t="s">
        <v>469</v>
      </c>
      <c r="Z271" t="s">
        <v>470</v>
      </c>
      <c r="AA271" t="s">
        <v>2100</v>
      </c>
      <c r="AB271" t="s">
        <v>625</v>
      </c>
      <c r="AC271" t="s">
        <v>2390</v>
      </c>
      <c r="AD271">
        <v>0</v>
      </c>
      <c r="AE271" t="s">
        <v>2421</v>
      </c>
      <c r="AF271" t="s">
        <v>626</v>
      </c>
      <c r="AG271">
        <v>45</v>
      </c>
      <c r="AH271">
        <v>3</v>
      </c>
      <c r="AI271">
        <v>0</v>
      </c>
      <c r="AJ271">
        <v>107.32</v>
      </c>
      <c r="AM271" t="s">
        <v>629</v>
      </c>
      <c r="AN271">
        <v>22302</v>
      </c>
      <c r="AT271">
        <v>0.25</v>
      </c>
      <c r="AU271" t="s">
        <v>107</v>
      </c>
      <c r="AV271" t="s">
        <v>666</v>
      </c>
    </row>
    <row r="272" spans="1:49">
      <c r="A272" s="1">
        <f>HYPERLINK("https://lsnyc.legalserver.org/matter/dynamic-profile/view/1886992","19-1886992")</f>
        <v>0</v>
      </c>
      <c r="B272" t="s">
        <v>666</v>
      </c>
      <c r="C272" t="s">
        <v>54</v>
      </c>
      <c r="D272" t="s">
        <v>769</v>
      </c>
      <c r="E272" t="s">
        <v>845</v>
      </c>
      <c r="F272" t="s">
        <v>1061</v>
      </c>
      <c r="G272" t="s">
        <v>1251</v>
      </c>
      <c r="H272" t="s">
        <v>1475</v>
      </c>
      <c r="I272" t="s">
        <v>1681</v>
      </c>
      <c r="J272">
        <v>11233</v>
      </c>
      <c r="K272" t="s">
        <v>423</v>
      </c>
      <c r="L272" t="s">
        <v>423</v>
      </c>
      <c r="M272" t="s">
        <v>1793</v>
      </c>
      <c r="N272" t="s">
        <v>437</v>
      </c>
      <c r="P272" t="s">
        <v>447</v>
      </c>
      <c r="Q272" t="s">
        <v>450</v>
      </c>
      <c r="R272" t="s">
        <v>423</v>
      </c>
      <c r="T272" t="s">
        <v>453</v>
      </c>
      <c r="U272" t="s">
        <v>456</v>
      </c>
      <c r="W272">
        <v>2162</v>
      </c>
      <c r="X272" t="s">
        <v>458</v>
      </c>
      <c r="Y272" t="s">
        <v>1836</v>
      </c>
      <c r="Z272" t="s">
        <v>470</v>
      </c>
      <c r="AA272" t="s">
        <v>2101</v>
      </c>
      <c r="AC272" t="s">
        <v>2391</v>
      </c>
      <c r="AD272">
        <v>287</v>
      </c>
      <c r="AE272" t="s">
        <v>621</v>
      </c>
      <c r="AF272" t="s">
        <v>626</v>
      </c>
      <c r="AG272">
        <v>8</v>
      </c>
      <c r="AH272">
        <v>2</v>
      </c>
      <c r="AI272">
        <v>2</v>
      </c>
      <c r="AJ272">
        <v>109.8</v>
      </c>
      <c r="AM272" t="s">
        <v>629</v>
      </c>
      <c r="AN272">
        <v>27560</v>
      </c>
      <c r="AT272">
        <v>0.5</v>
      </c>
      <c r="AU272" t="s">
        <v>769</v>
      </c>
      <c r="AV272" t="s">
        <v>668</v>
      </c>
    </row>
    <row r="273" spans="1:49">
      <c r="A273" s="1">
        <f>HYPERLINK("https://lsnyc.legalserver.org/matter/dynamic-profile/view/1882493","18-1882493")</f>
        <v>0</v>
      </c>
      <c r="B273" t="s">
        <v>666</v>
      </c>
      <c r="C273" t="s">
        <v>54</v>
      </c>
      <c r="D273" t="s">
        <v>105</v>
      </c>
      <c r="E273" t="s">
        <v>88</v>
      </c>
      <c r="F273" t="s">
        <v>1062</v>
      </c>
      <c r="G273" t="s">
        <v>1309</v>
      </c>
      <c r="H273" t="s">
        <v>1557</v>
      </c>
      <c r="I273" t="s">
        <v>1682</v>
      </c>
      <c r="J273">
        <v>11207</v>
      </c>
      <c r="K273" t="s">
        <v>423</v>
      </c>
      <c r="L273" t="s">
        <v>423</v>
      </c>
      <c r="M273" t="s">
        <v>435</v>
      </c>
      <c r="N273" t="s">
        <v>437</v>
      </c>
      <c r="P273" t="s">
        <v>447</v>
      </c>
      <c r="Q273" t="s">
        <v>450</v>
      </c>
      <c r="R273" t="s">
        <v>423</v>
      </c>
      <c r="T273" t="s">
        <v>453</v>
      </c>
      <c r="W273">
        <v>864.49</v>
      </c>
      <c r="X273" t="s">
        <v>458</v>
      </c>
      <c r="Y273" t="s">
        <v>460</v>
      </c>
      <c r="Z273" t="s">
        <v>470</v>
      </c>
      <c r="AA273" t="s">
        <v>2102</v>
      </c>
      <c r="AB273" t="s">
        <v>625</v>
      </c>
      <c r="AC273" t="s">
        <v>2392</v>
      </c>
      <c r="AD273">
        <v>150</v>
      </c>
      <c r="AE273" t="s">
        <v>621</v>
      </c>
      <c r="AF273" t="s">
        <v>625</v>
      </c>
      <c r="AG273">
        <v>1</v>
      </c>
      <c r="AH273">
        <v>1</v>
      </c>
      <c r="AI273">
        <v>0</v>
      </c>
      <c r="AJ273">
        <v>112.65</v>
      </c>
      <c r="AM273" t="s">
        <v>629</v>
      </c>
      <c r="AN273">
        <v>13676</v>
      </c>
      <c r="AT273">
        <v>0.3</v>
      </c>
      <c r="AU273" t="s">
        <v>105</v>
      </c>
      <c r="AV273" t="s">
        <v>2516</v>
      </c>
    </row>
    <row r="274" spans="1:49">
      <c r="A274" s="1">
        <f>HYPERLINK("https://lsnyc.legalserver.org/matter/dynamic-profile/view/1874459","18-1874459")</f>
        <v>0</v>
      </c>
      <c r="B274" t="s">
        <v>666</v>
      </c>
      <c r="C274" t="s">
        <v>54</v>
      </c>
      <c r="D274" t="s">
        <v>117</v>
      </c>
      <c r="E274" t="s">
        <v>846</v>
      </c>
      <c r="F274" t="s">
        <v>1063</v>
      </c>
      <c r="G274" t="s">
        <v>1310</v>
      </c>
      <c r="H274" t="s">
        <v>1558</v>
      </c>
      <c r="I274">
        <v>1</v>
      </c>
      <c r="J274">
        <v>11207</v>
      </c>
      <c r="K274" t="s">
        <v>423</v>
      </c>
      <c r="L274" t="s">
        <v>423</v>
      </c>
      <c r="M274" t="s">
        <v>1794</v>
      </c>
      <c r="N274" t="s">
        <v>437</v>
      </c>
      <c r="P274" t="s">
        <v>447</v>
      </c>
      <c r="Q274" t="s">
        <v>450</v>
      </c>
      <c r="T274" t="s">
        <v>453</v>
      </c>
      <c r="W274">
        <v>1700</v>
      </c>
      <c r="X274" t="s">
        <v>458</v>
      </c>
      <c r="Y274" t="s">
        <v>464</v>
      </c>
      <c r="Z274" t="s">
        <v>470</v>
      </c>
      <c r="AA274" t="s">
        <v>2103</v>
      </c>
      <c r="AC274" t="s">
        <v>2393</v>
      </c>
      <c r="AD274">
        <v>3</v>
      </c>
      <c r="AG274">
        <v>8</v>
      </c>
      <c r="AH274">
        <v>1</v>
      </c>
      <c r="AI274">
        <v>0</v>
      </c>
      <c r="AJ274">
        <v>112.69</v>
      </c>
      <c r="AM274" t="s">
        <v>629</v>
      </c>
      <c r="AN274">
        <v>13680</v>
      </c>
      <c r="AT274">
        <v>1</v>
      </c>
      <c r="AU274" t="s">
        <v>117</v>
      </c>
      <c r="AV274" t="s">
        <v>2512</v>
      </c>
    </row>
    <row r="275" spans="1:49">
      <c r="A275" s="1">
        <f>HYPERLINK("https://lsnyc.legalserver.org/matter/dynamic-profile/view/1902047","19-1902047")</f>
        <v>0</v>
      </c>
      <c r="B275" t="s">
        <v>666</v>
      </c>
      <c r="C275" t="s">
        <v>55</v>
      </c>
      <c r="D275" t="s">
        <v>725</v>
      </c>
      <c r="F275" t="s">
        <v>1064</v>
      </c>
      <c r="G275" t="s">
        <v>1311</v>
      </c>
      <c r="H275" t="s">
        <v>1559</v>
      </c>
      <c r="I275" t="s">
        <v>1619</v>
      </c>
      <c r="J275">
        <v>11233</v>
      </c>
      <c r="K275" t="s">
        <v>423</v>
      </c>
      <c r="L275" t="s">
        <v>422</v>
      </c>
      <c r="N275" t="s">
        <v>435</v>
      </c>
      <c r="Q275" t="s">
        <v>450</v>
      </c>
      <c r="R275" t="s">
        <v>423</v>
      </c>
      <c r="T275" t="s">
        <v>453</v>
      </c>
      <c r="U275" t="s">
        <v>457</v>
      </c>
      <c r="W275">
        <v>1135</v>
      </c>
      <c r="X275" t="s">
        <v>458</v>
      </c>
      <c r="Y275" t="s">
        <v>459</v>
      </c>
      <c r="AA275" t="s">
        <v>2104</v>
      </c>
      <c r="AB275" t="s">
        <v>1810</v>
      </c>
      <c r="AC275" t="s">
        <v>2394</v>
      </c>
      <c r="AD275">
        <v>70</v>
      </c>
      <c r="AE275" t="s">
        <v>2421</v>
      </c>
      <c r="AF275" t="s">
        <v>625</v>
      </c>
      <c r="AG275">
        <v>14</v>
      </c>
      <c r="AH275">
        <v>1</v>
      </c>
      <c r="AI275">
        <v>1</v>
      </c>
      <c r="AJ275">
        <v>133.91</v>
      </c>
      <c r="AM275" t="s">
        <v>629</v>
      </c>
      <c r="AN275">
        <v>22644</v>
      </c>
      <c r="AT275">
        <v>0.5</v>
      </c>
      <c r="AU275" t="s">
        <v>725</v>
      </c>
      <c r="AV275" t="s">
        <v>662</v>
      </c>
      <c r="AW275" t="s">
        <v>625</v>
      </c>
    </row>
    <row r="276" spans="1:49">
      <c r="A276" s="1">
        <f>HYPERLINK("https://lsnyc.legalserver.org/matter/dynamic-profile/view/1900090","19-1900090")</f>
        <v>0</v>
      </c>
      <c r="B276" t="s">
        <v>666</v>
      </c>
      <c r="C276" t="s">
        <v>54</v>
      </c>
      <c r="D276" t="s">
        <v>114</v>
      </c>
      <c r="E276" t="s">
        <v>137</v>
      </c>
      <c r="F276" t="s">
        <v>1065</v>
      </c>
      <c r="G276" t="s">
        <v>1182</v>
      </c>
      <c r="H276" t="s">
        <v>1560</v>
      </c>
      <c r="I276" t="s">
        <v>1590</v>
      </c>
      <c r="J276">
        <v>11207</v>
      </c>
      <c r="K276" t="s">
        <v>423</v>
      </c>
      <c r="L276" t="s">
        <v>422</v>
      </c>
      <c r="M276" t="s">
        <v>1701</v>
      </c>
      <c r="N276" t="s">
        <v>434</v>
      </c>
      <c r="O276" t="s">
        <v>441</v>
      </c>
      <c r="P276" t="s">
        <v>447</v>
      </c>
      <c r="Q276" t="s">
        <v>450</v>
      </c>
      <c r="R276" t="s">
        <v>423</v>
      </c>
      <c r="T276" t="s">
        <v>453</v>
      </c>
      <c r="U276" t="s">
        <v>457</v>
      </c>
      <c r="W276">
        <v>1100</v>
      </c>
      <c r="X276" t="s">
        <v>458</v>
      </c>
      <c r="Y276" t="s">
        <v>1837</v>
      </c>
      <c r="Z276" t="s">
        <v>470</v>
      </c>
      <c r="AA276" t="s">
        <v>2105</v>
      </c>
      <c r="AB276" t="s">
        <v>1720</v>
      </c>
      <c r="AC276" t="s">
        <v>2395</v>
      </c>
      <c r="AD276">
        <v>3</v>
      </c>
      <c r="AE276" t="s">
        <v>621</v>
      </c>
      <c r="AF276" t="s">
        <v>625</v>
      </c>
      <c r="AG276">
        <v>14</v>
      </c>
      <c r="AH276">
        <v>1</v>
      </c>
      <c r="AI276">
        <v>0</v>
      </c>
      <c r="AJ276">
        <v>153.72</v>
      </c>
      <c r="AM276" t="s">
        <v>629</v>
      </c>
      <c r="AN276">
        <v>19200</v>
      </c>
      <c r="AT276">
        <v>0.5</v>
      </c>
      <c r="AU276" t="s">
        <v>114</v>
      </c>
      <c r="AV276" t="s">
        <v>2514</v>
      </c>
      <c r="AW276" t="s">
        <v>625</v>
      </c>
    </row>
    <row r="277" spans="1:49">
      <c r="A277" s="1">
        <f>HYPERLINK("https://lsnyc.legalserver.org/matter/dynamic-profile/view/1867637","18-1867637")</f>
        <v>0</v>
      </c>
      <c r="B277" t="s">
        <v>666</v>
      </c>
      <c r="C277" t="s">
        <v>54</v>
      </c>
      <c r="D277" t="s">
        <v>819</v>
      </c>
      <c r="E277" t="s">
        <v>66</v>
      </c>
      <c r="F277" t="s">
        <v>1066</v>
      </c>
      <c r="G277" t="s">
        <v>289</v>
      </c>
      <c r="H277" t="s">
        <v>1561</v>
      </c>
      <c r="I277" t="s">
        <v>401</v>
      </c>
      <c r="J277">
        <v>11207</v>
      </c>
      <c r="K277" t="s">
        <v>422</v>
      </c>
      <c r="L277" t="s">
        <v>422</v>
      </c>
      <c r="M277" t="s">
        <v>1795</v>
      </c>
      <c r="N277" t="s">
        <v>437</v>
      </c>
      <c r="P277" t="s">
        <v>447</v>
      </c>
      <c r="Q277" t="s">
        <v>450</v>
      </c>
      <c r="T277" t="s">
        <v>453</v>
      </c>
      <c r="W277">
        <v>1820</v>
      </c>
      <c r="X277" t="s">
        <v>458</v>
      </c>
      <c r="Y277" t="s">
        <v>459</v>
      </c>
      <c r="Z277" t="s">
        <v>470</v>
      </c>
      <c r="AA277" t="s">
        <v>2106</v>
      </c>
      <c r="AC277" t="s">
        <v>2396</v>
      </c>
      <c r="AD277">
        <v>4</v>
      </c>
      <c r="AE277" t="s">
        <v>622</v>
      </c>
      <c r="AF277" t="s">
        <v>626</v>
      </c>
      <c r="AG277">
        <v>7</v>
      </c>
      <c r="AH277">
        <v>2</v>
      </c>
      <c r="AI277">
        <v>0</v>
      </c>
      <c r="AJ277">
        <v>154.09</v>
      </c>
      <c r="AM277" t="s">
        <v>629</v>
      </c>
      <c r="AN277">
        <v>25364</v>
      </c>
      <c r="AT277">
        <v>1</v>
      </c>
      <c r="AU277" t="s">
        <v>819</v>
      </c>
      <c r="AV277" t="s">
        <v>661</v>
      </c>
    </row>
    <row r="278" spans="1:49">
      <c r="A278" s="1">
        <f>HYPERLINK("https://lsnyc.legalserver.org/matter/dynamic-profile/view/1880252","18-1880252")</f>
        <v>0</v>
      </c>
      <c r="B278" t="s">
        <v>666</v>
      </c>
      <c r="C278" t="s">
        <v>54</v>
      </c>
      <c r="D278" t="s">
        <v>806</v>
      </c>
      <c r="E278" t="s">
        <v>825</v>
      </c>
      <c r="F278" t="s">
        <v>858</v>
      </c>
      <c r="G278" t="s">
        <v>1300</v>
      </c>
      <c r="H278" t="s">
        <v>1562</v>
      </c>
      <c r="I278">
        <v>7</v>
      </c>
      <c r="J278">
        <v>11233</v>
      </c>
      <c r="K278" t="s">
        <v>423</v>
      </c>
      <c r="L278" t="s">
        <v>423</v>
      </c>
      <c r="M278" t="s">
        <v>1796</v>
      </c>
      <c r="N278" t="s">
        <v>437</v>
      </c>
      <c r="O278" t="s">
        <v>441</v>
      </c>
      <c r="P278" t="s">
        <v>447</v>
      </c>
      <c r="Q278" t="s">
        <v>450</v>
      </c>
      <c r="R278" t="s">
        <v>423</v>
      </c>
      <c r="T278" t="s">
        <v>453</v>
      </c>
      <c r="U278" t="s">
        <v>457</v>
      </c>
      <c r="W278">
        <v>2245</v>
      </c>
      <c r="X278" t="s">
        <v>458</v>
      </c>
      <c r="Y278" t="s">
        <v>462</v>
      </c>
      <c r="Z278" t="s">
        <v>470</v>
      </c>
      <c r="AA278" t="s">
        <v>2107</v>
      </c>
      <c r="AC278" t="s">
        <v>2397</v>
      </c>
      <c r="AD278">
        <v>8</v>
      </c>
      <c r="AE278" t="s">
        <v>622</v>
      </c>
      <c r="AG278">
        <v>1</v>
      </c>
      <c r="AH278">
        <v>1</v>
      </c>
      <c r="AI278">
        <v>0</v>
      </c>
      <c r="AJ278">
        <v>156.18</v>
      </c>
      <c r="AM278" t="s">
        <v>629</v>
      </c>
      <c r="AN278">
        <v>18960</v>
      </c>
      <c r="AT278">
        <v>0.6</v>
      </c>
      <c r="AU278" t="s">
        <v>746</v>
      </c>
      <c r="AV278" t="s">
        <v>2516</v>
      </c>
    </row>
    <row r="279" spans="1:49">
      <c r="A279" s="1">
        <f>HYPERLINK("https://lsnyc.legalserver.org/matter/dynamic-profile/view/1885346","18-1885346")</f>
        <v>0</v>
      </c>
      <c r="B279" t="s">
        <v>666</v>
      </c>
      <c r="C279" t="s">
        <v>54</v>
      </c>
      <c r="D279" t="s">
        <v>820</v>
      </c>
      <c r="E279" t="s">
        <v>130</v>
      </c>
      <c r="F279" t="s">
        <v>1067</v>
      </c>
      <c r="G279" t="s">
        <v>1312</v>
      </c>
      <c r="H279" t="s">
        <v>1563</v>
      </c>
      <c r="I279" t="s">
        <v>1637</v>
      </c>
      <c r="J279">
        <v>11208</v>
      </c>
      <c r="K279" t="s">
        <v>423</v>
      </c>
      <c r="L279" t="s">
        <v>423</v>
      </c>
      <c r="M279" t="s">
        <v>1797</v>
      </c>
      <c r="N279" t="s">
        <v>434</v>
      </c>
      <c r="P279" t="s">
        <v>447</v>
      </c>
      <c r="Q279" t="s">
        <v>450</v>
      </c>
      <c r="R279" t="s">
        <v>423</v>
      </c>
      <c r="T279" t="s">
        <v>453</v>
      </c>
      <c r="W279">
        <v>620</v>
      </c>
      <c r="X279" t="s">
        <v>458</v>
      </c>
      <c r="Y279" t="s">
        <v>459</v>
      </c>
      <c r="Z279" t="s">
        <v>470</v>
      </c>
      <c r="AA279" t="s">
        <v>2108</v>
      </c>
      <c r="AC279" t="s">
        <v>2398</v>
      </c>
      <c r="AD279">
        <v>3</v>
      </c>
      <c r="AE279" t="s">
        <v>621</v>
      </c>
      <c r="AF279" t="s">
        <v>625</v>
      </c>
      <c r="AG279">
        <v>2</v>
      </c>
      <c r="AH279">
        <v>1</v>
      </c>
      <c r="AI279">
        <v>1</v>
      </c>
      <c r="AJ279">
        <v>157.96</v>
      </c>
      <c r="AM279" t="s">
        <v>629</v>
      </c>
      <c r="AN279">
        <v>26000</v>
      </c>
      <c r="AT279">
        <v>0.5</v>
      </c>
      <c r="AU279" t="s">
        <v>820</v>
      </c>
      <c r="AV279" t="s">
        <v>2513</v>
      </c>
    </row>
    <row r="280" spans="1:49">
      <c r="A280" s="1">
        <f>HYPERLINK("https://lsnyc.legalserver.org/matter/dynamic-profile/view/1902336","19-1902336")</f>
        <v>0</v>
      </c>
      <c r="B280" t="s">
        <v>666</v>
      </c>
      <c r="C280" t="s">
        <v>55</v>
      </c>
      <c r="D280" t="s">
        <v>765</v>
      </c>
      <c r="F280" t="s">
        <v>1068</v>
      </c>
      <c r="G280" t="s">
        <v>1302</v>
      </c>
      <c r="H280" t="s">
        <v>1564</v>
      </c>
      <c r="I280">
        <v>1</v>
      </c>
      <c r="J280">
        <v>11233</v>
      </c>
      <c r="K280" t="s">
        <v>423</v>
      </c>
      <c r="L280" t="s">
        <v>422</v>
      </c>
      <c r="M280" t="s">
        <v>1701</v>
      </c>
      <c r="N280" t="s">
        <v>435</v>
      </c>
      <c r="Q280" t="s">
        <v>450</v>
      </c>
      <c r="R280" t="s">
        <v>423</v>
      </c>
      <c r="T280" t="s">
        <v>453</v>
      </c>
      <c r="U280" t="s">
        <v>457</v>
      </c>
      <c r="W280">
        <v>1300</v>
      </c>
      <c r="X280" t="s">
        <v>458</v>
      </c>
      <c r="Y280" t="s">
        <v>460</v>
      </c>
      <c r="AA280" t="s">
        <v>2109</v>
      </c>
      <c r="AB280" t="s">
        <v>1810</v>
      </c>
      <c r="AC280" t="s">
        <v>2399</v>
      </c>
      <c r="AD280">
        <v>3</v>
      </c>
      <c r="AE280" t="s">
        <v>623</v>
      </c>
      <c r="AF280" t="s">
        <v>625</v>
      </c>
      <c r="AG280">
        <v>9</v>
      </c>
      <c r="AH280">
        <v>2</v>
      </c>
      <c r="AI280">
        <v>0</v>
      </c>
      <c r="AJ280">
        <v>159.67</v>
      </c>
      <c r="AM280" t="s">
        <v>629</v>
      </c>
      <c r="AN280">
        <v>27000</v>
      </c>
      <c r="AT280">
        <v>1</v>
      </c>
      <c r="AU280" t="s">
        <v>765</v>
      </c>
      <c r="AV280" t="s">
        <v>2518</v>
      </c>
      <c r="AW280" t="s">
        <v>625</v>
      </c>
    </row>
    <row r="281" spans="1:49">
      <c r="A281" s="1">
        <f>HYPERLINK("https://lsnyc.legalserver.org/matter/dynamic-profile/view/1869769","18-1869769")</f>
        <v>0</v>
      </c>
      <c r="B281" t="s">
        <v>666</v>
      </c>
      <c r="C281" t="s">
        <v>54</v>
      </c>
      <c r="D281" t="s">
        <v>770</v>
      </c>
      <c r="E281" t="s">
        <v>66</v>
      </c>
      <c r="F281" t="s">
        <v>1069</v>
      </c>
      <c r="G281" t="s">
        <v>1313</v>
      </c>
      <c r="H281" t="s">
        <v>1565</v>
      </c>
      <c r="I281" t="s">
        <v>1677</v>
      </c>
      <c r="J281">
        <v>11233</v>
      </c>
      <c r="K281" t="s">
        <v>422</v>
      </c>
      <c r="L281" t="s">
        <v>422</v>
      </c>
      <c r="N281" t="s">
        <v>435</v>
      </c>
      <c r="P281" t="s">
        <v>447</v>
      </c>
      <c r="Q281" t="s">
        <v>450</v>
      </c>
      <c r="R281" t="s">
        <v>423</v>
      </c>
      <c r="T281" t="s">
        <v>453</v>
      </c>
      <c r="W281">
        <v>1600</v>
      </c>
      <c r="X281" t="s">
        <v>458</v>
      </c>
      <c r="Z281" t="s">
        <v>470</v>
      </c>
      <c r="AA281" t="s">
        <v>2110</v>
      </c>
      <c r="AC281" t="s">
        <v>2400</v>
      </c>
      <c r="AD281">
        <v>2</v>
      </c>
      <c r="AE281" t="s">
        <v>621</v>
      </c>
      <c r="AF281" t="s">
        <v>625</v>
      </c>
      <c r="AG281">
        <v>7</v>
      </c>
      <c r="AH281">
        <v>2</v>
      </c>
      <c r="AI281">
        <v>0</v>
      </c>
      <c r="AJ281">
        <v>177.7</v>
      </c>
      <c r="AM281" t="s">
        <v>631</v>
      </c>
      <c r="AN281">
        <v>29250</v>
      </c>
      <c r="AT281">
        <v>1.1</v>
      </c>
      <c r="AU281" t="s">
        <v>71</v>
      </c>
      <c r="AV281" t="s">
        <v>2514</v>
      </c>
    </row>
    <row r="282" spans="1:49">
      <c r="A282" s="1">
        <f>HYPERLINK("https://lsnyc.legalserver.org/matter/dynamic-profile/view/1880366","18-1880366")</f>
        <v>0</v>
      </c>
      <c r="B282" t="s">
        <v>666</v>
      </c>
      <c r="C282" t="s">
        <v>54</v>
      </c>
      <c r="D282" t="s">
        <v>780</v>
      </c>
      <c r="E282" t="s">
        <v>703</v>
      </c>
      <c r="F282" t="s">
        <v>1070</v>
      </c>
      <c r="G282" t="s">
        <v>1225</v>
      </c>
      <c r="H282" t="s">
        <v>1566</v>
      </c>
      <c r="I282" t="s">
        <v>1683</v>
      </c>
      <c r="J282">
        <v>11212</v>
      </c>
      <c r="K282" t="s">
        <v>423</v>
      </c>
      <c r="L282" t="s">
        <v>423</v>
      </c>
      <c r="M282" t="s">
        <v>1798</v>
      </c>
      <c r="N282" t="s">
        <v>437</v>
      </c>
      <c r="P282" t="s">
        <v>447</v>
      </c>
      <c r="Q282" t="s">
        <v>450</v>
      </c>
      <c r="R282" t="s">
        <v>423</v>
      </c>
      <c r="T282" t="s">
        <v>453</v>
      </c>
      <c r="U282" t="s">
        <v>457</v>
      </c>
      <c r="W282">
        <v>929</v>
      </c>
      <c r="X282" t="s">
        <v>458</v>
      </c>
      <c r="Y282" t="s">
        <v>467</v>
      </c>
      <c r="Z282" t="s">
        <v>470</v>
      </c>
      <c r="AA282" t="s">
        <v>2103</v>
      </c>
      <c r="AB282" t="s">
        <v>625</v>
      </c>
      <c r="AC282" t="s">
        <v>2401</v>
      </c>
      <c r="AD282">
        <v>39</v>
      </c>
      <c r="AE282" t="s">
        <v>622</v>
      </c>
      <c r="AF282" t="s">
        <v>625</v>
      </c>
      <c r="AG282">
        <v>12</v>
      </c>
      <c r="AH282">
        <v>2</v>
      </c>
      <c r="AI282">
        <v>1</v>
      </c>
      <c r="AJ282">
        <v>187.68</v>
      </c>
      <c r="AM282" t="s">
        <v>629</v>
      </c>
      <c r="AN282">
        <v>39000</v>
      </c>
      <c r="AO282" t="s">
        <v>2485</v>
      </c>
      <c r="AT282">
        <v>0.25</v>
      </c>
      <c r="AU282" t="s">
        <v>703</v>
      </c>
      <c r="AV282" t="s">
        <v>666</v>
      </c>
    </row>
    <row r="283" spans="1:49">
      <c r="A283" s="1">
        <f>HYPERLINK("https://lsnyc.legalserver.org/matter/dynamic-profile/view/1870792","18-1870792")</f>
        <v>0</v>
      </c>
      <c r="B283" t="s">
        <v>666</v>
      </c>
      <c r="C283" t="s">
        <v>54</v>
      </c>
      <c r="D283" t="s">
        <v>84</v>
      </c>
      <c r="E283" t="s">
        <v>657</v>
      </c>
      <c r="F283" t="s">
        <v>1071</v>
      </c>
      <c r="G283" t="s">
        <v>1314</v>
      </c>
      <c r="H283" t="s">
        <v>1567</v>
      </c>
      <c r="I283" t="s">
        <v>1590</v>
      </c>
      <c r="J283">
        <v>11207</v>
      </c>
      <c r="K283" t="s">
        <v>423</v>
      </c>
      <c r="L283" t="s">
        <v>422</v>
      </c>
      <c r="M283" t="s">
        <v>1799</v>
      </c>
      <c r="N283" t="s">
        <v>434</v>
      </c>
      <c r="O283" t="s">
        <v>441</v>
      </c>
      <c r="P283" t="s">
        <v>447</v>
      </c>
      <c r="Q283" t="s">
        <v>450</v>
      </c>
      <c r="R283" t="s">
        <v>423</v>
      </c>
      <c r="T283" t="s">
        <v>453</v>
      </c>
      <c r="W283">
        <v>1700</v>
      </c>
      <c r="X283" t="s">
        <v>458</v>
      </c>
      <c r="Y283" t="s">
        <v>460</v>
      </c>
      <c r="Z283" t="s">
        <v>470</v>
      </c>
      <c r="AA283" t="s">
        <v>2111</v>
      </c>
      <c r="AB283" t="s">
        <v>625</v>
      </c>
      <c r="AC283" t="s">
        <v>2402</v>
      </c>
      <c r="AD283">
        <v>2</v>
      </c>
      <c r="AE283" t="s">
        <v>623</v>
      </c>
      <c r="AF283" t="s">
        <v>625</v>
      </c>
      <c r="AG283">
        <v>1</v>
      </c>
      <c r="AH283">
        <v>1</v>
      </c>
      <c r="AI283">
        <v>2</v>
      </c>
      <c r="AJ283">
        <v>187.68</v>
      </c>
      <c r="AM283" t="s">
        <v>629</v>
      </c>
      <c r="AN283">
        <v>39000</v>
      </c>
      <c r="AT283">
        <v>0.6</v>
      </c>
      <c r="AU283" t="s">
        <v>84</v>
      </c>
      <c r="AV283" t="s">
        <v>662</v>
      </c>
    </row>
    <row r="284" spans="1:49">
      <c r="A284" s="1">
        <f>HYPERLINK("https://lsnyc.legalserver.org/matter/dynamic-profile/view/1879071","18-1879071")</f>
        <v>0</v>
      </c>
      <c r="B284" t="s">
        <v>666</v>
      </c>
      <c r="C284" t="s">
        <v>54</v>
      </c>
      <c r="D284" t="s">
        <v>132</v>
      </c>
      <c r="E284" t="s">
        <v>813</v>
      </c>
      <c r="F284" t="s">
        <v>1072</v>
      </c>
      <c r="G284" t="s">
        <v>1315</v>
      </c>
      <c r="H284" t="s">
        <v>1568</v>
      </c>
      <c r="I284" t="s">
        <v>1684</v>
      </c>
      <c r="J284">
        <v>11208</v>
      </c>
      <c r="K284" t="s">
        <v>423</v>
      </c>
      <c r="L284" t="s">
        <v>423</v>
      </c>
      <c r="M284" t="s">
        <v>1800</v>
      </c>
      <c r="N284" t="s">
        <v>434</v>
      </c>
      <c r="O284" t="s">
        <v>441</v>
      </c>
      <c r="P284" t="s">
        <v>447</v>
      </c>
      <c r="Q284" t="s">
        <v>450</v>
      </c>
      <c r="R284" t="s">
        <v>423</v>
      </c>
      <c r="T284" t="s">
        <v>453</v>
      </c>
      <c r="W284">
        <v>1500</v>
      </c>
      <c r="X284" t="s">
        <v>458</v>
      </c>
      <c r="Y284" t="s">
        <v>1837</v>
      </c>
      <c r="Z284" t="s">
        <v>470</v>
      </c>
      <c r="AA284" t="s">
        <v>2112</v>
      </c>
      <c r="AC284" t="s">
        <v>2403</v>
      </c>
      <c r="AD284">
        <v>1100</v>
      </c>
      <c r="AE284" t="s">
        <v>622</v>
      </c>
      <c r="AG284">
        <v>50</v>
      </c>
      <c r="AH284">
        <v>1</v>
      </c>
      <c r="AI284">
        <v>0</v>
      </c>
      <c r="AJ284">
        <v>187.81</v>
      </c>
      <c r="AM284" t="s">
        <v>629</v>
      </c>
      <c r="AN284">
        <v>22800</v>
      </c>
      <c r="AT284">
        <v>1</v>
      </c>
      <c r="AU284" t="s">
        <v>132</v>
      </c>
      <c r="AV284" t="s">
        <v>2527</v>
      </c>
    </row>
    <row r="285" spans="1:49">
      <c r="A285" s="1">
        <f>HYPERLINK("https://lsnyc.legalserver.org/matter/dynamic-profile/view/1871740","18-1871740")</f>
        <v>0</v>
      </c>
      <c r="B285" t="s">
        <v>666</v>
      </c>
      <c r="C285" t="s">
        <v>54</v>
      </c>
      <c r="D285" t="s">
        <v>727</v>
      </c>
      <c r="E285" t="s">
        <v>657</v>
      </c>
      <c r="F285" t="s">
        <v>1073</v>
      </c>
      <c r="G285" t="s">
        <v>1316</v>
      </c>
      <c r="H285" t="s">
        <v>1569</v>
      </c>
      <c r="I285" t="s">
        <v>1685</v>
      </c>
      <c r="J285">
        <v>11208</v>
      </c>
      <c r="K285" t="s">
        <v>423</v>
      </c>
      <c r="L285" t="s">
        <v>423</v>
      </c>
      <c r="M285" t="s">
        <v>1718</v>
      </c>
      <c r="O285" t="s">
        <v>441</v>
      </c>
      <c r="P285" t="s">
        <v>447</v>
      </c>
      <c r="Q285" t="s">
        <v>450</v>
      </c>
      <c r="R285" t="s">
        <v>423</v>
      </c>
      <c r="T285" t="s">
        <v>453</v>
      </c>
      <c r="W285">
        <v>2900</v>
      </c>
      <c r="X285" t="s">
        <v>458</v>
      </c>
      <c r="Y285" t="s">
        <v>459</v>
      </c>
      <c r="Z285" t="s">
        <v>470</v>
      </c>
      <c r="AA285" t="s">
        <v>2113</v>
      </c>
      <c r="AB285" t="s">
        <v>625</v>
      </c>
      <c r="AC285" t="s">
        <v>2404</v>
      </c>
      <c r="AD285">
        <v>2</v>
      </c>
      <c r="AE285" t="s">
        <v>623</v>
      </c>
      <c r="AF285" t="s">
        <v>625</v>
      </c>
      <c r="AG285">
        <v>0</v>
      </c>
      <c r="AH285">
        <v>1</v>
      </c>
      <c r="AI285">
        <v>0</v>
      </c>
      <c r="AJ285">
        <v>192.75</v>
      </c>
      <c r="AM285" t="s">
        <v>629</v>
      </c>
      <c r="AN285">
        <v>23400</v>
      </c>
      <c r="AT285">
        <v>0.5</v>
      </c>
      <c r="AU285" t="s">
        <v>727</v>
      </c>
      <c r="AV285" t="s">
        <v>668</v>
      </c>
    </row>
    <row r="286" spans="1:49">
      <c r="A286" s="1">
        <f>HYPERLINK("https://lsnyc.legalserver.org/matter/dynamic-profile/view/1877306","18-1877306")</f>
        <v>0</v>
      </c>
      <c r="B286" t="s">
        <v>666</v>
      </c>
      <c r="C286" t="s">
        <v>54</v>
      </c>
      <c r="D286" t="s">
        <v>821</v>
      </c>
      <c r="E286" t="s">
        <v>66</v>
      </c>
      <c r="F286" t="s">
        <v>1074</v>
      </c>
      <c r="G286" t="s">
        <v>1090</v>
      </c>
      <c r="H286" t="s">
        <v>1570</v>
      </c>
      <c r="I286">
        <v>2</v>
      </c>
      <c r="J286">
        <v>11208</v>
      </c>
      <c r="K286" t="s">
        <v>423</v>
      </c>
      <c r="L286" t="s">
        <v>423</v>
      </c>
      <c r="M286" t="s">
        <v>1801</v>
      </c>
      <c r="N286" t="s">
        <v>434</v>
      </c>
      <c r="P286" t="s">
        <v>447</v>
      </c>
      <c r="Q286" t="s">
        <v>450</v>
      </c>
      <c r="T286" t="s">
        <v>453</v>
      </c>
      <c r="W286">
        <v>0</v>
      </c>
      <c r="X286" t="s">
        <v>458</v>
      </c>
      <c r="Y286" t="s">
        <v>460</v>
      </c>
      <c r="Z286" t="s">
        <v>470</v>
      </c>
      <c r="AA286" t="s">
        <v>2114</v>
      </c>
      <c r="AC286" t="s">
        <v>2405</v>
      </c>
      <c r="AD286">
        <v>2</v>
      </c>
      <c r="AF286" t="s">
        <v>625</v>
      </c>
      <c r="AG286">
        <v>2</v>
      </c>
      <c r="AH286">
        <v>2</v>
      </c>
      <c r="AI286">
        <v>1</v>
      </c>
      <c r="AJ286">
        <v>204.04</v>
      </c>
      <c r="AM286" t="s">
        <v>629</v>
      </c>
      <c r="AN286">
        <v>42400</v>
      </c>
      <c r="AT286">
        <v>0.6</v>
      </c>
      <c r="AU286" t="s">
        <v>821</v>
      </c>
      <c r="AV286" t="s">
        <v>664</v>
      </c>
    </row>
    <row r="287" spans="1:49">
      <c r="A287" s="1">
        <f>HYPERLINK("https://lsnyc.legalserver.org/matter/dynamic-profile/view/1885500","18-1885500")</f>
        <v>0</v>
      </c>
      <c r="B287" t="s">
        <v>666</v>
      </c>
      <c r="C287" t="s">
        <v>54</v>
      </c>
      <c r="D287" t="s">
        <v>659</v>
      </c>
      <c r="E287" t="s">
        <v>785</v>
      </c>
      <c r="F287" t="s">
        <v>852</v>
      </c>
      <c r="G287" t="s">
        <v>1094</v>
      </c>
      <c r="H287" t="s">
        <v>1330</v>
      </c>
      <c r="I287" t="s">
        <v>392</v>
      </c>
      <c r="J287">
        <v>11233</v>
      </c>
      <c r="K287" t="s">
        <v>423</v>
      </c>
      <c r="L287" t="s">
        <v>423</v>
      </c>
      <c r="N287" t="s">
        <v>1820</v>
      </c>
      <c r="O287" t="s">
        <v>441</v>
      </c>
      <c r="P287" t="s">
        <v>447</v>
      </c>
      <c r="Q287" t="s">
        <v>450</v>
      </c>
      <c r="R287" t="s">
        <v>423</v>
      </c>
      <c r="T287" t="s">
        <v>453</v>
      </c>
      <c r="U287" t="s">
        <v>457</v>
      </c>
      <c r="W287">
        <v>1645</v>
      </c>
      <c r="X287" t="s">
        <v>458</v>
      </c>
      <c r="Y287" t="s">
        <v>462</v>
      </c>
      <c r="Z287" t="s">
        <v>470</v>
      </c>
      <c r="AA287" t="s">
        <v>1855</v>
      </c>
      <c r="AB287" t="s">
        <v>625</v>
      </c>
      <c r="AC287" t="s">
        <v>2174</v>
      </c>
      <c r="AD287">
        <v>25</v>
      </c>
      <c r="AE287" t="s">
        <v>622</v>
      </c>
      <c r="AF287" t="s">
        <v>626</v>
      </c>
      <c r="AG287">
        <v>4</v>
      </c>
      <c r="AH287">
        <v>1</v>
      </c>
      <c r="AI287">
        <v>1</v>
      </c>
      <c r="AJ287">
        <v>211.25</v>
      </c>
      <c r="AM287" t="s">
        <v>629</v>
      </c>
      <c r="AN287">
        <v>34772</v>
      </c>
      <c r="AT287">
        <v>0.25</v>
      </c>
      <c r="AU287" t="s">
        <v>785</v>
      </c>
      <c r="AV287" t="s">
        <v>666</v>
      </c>
    </row>
    <row r="288" spans="1:49">
      <c r="A288" s="1">
        <f>HYPERLINK("https://lsnyc.legalserver.org/matter/dynamic-profile/view/1882616","18-1882616")</f>
        <v>0</v>
      </c>
      <c r="B288" t="s">
        <v>666</v>
      </c>
      <c r="C288" t="s">
        <v>54</v>
      </c>
      <c r="D288" t="s">
        <v>107</v>
      </c>
      <c r="E288" t="s">
        <v>85</v>
      </c>
      <c r="F288" t="s">
        <v>1075</v>
      </c>
      <c r="G288" t="s">
        <v>1232</v>
      </c>
      <c r="H288" t="s">
        <v>1571</v>
      </c>
      <c r="I288" t="s">
        <v>1648</v>
      </c>
      <c r="J288">
        <v>11208</v>
      </c>
      <c r="K288" t="s">
        <v>423</v>
      </c>
      <c r="L288" t="s">
        <v>423</v>
      </c>
      <c r="M288" t="s">
        <v>1802</v>
      </c>
      <c r="N288" t="s">
        <v>434</v>
      </c>
      <c r="O288" t="s">
        <v>441</v>
      </c>
      <c r="P288" t="s">
        <v>447</v>
      </c>
      <c r="Q288" t="s">
        <v>450</v>
      </c>
      <c r="R288" t="s">
        <v>423</v>
      </c>
      <c r="T288" t="s">
        <v>453</v>
      </c>
      <c r="U288" t="s">
        <v>457</v>
      </c>
      <c r="W288">
        <v>0</v>
      </c>
      <c r="X288" t="s">
        <v>458</v>
      </c>
      <c r="Y288" t="s">
        <v>1836</v>
      </c>
      <c r="Z288" t="s">
        <v>470</v>
      </c>
      <c r="AA288" t="s">
        <v>2115</v>
      </c>
      <c r="AB288" t="s">
        <v>625</v>
      </c>
      <c r="AC288" t="s">
        <v>2406</v>
      </c>
      <c r="AD288">
        <v>2</v>
      </c>
      <c r="AE288" t="s">
        <v>623</v>
      </c>
      <c r="AF288" t="s">
        <v>625</v>
      </c>
      <c r="AG288">
        <v>12</v>
      </c>
      <c r="AH288">
        <v>1</v>
      </c>
      <c r="AI288">
        <v>1</v>
      </c>
      <c r="AJ288">
        <v>236.94</v>
      </c>
      <c r="AM288" t="s">
        <v>629</v>
      </c>
      <c r="AN288">
        <v>39000</v>
      </c>
      <c r="AO288" t="s">
        <v>2486</v>
      </c>
      <c r="AT288">
        <v>0.5</v>
      </c>
      <c r="AU288" t="s">
        <v>107</v>
      </c>
      <c r="AV288" t="s">
        <v>2516</v>
      </c>
    </row>
    <row r="289" spans="1:49">
      <c r="A289" s="1">
        <f>HYPERLINK("https://lsnyc.legalserver.org/matter/dynamic-profile/view/1901109","19-1901109")</f>
        <v>0</v>
      </c>
      <c r="B289" t="s">
        <v>666</v>
      </c>
      <c r="C289" t="s">
        <v>54</v>
      </c>
      <c r="D289" t="s">
        <v>786</v>
      </c>
      <c r="E289" t="s">
        <v>641</v>
      </c>
      <c r="F289" t="s">
        <v>983</v>
      </c>
      <c r="G289" t="s">
        <v>1229</v>
      </c>
      <c r="H289" t="s">
        <v>1473</v>
      </c>
      <c r="I289" t="s">
        <v>401</v>
      </c>
      <c r="J289">
        <v>11207</v>
      </c>
      <c r="K289" t="s">
        <v>424</v>
      </c>
      <c r="L289" t="s">
        <v>422</v>
      </c>
      <c r="N289" t="s">
        <v>435</v>
      </c>
      <c r="O289" t="s">
        <v>441</v>
      </c>
      <c r="P289" t="s">
        <v>447</v>
      </c>
      <c r="Q289" t="s">
        <v>450</v>
      </c>
      <c r="R289" t="s">
        <v>423</v>
      </c>
      <c r="T289" t="s">
        <v>453</v>
      </c>
      <c r="U289" t="s">
        <v>457</v>
      </c>
      <c r="W289">
        <v>850</v>
      </c>
      <c r="X289" t="s">
        <v>458</v>
      </c>
      <c r="Z289" t="s">
        <v>470</v>
      </c>
      <c r="AA289" t="s">
        <v>2001</v>
      </c>
      <c r="AD289">
        <v>8</v>
      </c>
      <c r="AE289" t="s">
        <v>622</v>
      </c>
      <c r="AF289" t="s">
        <v>625</v>
      </c>
      <c r="AG289">
        <v>1</v>
      </c>
      <c r="AH289">
        <v>1</v>
      </c>
      <c r="AI289">
        <v>0</v>
      </c>
      <c r="AJ289">
        <v>240.19</v>
      </c>
      <c r="AM289" t="s">
        <v>629</v>
      </c>
      <c r="AN289">
        <v>30000</v>
      </c>
      <c r="AO289" t="s">
        <v>2487</v>
      </c>
      <c r="AT289">
        <v>0.9</v>
      </c>
      <c r="AU289" t="s">
        <v>641</v>
      </c>
      <c r="AV289" t="s">
        <v>2514</v>
      </c>
      <c r="AW289" t="s">
        <v>671</v>
      </c>
    </row>
    <row r="290" spans="1:49">
      <c r="A290" s="1">
        <f>HYPERLINK("https://lsnyc.legalserver.org/matter/dynamic-profile/view/1869657","18-1869657")</f>
        <v>0</v>
      </c>
      <c r="B290" t="s">
        <v>666</v>
      </c>
      <c r="C290" t="s">
        <v>54</v>
      </c>
      <c r="D290" t="s">
        <v>822</v>
      </c>
      <c r="E290" t="s">
        <v>66</v>
      </c>
      <c r="F290" t="s">
        <v>1076</v>
      </c>
      <c r="G290" t="s">
        <v>1317</v>
      </c>
      <c r="H290" t="s">
        <v>1572</v>
      </c>
      <c r="I290">
        <v>3</v>
      </c>
      <c r="J290">
        <v>11233</v>
      </c>
      <c r="K290" t="s">
        <v>423</v>
      </c>
      <c r="L290" t="s">
        <v>422</v>
      </c>
      <c r="M290" t="s">
        <v>435</v>
      </c>
      <c r="N290" t="s">
        <v>434</v>
      </c>
      <c r="O290" t="s">
        <v>441</v>
      </c>
      <c r="P290" t="s">
        <v>447</v>
      </c>
      <c r="Q290" t="s">
        <v>450</v>
      </c>
      <c r="R290" t="s">
        <v>1829</v>
      </c>
      <c r="T290" t="s">
        <v>453</v>
      </c>
      <c r="W290">
        <v>1725</v>
      </c>
      <c r="X290" t="s">
        <v>458</v>
      </c>
      <c r="Y290" t="s">
        <v>1838</v>
      </c>
      <c r="Z290" t="s">
        <v>470</v>
      </c>
      <c r="AA290" t="s">
        <v>2116</v>
      </c>
      <c r="AC290" t="s">
        <v>2407</v>
      </c>
      <c r="AD290">
        <v>3</v>
      </c>
      <c r="AE290" t="s">
        <v>623</v>
      </c>
      <c r="AF290" t="s">
        <v>625</v>
      </c>
      <c r="AG290">
        <v>4</v>
      </c>
      <c r="AH290">
        <v>2</v>
      </c>
      <c r="AI290">
        <v>0</v>
      </c>
      <c r="AJ290">
        <v>300.12</v>
      </c>
      <c r="AM290" t="s">
        <v>629</v>
      </c>
      <c r="AN290">
        <v>49400</v>
      </c>
      <c r="AT290">
        <v>1.5</v>
      </c>
      <c r="AU290" t="s">
        <v>770</v>
      </c>
      <c r="AV290" t="s">
        <v>2511</v>
      </c>
    </row>
    <row r="291" spans="1:49">
      <c r="A291" s="1">
        <f>HYPERLINK("https://lsnyc.legalserver.org/matter/dynamic-profile/view/1903001","19-1903001")</f>
        <v>0</v>
      </c>
      <c r="B291" t="s">
        <v>696</v>
      </c>
      <c r="C291" t="s">
        <v>55</v>
      </c>
      <c r="D291" t="s">
        <v>719</v>
      </c>
      <c r="F291" t="s">
        <v>1077</v>
      </c>
      <c r="G291" t="s">
        <v>1311</v>
      </c>
      <c r="H291" t="s">
        <v>1573</v>
      </c>
      <c r="I291" t="s">
        <v>377</v>
      </c>
      <c r="J291">
        <v>11212</v>
      </c>
      <c r="K291" t="s">
        <v>423</v>
      </c>
      <c r="L291" t="s">
        <v>422</v>
      </c>
      <c r="M291" t="s">
        <v>1803</v>
      </c>
      <c r="N291" t="s">
        <v>437</v>
      </c>
      <c r="Q291" t="s">
        <v>450</v>
      </c>
      <c r="R291" t="s">
        <v>423</v>
      </c>
      <c r="T291" t="s">
        <v>453</v>
      </c>
      <c r="W291">
        <v>1534</v>
      </c>
      <c r="X291" t="s">
        <v>458</v>
      </c>
      <c r="Y291" t="s">
        <v>467</v>
      </c>
      <c r="AA291" t="s">
        <v>2117</v>
      </c>
      <c r="AB291">
        <v>9407455</v>
      </c>
      <c r="AC291" t="s">
        <v>2408</v>
      </c>
      <c r="AD291">
        <v>21</v>
      </c>
      <c r="AE291" t="s">
        <v>622</v>
      </c>
      <c r="AF291" t="s">
        <v>2427</v>
      </c>
      <c r="AG291">
        <v>9</v>
      </c>
      <c r="AH291">
        <v>1</v>
      </c>
      <c r="AI291">
        <v>2</v>
      </c>
      <c r="AJ291">
        <v>0</v>
      </c>
      <c r="AM291" t="s">
        <v>629</v>
      </c>
      <c r="AN291">
        <v>0</v>
      </c>
      <c r="AT291">
        <v>5.75</v>
      </c>
      <c r="AU291" t="s">
        <v>843</v>
      </c>
      <c r="AV291" t="s">
        <v>674</v>
      </c>
    </row>
    <row r="292" spans="1:49">
      <c r="A292" s="1">
        <f>HYPERLINK("https://lsnyc.legalserver.org/matter/dynamic-profile/view/1889277","19-1889277")</f>
        <v>0</v>
      </c>
      <c r="B292" t="s">
        <v>696</v>
      </c>
      <c r="C292" t="s">
        <v>55</v>
      </c>
      <c r="D292" t="s">
        <v>787</v>
      </c>
      <c r="F292" t="s">
        <v>1078</v>
      </c>
      <c r="G292" t="s">
        <v>217</v>
      </c>
      <c r="H292" t="s">
        <v>1574</v>
      </c>
      <c r="I292">
        <v>3</v>
      </c>
      <c r="J292">
        <v>11207</v>
      </c>
      <c r="K292" t="s">
        <v>423</v>
      </c>
      <c r="L292" t="s">
        <v>423</v>
      </c>
      <c r="M292" t="s">
        <v>1804</v>
      </c>
      <c r="N292" t="s">
        <v>437</v>
      </c>
      <c r="Q292" t="s">
        <v>450</v>
      </c>
      <c r="R292" t="s">
        <v>423</v>
      </c>
      <c r="T292" t="s">
        <v>453</v>
      </c>
      <c r="W292">
        <v>2600</v>
      </c>
      <c r="X292" t="s">
        <v>458</v>
      </c>
      <c r="Y292" t="s">
        <v>459</v>
      </c>
      <c r="AA292" t="s">
        <v>2118</v>
      </c>
      <c r="AC292" t="s">
        <v>2409</v>
      </c>
      <c r="AD292">
        <v>3</v>
      </c>
      <c r="AE292" t="s">
        <v>623</v>
      </c>
      <c r="AF292" t="s">
        <v>625</v>
      </c>
      <c r="AG292">
        <v>0</v>
      </c>
      <c r="AH292">
        <v>1</v>
      </c>
      <c r="AI292">
        <v>1</v>
      </c>
      <c r="AJ292">
        <v>0</v>
      </c>
      <c r="AM292" t="s">
        <v>629</v>
      </c>
      <c r="AN292">
        <v>0</v>
      </c>
      <c r="AT292">
        <v>2.25</v>
      </c>
      <c r="AU292" t="s">
        <v>793</v>
      </c>
      <c r="AV292" t="s">
        <v>661</v>
      </c>
    </row>
    <row r="293" spans="1:49">
      <c r="A293" s="1">
        <f>HYPERLINK("https://lsnyc.legalserver.org/matter/dynamic-profile/view/1897018","19-1897018")</f>
        <v>0</v>
      </c>
      <c r="B293" t="s">
        <v>696</v>
      </c>
      <c r="C293" t="s">
        <v>55</v>
      </c>
      <c r="D293" t="s">
        <v>651</v>
      </c>
      <c r="F293" t="s">
        <v>1079</v>
      </c>
      <c r="G293" t="s">
        <v>1104</v>
      </c>
      <c r="H293" t="s">
        <v>1575</v>
      </c>
      <c r="I293" t="s">
        <v>1686</v>
      </c>
      <c r="J293">
        <v>11217</v>
      </c>
      <c r="K293" t="s">
        <v>423</v>
      </c>
      <c r="L293" t="s">
        <v>423</v>
      </c>
      <c r="M293" t="s">
        <v>1701</v>
      </c>
      <c r="N293" t="s">
        <v>1813</v>
      </c>
      <c r="O293" t="s">
        <v>443</v>
      </c>
      <c r="Q293" t="s">
        <v>450</v>
      </c>
      <c r="R293" t="s">
        <v>423</v>
      </c>
      <c r="T293" t="s">
        <v>453</v>
      </c>
      <c r="U293" t="s">
        <v>457</v>
      </c>
      <c r="W293">
        <v>2019.37</v>
      </c>
      <c r="X293" t="s">
        <v>458</v>
      </c>
      <c r="Y293" t="s">
        <v>1841</v>
      </c>
      <c r="AA293" t="s">
        <v>2119</v>
      </c>
      <c r="AC293" t="s">
        <v>2410</v>
      </c>
      <c r="AD293">
        <v>0</v>
      </c>
      <c r="AE293" t="s">
        <v>622</v>
      </c>
      <c r="AF293" t="s">
        <v>2429</v>
      </c>
      <c r="AG293">
        <v>2</v>
      </c>
      <c r="AH293">
        <v>1</v>
      </c>
      <c r="AI293">
        <v>2</v>
      </c>
      <c r="AJ293">
        <v>39.38</v>
      </c>
      <c r="AM293" t="s">
        <v>629</v>
      </c>
      <c r="AN293">
        <v>8400</v>
      </c>
      <c r="AT293">
        <v>3.5</v>
      </c>
      <c r="AU293" t="s">
        <v>714</v>
      </c>
      <c r="AV293" t="s">
        <v>666</v>
      </c>
    </row>
    <row r="294" spans="1:49">
      <c r="A294" s="1">
        <f>HYPERLINK("https://lsnyc.legalserver.org/matter/dynamic-profile/view/1901745","19-1901745")</f>
        <v>0</v>
      </c>
      <c r="B294" t="s">
        <v>696</v>
      </c>
      <c r="C294" t="s">
        <v>55</v>
      </c>
      <c r="D294" t="s">
        <v>120</v>
      </c>
      <c r="F294" t="s">
        <v>1080</v>
      </c>
      <c r="G294" t="s">
        <v>1318</v>
      </c>
      <c r="H294" t="s">
        <v>1576</v>
      </c>
      <c r="I294" t="s">
        <v>384</v>
      </c>
      <c r="J294">
        <v>11233</v>
      </c>
      <c r="K294" t="s">
        <v>423</v>
      </c>
      <c r="L294" t="s">
        <v>422</v>
      </c>
      <c r="M294" t="s">
        <v>1805</v>
      </c>
      <c r="N294" t="s">
        <v>437</v>
      </c>
      <c r="Q294" t="s">
        <v>450</v>
      </c>
      <c r="R294" t="s">
        <v>423</v>
      </c>
      <c r="T294" t="s">
        <v>453</v>
      </c>
      <c r="U294" t="s">
        <v>457</v>
      </c>
      <c r="W294">
        <v>1032</v>
      </c>
      <c r="X294" t="s">
        <v>458</v>
      </c>
      <c r="AA294" t="s">
        <v>2120</v>
      </c>
      <c r="AB294" t="s">
        <v>1720</v>
      </c>
      <c r="AC294" t="s">
        <v>2411</v>
      </c>
      <c r="AD294">
        <v>6</v>
      </c>
      <c r="AE294" t="s">
        <v>622</v>
      </c>
      <c r="AF294" t="s">
        <v>625</v>
      </c>
      <c r="AG294">
        <v>3</v>
      </c>
      <c r="AH294">
        <v>1</v>
      </c>
      <c r="AI294">
        <v>0</v>
      </c>
      <c r="AJ294">
        <v>134.51</v>
      </c>
      <c r="AM294" t="s">
        <v>629</v>
      </c>
      <c r="AN294">
        <v>16800</v>
      </c>
      <c r="AT294">
        <v>5.5</v>
      </c>
      <c r="AU294" t="s">
        <v>843</v>
      </c>
      <c r="AV294" t="s">
        <v>2518</v>
      </c>
      <c r="AW294" t="s">
        <v>625</v>
      </c>
    </row>
    <row r="295" spans="1:49">
      <c r="A295" s="1">
        <f>HYPERLINK("https://lsnyc.legalserver.org/matter/dynamic-profile/view/1893741","19-1893741")</f>
        <v>0</v>
      </c>
      <c r="B295" t="s">
        <v>696</v>
      </c>
      <c r="C295" t="s">
        <v>55</v>
      </c>
      <c r="D295" t="s">
        <v>823</v>
      </c>
      <c r="F295" t="s">
        <v>887</v>
      </c>
      <c r="G295" t="s">
        <v>1240</v>
      </c>
      <c r="H295" t="s">
        <v>1577</v>
      </c>
      <c r="I295" t="s">
        <v>1660</v>
      </c>
      <c r="J295">
        <v>11233</v>
      </c>
      <c r="K295" t="s">
        <v>423</v>
      </c>
      <c r="L295" t="s">
        <v>423</v>
      </c>
      <c r="M295" t="s">
        <v>1806</v>
      </c>
      <c r="N295" t="s">
        <v>434</v>
      </c>
      <c r="Q295" t="s">
        <v>450</v>
      </c>
      <c r="R295" t="s">
        <v>423</v>
      </c>
      <c r="T295" t="s">
        <v>453</v>
      </c>
      <c r="U295" t="s">
        <v>457</v>
      </c>
      <c r="W295">
        <v>1100</v>
      </c>
      <c r="X295" t="s">
        <v>458</v>
      </c>
      <c r="AA295" t="s">
        <v>2121</v>
      </c>
      <c r="AB295" t="s">
        <v>1720</v>
      </c>
      <c r="AC295" t="s">
        <v>2412</v>
      </c>
      <c r="AD295">
        <v>3</v>
      </c>
      <c r="AE295" t="s">
        <v>623</v>
      </c>
      <c r="AF295" t="s">
        <v>625</v>
      </c>
      <c r="AG295">
        <v>13</v>
      </c>
      <c r="AH295">
        <v>3</v>
      </c>
      <c r="AI295">
        <v>0</v>
      </c>
      <c r="AJ295">
        <v>201.59</v>
      </c>
      <c r="AM295" t="s">
        <v>629</v>
      </c>
      <c r="AN295">
        <v>43000</v>
      </c>
      <c r="AT295">
        <v>0</v>
      </c>
      <c r="AV295" t="s">
        <v>666</v>
      </c>
    </row>
    <row r="296" spans="1:49">
      <c r="A296" s="1">
        <f>HYPERLINK("https://lsnyc.legalserver.org/matter/dynamic-profile/view/1885503","18-1885503")</f>
        <v>0</v>
      </c>
      <c r="B296" t="s">
        <v>696</v>
      </c>
      <c r="C296" t="s">
        <v>54</v>
      </c>
      <c r="D296" t="s">
        <v>659</v>
      </c>
      <c r="E296" t="s">
        <v>659</v>
      </c>
      <c r="F296" t="s">
        <v>1081</v>
      </c>
      <c r="G296" t="s">
        <v>1319</v>
      </c>
      <c r="H296" t="s">
        <v>1578</v>
      </c>
      <c r="I296">
        <v>15</v>
      </c>
      <c r="J296">
        <v>11212</v>
      </c>
      <c r="K296" t="s">
        <v>424</v>
      </c>
      <c r="L296" t="s">
        <v>422</v>
      </c>
      <c r="O296" t="s">
        <v>443</v>
      </c>
      <c r="P296" t="s">
        <v>448</v>
      </c>
      <c r="Q296" t="s">
        <v>450</v>
      </c>
      <c r="T296" t="s">
        <v>454</v>
      </c>
      <c r="W296">
        <v>0</v>
      </c>
      <c r="X296" t="s">
        <v>458</v>
      </c>
      <c r="Z296" t="s">
        <v>471</v>
      </c>
      <c r="AA296" t="s">
        <v>1884</v>
      </c>
      <c r="AD296">
        <v>0</v>
      </c>
      <c r="AG296">
        <v>0</v>
      </c>
      <c r="AH296">
        <v>1</v>
      </c>
      <c r="AI296">
        <v>0</v>
      </c>
      <c r="AJ296">
        <v>205.93</v>
      </c>
      <c r="AM296" t="s">
        <v>629</v>
      </c>
      <c r="AN296">
        <v>24999.96</v>
      </c>
      <c r="AT296">
        <v>0.25</v>
      </c>
      <c r="AU296" t="s">
        <v>659</v>
      </c>
      <c r="AV296" t="s">
        <v>696</v>
      </c>
    </row>
    <row r="297" spans="1:49">
      <c r="A297" s="1">
        <f>HYPERLINK("https://lsnyc.legalserver.org/matter/dynamic-profile/view/1884544","18-1884544")</f>
        <v>0</v>
      </c>
      <c r="B297" t="s">
        <v>696</v>
      </c>
      <c r="C297" t="s">
        <v>55</v>
      </c>
      <c r="D297" t="s">
        <v>121</v>
      </c>
      <c r="F297" t="s">
        <v>1082</v>
      </c>
      <c r="G297" t="s">
        <v>1189</v>
      </c>
      <c r="H297" t="s">
        <v>1458</v>
      </c>
      <c r="I297" t="s">
        <v>1687</v>
      </c>
      <c r="J297">
        <v>11212</v>
      </c>
      <c r="K297" t="s">
        <v>423</v>
      </c>
      <c r="L297" t="s">
        <v>423</v>
      </c>
      <c r="M297" t="s">
        <v>1807</v>
      </c>
      <c r="N297" t="s">
        <v>437</v>
      </c>
      <c r="O297" t="s">
        <v>441</v>
      </c>
      <c r="Q297" t="s">
        <v>450</v>
      </c>
      <c r="R297" t="s">
        <v>423</v>
      </c>
      <c r="T297" t="s">
        <v>453</v>
      </c>
      <c r="U297" t="s">
        <v>457</v>
      </c>
      <c r="W297">
        <v>1039</v>
      </c>
      <c r="X297" t="s">
        <v>458</v>
      </c>
      <c r="Y297" t="s">
        <v>459</v>
      </c>
      <c r="AA297" t="s">
        <v>2122</v>
      </c>
      <c r="AB297" t="s">
        <v>2170</v>
      </c>
      <c r="AC297" t="s">
        <v>2413</v>
      </c>
      <c r="AD297">
        <v>31</v>
      </c>
      <c r="AE297" t="s">
        <v>622</v>
      </c>
      <c r="AF297" t="s">
        <v>625</v>
      </c>
      <c r="AG297">
        <v>3</v>
      </c>
      <c r="AH297">
        <v>1</v>
      </c>
      <c r="AI297">
        <v>1</v>
      </c>
      <c r="AJ297">
        <v>263.11</v>
      </c>
      <c r="AM297" t="s">
        <v>629</v>
      </c>
      <c r="AN297">
        <v>43308</v>
      </c>
      <c r="AT297">
        <v>2.1</v>
      </c>
      <c r="AU297" t="s">
        <v>643</v>
      </c>
      <c r="AV297" t="s">
        <v>662</v>
      </c>
    </row>
    <row r="298" spans="1:49">
      <c r="A298" s="1">
        <f>HYPERLINK("https://lsnyc.legalserver.org/matter/dynamic-profile/view/1896517","19-1896517")</f>
        <v>0</v>
      </c>
      <c r="B298" t="s">
        <v>697</v>
      </c>
      <c r="C298" t="s">
        <v>55</v>
      </c>
      <c r="D298" t="s">
        <v>824</v>
      </c>
      <c r="F298" t="s">
        <v>1083</v>
      </c>
      <c r="G298" t="s">
        <v>1007</v>
      </c>
      <c r="H298" t="s">
        <v>1449</v>
      </c>
      <c r="I298" t="s">
        <v>385</v>
      </c>
      <c r="J298">
        <v>11213</v>
      </c>
      <c r="K298" t="s">
        <v>424</v>
      </c>
      <c r="L298" t="s">
        <v>424</v>
      </c>
      <c r="M298" t="s">
        <v>1808</v>
      </c>
      <c r="N298" t="s">
        <v>437</v>
      </c>
      <c r="Q298" t="s">
        <v>450</v>
      </c>
      <c r="R298" t="s">
        <v>423</v>
      </c>
      <c r="T298" t="s">
        <v>453</v>
      </c>
      <c r="U298" t="s">
        <v>457</v>
      </c>
      <c r="W298">
        <v>0</v>
      </c>
      <c r="X298" t="s">
        <v>458</v>
      </c>
      <c r="AA298" t="s">
        <v>1977</v>
      </c>
      <c r="AD298">
        <v>0</v>
      </c>
      <c r="AG298">
        <v>0</v>
      </c>
      <c r="AH298">
        <v>1</v>
      </c>
      <c r="AI298">
        <v>0</v>
      </c>
      <c r="AJ298">
        <v>0</v>
      </c>
      <c r="AM298" t="s">
        <v>629</v>
      </c>
      <c r="AN298">
        <v>0</v>
      </c>
      <c r="AT298">
        <v>28.65</v>
      </c>
      <c r="AU298" t="s">
        <v>656</v>
      </c>
      <c r="AV298" t="s">
        <v>666</v>
      </c>
    </row>
    <row r="299" spans="1:49">
      <c r="A299" s="1">
        <f>HYPERLINK("https://lsnyc.legalserver.org/matter/dynamic-profile/view/1885830","18-1885830")</f>
        <v>0</v>
      </c>
      <c r="B299" t="s">
        <v>697</v>
      </c>
      <c r="C299" t="s">
        <v>54</v>
      </c>
      <c r="D299" t="s">
        <v>825</v>
      </c>
      <c r="E299" t="s">
        <v>126</v>
      </c>
      <c r="F299" t="s">
        <v>1084</v>
      </c>
      <c r="G299" t="s">
        <v>1320</v>
      </c>
      <c r="H299" t="s">
        <v>1525</v>
      </c>
      <c r="I299" t="s">
        <v>1688</v>
      </c>
      <c r="J299">
        <v>11213</v>
      </c>
      <c r="K299" t="s">
        <v>423</v>
      </c>
      <c r="L299" t="s">
        <v>422</v>
      </c>
      <c r="O299" t="s">
        <v>441</v>
      </c>
      <c r="P299" t="s">
        <v>447</v>
      </c>
      <c r="Q299" t="s">
        <v>450</v>
      </c>
      <c r="T299" t="s">
        <v>453</v>
      </c>
      <c r="W299">
        <v>0</v>
      </c>
      <c r="X299" t="s">
        <v>458</v>
      </c>
      <c r="Z299" t="s">
        <v>470</v>
      </c>
      <c r="AA299" t="s">
        <v>2123</v>
      </c>
      <c r="AC299" t="s">
        <v>2414</v>
      </c>
      <c r="AD299">
        <v>0</v>
      </c>
      <c r="AG299">
        <v>30</v>
      </c>
      <c r="AH299">
        <v>1</v>
      </c>
      <c r="AI299">
        <v>0</v>
      </c>
      <c r="AJ299">
        <v>0</v>
      </c>
      <c r="AM299" t="s">
        <v>629</v>
      </c>
      <c r="AN299">
        <v>0</v>
      </c>
      <c r="AT299">
        <v>0.25</v>
      </c>
      <c r="AU299" t="s">
        <v>708</v>
      </c>
      <c r="AV299" t="s">
        <v>697</v>
      </c>
    </row>
    <row r="300" spans="1:49">
      <c r="A300" s="1">
        <f>HYPERLINK("https://lsnyc.legalserver.org/matter/dynamic-profile/view/1896325","19-1896325")</f>
        <v>0</v>
      </c>
      <c r="B300" t="s">
        <v>697</v>
      </c>
      <c r="C300" t="s">
        <v>55</v>
      </c>
      <c r="D300" t="s">
        <v>826</v>
      </c>
      <c r="F300" t="s">
        <v>897</v>
      </c>
      <c r="G300" t="s">
        <v>1237</v>
      </c>
      <c r="H300" t="s">
        <v>1481</v>
      </c>
      <c r="I300" t="s">
        <v>1648</v>
      </c>
      <c r="J300">
        <v>11208</v>
      </c>
      <c r="K300" t="s">
        <v>423</v>
      </c>
      <c r="L300" t="s">
        <v>423</v>
      </c>
      <c r="M300" t="s">
        <v>1809</v>
      </c>
      <c r="N300" t="s">
        <v>434</v>
      </c>
      <c r="Q300" t="s">
        <v>450</v>
      </c>
      <c r="R300" t="s">
        <v>423</v>
      </c>
      <c r="T300" t="s">
        <v>453</v>
      </c>
      <c r="W300">
        <v>1297</v>
      </c>
      <c r="X300" t="s">
        <v>458</v>
      </c>
      <c r="AA300" t="s">
        <v>2011</v>
      </c>
      <c r="AC300" t="s">
        <v>2311</v>
      </c>
      <c r="AD300">
        <v>2</v>
      </c>
      <c r="AE300" t="s">
        <v>623</v>
      </c>
      <c r="AF300" t="s">
        <v>626</v>
      </c>
      <c r="AG300">
        <v>12</v>
      </c>
      <c r="AH300">
        <v>1</v>
      </c>
      <c r="AI300">
        <v>2</v>
      </c>
      <c r="AJ300">
        <v>14.14</v>
      </c>
      <c r="AM300" t="s">
        <v>629</v>
      </c>
      <c r="AN300">
        <v>3016</v>
      </c>
      <c r="AT300">
        <v>0.5</v>
      </c>
      <c r="AU300" t="s">
        <v>2510</v>
      </c>
      <c r="AV300" t="s">
        <v>674</v>
      </c>
    </row>
    <row r="301" spans="1:49">
      <c r="A301" s="1">
        <f>HYPERLINK("https://lsnyc.legalserver.org/matter/dynamic-profile/view/1885519","18-1885519")</f>
        <v>0</v>
      </c>
      <c r="B301" t="s">
        <v>697</v>
      </c>
      <c r="C301" t="s">
        <v>55</v>
      </c>
      <c r="D301" t="s">
        <v>68</v>
      </c>
      <c r="F301" t="s">
        <v>1085</v>
      </c>
      <c r="G301" t="s">
        <v>1135</v>
      </c>
      <c r="H301" t="s">
        <v>1579</v>
      </c>
      <c r="I301" t="s">
        <v>401</v>
      </c>
      <c r="J301">
        <v>11207</v>
      </c>
      <c r="K301" t="s">
        <v>422</v>
      </c>
      <c r="L301" t="s">
        <v>422</v>
      </c>
      <c r="O301" t="s">
        <v>445</v>
      </c>
      <c r="Q301" t="s">
        <v>450</v>
      </c>
      <c r="T301" t="s">
        <v>453</v>
      </c>
      <c r="W301">
        <v>0</v>
      </c>
      <c r="X301" t="s">
        <v>458</v>
      </c>
      <c r="AA301" t="s">
        <v>2124</v>
      </c>
      <c r="AC301" t="s">
        <v>2415</v>
      </c>
      <c r="AD301">
        <v>0</v>
      </c>
      <c r="AG301">
        <v>0</v>
      </c>
      <c r="AH301">
        <v>2</v>
      </c>
      <c r="AI301">
        <v>1</v>
      </c>
      <c r="AJ301">
        <v>17.32</v>
      </c>
      <c r="AM301" t="s">
        <v>629</v>
      </c>
      <c r="AN301">
        <v>3600</v>
      </c>
      <c r="AT301">
        <v>22.25</v>
      </c>
      <c r="AU301" t="s">
        <v>137</v>
      </c>
      <c r="AV301" t="s">
        <v>697</v>
      </c>
    </row>
    <row r="302" spans="1:49">
      <c r="A302" s="1">
        <f>HYPERLINK("https://lsnyc.legalserver.org/matter/dynamic-profile/view/1866695","18-1866695")</f>
        <v>0</v>
      </c>
      <c r="B302" t="s">
        <v>697</v>
      </c>
      <c r="C302" t="s">
        <v>54</v>
      </c>
      <c r="D302" t="s">
        <v>70</v>
      </c>
      <c r="E302" t="s">
        <v>754</v>
      </c>
      <c r="F302" t="s">
        <v>1086</v>
      </c>
      <c r="G302" t="s">
        <v>1321</v>
      </c>
      <c r="H302" t="s">
        <v>1580</v>
      </c>
      <c r="I302" t="s">
        <v>1593</v>
      </c>
      <c r="J302">
        <v>11212</v>
      </c>
      <c r="K302" t="s">
        <v>423</v>
      </c>
      <c r="L302" t="s">
        <v>422</v>
      </c>
      <c r="M302" t="s">
        <v>1810</v>
      </c>
      <c r="O302" t="s">
        <v>441</v>
      </c>
      <c r="P302" t="s">
        <v>447</v>
      </c>
      <c r="Q302" t="s">
        <v>450</v>
      </c>
      <c r="R302" t="s">
        <v>423</v>
      </c>
      <c r="T302" t="s">
        <v>453</v>
      </c>
      <c r="W302">
        <v>1445</v>
      </c>
      <c r="X302" t="s">
        <v>458</v>
      </c>
      <c r="Z302" t="s">
        <v>470</v>
      </c>
      <c r="AA302" t="s">
        <v>2125</v>
      </c>
      <c r="AB302" t="s">
        <v>2131</v>
      </c>
      <c r="AC302" t="s">
        <v>2416</v>
      </c>
      <c r="AD302">
        <v>385</v>
      </c>
      <c r="AE302" t="s">
        <v>622</v>
      </c>
      <c r="AF302" t="s">
        <v>626</v>
      </c>
      <c r="AG302">
        <v>10</v>
      </c>
      <c r="AH302">
        <v>3</v>
      </c>
      <c r="AI302">
        <v>1</v>
      </c>
      <c r="AJ302">
        <v>34.84</v>
      </c>
      <c r="AM302" t="s">
        <v>629</v>
      </c>
      <c r="AN302">
        <v>8744.4</v>
      </c>
      <c r="AO302" t="s">
        <v>2488</v>
      </c>
      <c r="AT302">
        <v>4.75</v>
      </c>
      <c r="AU302" t="s">
        <v>754</v>
      </c>
      <c r="AV302" t="s">
        <v>2511</v>
      </c>
    </row>
    <row r="303" spans="1:49">
      <c r="A303" s="1">
        <f>HYPERLINK("https://lsnyc.legalserver.org/matter/dynamic-profile/view/1898171","19-1898171")</f>
        <v>0</v>
      </c>
      <c r="B303" t="s">
        <v>697</v>
      </c>
      <c r="C303" t="s">
        <v>55</v>
      </c>
      <c r="D303" t="s">
        <v>827</v>
      </c>
      <c r="F303" t="s">
        <v>1087</v>
      </c>
      <c r="G303" t="s">
        <v>1322</v>
      </c>
      <c r="H303" t="s">
        <v>1524</v>
      </c>
      <c r="I303" t="s">
        <v>1689</v>
      </c>
      <c r="J303">
        <v>11213</v>
      </c>
      <c r="K303" t="s">
        <v>424</v>
      </c>
      <c r="L303" t="s">
        <v>424</v>
      </c>
      <c r="N303" t="s">
        <v>440</v>
      </c>
      <c r="O303" t="s">
        <v>446</v>
      </c>
      <c r="Q303" t="s">
        <v>450</v>
      </c>
      <c r="R303" t="s">
        <v>424</v>
      </c>
      <c r="T303" t="s">
        <v>453</v>
      </c>
      <c r="U303" t="s">
        <v>457</v>
      </c>
      <c r="W303">
        <v>0</v>
      </c>
      <c r="X303" t="s">
        <v>458</v>
      </c>
      <c r="AA303" t="s">
        <v>2126</v>
      </c>
      <c r="AD303">
        <v>0</v>
      </c>
      <c r="AG303">
        <v>0</v>
      </c>
      <c r="AH303">
        <v>3</v>
      </c>
      <c r="AI303">
        <v>1</v>
      </c>
      <c r="AJ303">
        <v>75.5</v>
      </c>
      <c r="AM303" t="s">
        <v>629</v>
      </c>
      <c r="AN303">
        <v>19440</v>
      </c>
      <c r="AT303">
        <v>1.6</v>
      </c>
      <c r="AU303" t="s">
        <v>718</v>
      </c>
      <c r="AV303" t="s">
        <v>666</v>
      </c>
    </row>
    <row r="304" spans="1:49">
      <c r="A304" s="1">
        <f>HYPERLINK("https://lsnyc.legalserver.org/matter/dynamic-profile/view/1901141","19-1901141")</f>
        <v>0</v>
      </c>
      <c r="B304" t="s">
        <v>697</v>
      </c>
      <c r="C304" t="s">
        <v>55</v>
      </c>
      <c r="D304" t="s">
        <v>786</v>
      </c>
      <c r="F304" t="s">
        <v>1088</v>
      </c>
      <c r="G304" t="s">
        <v>1219</v>
      </c>
      <c r="H304" t="s">
        <v>1581</v>
      </c>
      <c r="I304" t="s">
        <v>1690</v>
      </c>
      <c r="J304">
        <v>11212</v>
      </c>
      <c r="K304" t="s">
        <v>422</v>
      </c>
      <c r="L304" t="s">
        <v>422</v>
      </c>
      <c r="N304" t="s">
        <v>437</v>
      </c>
      <c r="O304" t="s">
        <v>444</v>
      </c>
      <c r="Q304" t="s">
        <v>450</v>
      </c>
      <c r="R304" t="s">
        <v>423</v>
      </c>
      <c r="T304" t="s">
        <v>453</v>
      </c>
      <c r="W304">
        <v>247</v>
      </c>
      <c r="X304" t="s">
        <v>458</v>
      </c>
      <c r="AA304" t="s">
        <v>2127</v>
      </c>
      <c r="AD304">
        <v>0</v>
      </c>
      <c r="AF304" t="s">
        <v>626</v>
      </c>
      <c r="AG304">
        <v>0</v>
      </c>
      <c r="AH304">
        <v>1</v>
      </c>
      <c r="AI304">
        <v>0</v>
      </c>
      <c r="AJ304">
        <v>76.86</v>
      </c>
      <c r="AM304" t="s">
        <v>629</v>
      </c>
      <c r="AN304">
        <v>9600</v>
      </c>
      <c r="AT304">
        <v>2.05</v>
      </c>
      <c r="AU304" t="s">
        <v>777</v>
      </c>
      <c r="AV304" t="s">
        <v>697</v>
      </c>
    </row>
    <row r="305" spans="1:49">
      <c r="A305" s="1">
        <f>HYPERLINK("https://lsnyc.legalserver.org/matter/dynamic-profile/view/1896825","19-1896825")</f>
        <v>0</v>
      </c>
      <c r="B305" t="s">
        <v>697</v>
      </c>
      <c r="C305" t="s">
        <v>55</v>
      </c>
      <c r="D305" t="s">
        <v>728</v>
      </c>
      <c r="F305" t="s">
        <v>1082</v>
      </c>
      <c r="G305" t="s">
        <v>1323</v>
      </c>
      <c r="H305" t="s">
        <v>1582</v>
      </c>
      <c r="I305">
        <v>1</v>
      </c>
      <c r="J305">
        <v>11208</v>
      </c>
      <c r="K305" t="s">
        <v>423</v>
      </c>
      <c r="L305" t="s">
        <v>423</v>
      </c>
      <c r="M305" t="s">
        <v>1811</v>
      </c>
      <c r="N305" t="s">
        <v>434</v>
      </c>
      <c r="O305" t="s">
        <v>444</v>
      </c>
      <c r="Q305" t="s">
        <v>450</v>
      </c>
      <c r="R305" t="s">
        <v>423</v>
      </c>
      <c r="T305" t="s">
        <v>453</v>
      </c>
      <c r="U305" t="s">
        <v>457</v>
      </c>
      <c r="W305">
        <v>1550</v>
      </c>
      <c r="X305" t="s">
        <v>458</v>
      </c>
      <c r="Y305" t="s">
        <v>1837</v>
      </c>
      <c r="AA305" t="s">
        <v>2128</v>
      </c>
      <c r="AB305" t="s">
        <v>2131</v>
      </c>
      <c r="AC305" t="s">
        <v>2417</v>
      </c>
      <c r="AD305">
        <v>2</v>
      </c>
      <c r="AE305" t="s">
        <v>623</v>
      </c>
      <c r="AF305" t="s">
        <v>625</v>
      </c>
      <c r="AG305">
        <v>5</v>
      </c>
      <c r="AH305">
        <v>5</v>
      </c>
      <c r="AI305">
        <v>1</v>
      </c>
      <c r="AJ305">
        <v>99.73999999999999</v>
      </c>
      <c r="AM305" t="s">
        <v>629</v>
      </c>
      <c r="AN305">
        <v>34500</v>
      </c>
      <c r="AT305">
        <v>2.5</v>
      </c>
      <c r="AU305" t="s">
        <v>771</v>
      </c>
      <c r="AV305" t="s">
        <v>666</v>
      </c>
      <c r="AW305" t="s">
        <v>625</v>
      </c>
    </row>
    <row r="306" spans="1:49">
      <c r="A306" s="1">
        <f>HYPERLINK("https://lsnyc.legalserver.org/matter/dynamic-profile/view/1851721","17-1851721")</f>
        <v>0</v>
      </c>
      <c r="B306" t="s">
        <v>697</v>
      </c>
      <c r="C306" t="s">
        <v>54</v>
      </c>
      <c r="D306" t="s">
        <v>828</v>
      </c>
      <c r="E306" t="s">
        <v>758</v>
      </c>
      <c r="F306" t="s">
        <v>1089</v>
      </c>
      <c r="G306" t="s">
        <v>1324</v>
      </c>
      <c r="H306" t="s">
        <v>1583</v>
      </c>
      <c r="I306" t="s">
        <v>372</v>
      </c>
      <c r="J306">
        <v>11208</v>
      </c>
      <c r="K306" t="s">
        <v>424</v>
      </c>
      <c r="L306" t="s">
        <v>424</v>
      </c>
      <c r="M306" t="s">
        <v>621</v>
      </c>
      <c r="N306" t="s">
        <v>434</v>
      </c>
      <c r="O306" t="s">
        <v>441</v>
      </c>
      <c r="P306" t="s">
        <v>447</v>
      </c>
      <c r="Q306" t="s">
        <v>450</v>
      </c>
      <c r="R306" t="s">
        <v>424</v>
      </c>
      <c r="T306" t="s">
        <v>453</v>
      </c>
      <c r="W306">
        <v>0</v>
      </c>
      <c r="X306" t="s">
        <v>458</v>
      </c>
      <c r="Y306" t="s">
        <v>469</v>
      </c>
      <c r="Z306" t="s">
        <v>475</v>
      </c>
      <c r="AA306" t="s">
        <v>2129</v>
      </c>
      <c r="AB306" t="s">
        <v>1720</v>
      </c>
      <c r="AD306">
        <v>0</v>
      </c>
      <c r="AE306" t="s">
        <v>621</v>
      </c>
      <c r="AF306" t="s">
        <v>625</v>
      </c>
      <c r="AG306">
        <v>1</v>
      </c>
      <c r="AH306">
        <v>3</v>
      </c>
      <c r="AI306">
        <v>0</v>
      </c>
      <c r="AJ306">
        <v>117.53</v>
      </c>
      <c r="AM306" t="s">
        <v>629</v>
      </c>
      <c r="AN306">
        <v>24000</v>
      </c>
      <c r="AT306">
        <v>1.03</v>
      </c>
      <c r="AU306" t="s">
        <v>758</v>
      </c>
      <c r="AV306" t="s">
        <v>666</v>
      </c>
    </row>
    <row r="307" spans="1:49">
      <c r="A307" s="1">
        <f>HYPERLINK("https://lsnyc.legalserver.org/matter/dynamic-profile/view/1868060","18-1868060")</f>
        <v>0</v>
      </c>
      <c r="B307" t="s">
        <v>697</v>
      </c>
      <c r="C307" t="s">
        <v>54</v>
      </c>
      <c r="D307" t="s">
        <v>829</v>
      </c>
      <c r="E307" t="s">
        <v>847</v>
      </c>
      <c r="F307" t="s">
        <v>1015</v>
      </c>
      <c r="G307" t="s">
        <v>1325</v>
      </c>
      <c r="H307" t="s">
        <v>1584</v>
      </c>
      <c r="I307" t="s">
        <v>1631</v>
      </c>
      <c r="J307">
        <v>11208</v>
      </c>
      <c r="K307" t="s">
        <v>423</v>
      </c>
      <c r="L307" t="s">
        <v>422</v>
      </c>
      <c r="M307" t="s">
        <v>1812</v>
      </c>
      <c r="N307" t="s">
        <v>437</v>
      </c>
      <c r="O307" t="s">
        <v>441</v>
      </c>
      <c r="P307" t="s">
        <v>447</v>
      </c>
      <c r="Q307" t="s">
        <v>450</v>
      </c>
      <c r="R307" t="s">
        <v>423</v>
      </c>
      <c r="T307" t="s">
        <v>453</v>
      </c>
      <c r="W307">
        <v>650</v>
      </c>
      <c r="X307" t="s">
        <v>458</v>
      </c>
      <c r="Z307" t="s">
        <v>470</v>
      </c>
      <c r="AA307" t="s">
        <v>2130</v>
      </c>
      <c r="AC307" t="s">
        <v>2418</v>
      </c>
      <c r="AD307">
        <v>6</v>
      </c>
      <c r="AE307" t="s">
        <v>622</v>
      </c>
      <c r="AF307" t="s">
        <v>625</v>
      </c>
      <c r="AG307">
        <v>0</v>
      </c>
      <c r="AH307">
        <v>1</v>
      </c>
      <c r="AI307">
        <v>0</v>
      </c>
      <c r="AJ307">
        <v>167.05</v>
      </c>
      <c r="AM307" t="s">
        <v>629</v>
      </c>
      <c r="AN307">
        <v>20280</v>
      </c>
      <c r="AT307">
        <v>5.19</v>
      </c>
      <c r="AU307" t="s">
        <v>658</v>
      </c>
      <c r="AV307" t="s">
        <v>2513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70"/>
  <sheetViews>
    <sheetView workbookViewId="0"/>
  </sheetViews>
  <sheetFormatPr defaultRowHeight="15"/>
  <cols>
    <col min="1" max="1" width="20.7109375" style="1" customWidth="1"/>
  </cols>
  <sheetData>
    <row r="1" spans="1:4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spans="1:49">
      <c r="A2" s="1">
        <f>HYPERLINK("https://lsnyc.legalserver.org/matter/dynamic-profile/view/1857955","18-1857955")</f>
        <v>0</v>
      </c>
      <c r="B2" t="s">
        <v>2529</v>
      </c>
      <c r="C2" t="s">
        <v>54</v>
      </c>
      <c r="D2" t="s">
        <v>2558</v>
      </c>
      <c r="E2" t="s">
        <v>2576</v>
      </c>
      <c r="F2" t="s">
        <v>1076</v>
      </c>
      <c r="G2" t="s">
        <v>2643</v>
      </c>
      <c r="H2" t="s">
        <v>2699</v>
      </c>
      <c r="I2" t="s">
        <v>2762</v>
      </c>
      <c r="J2">
        <v>11224</v>
      </c>
      <c r="K2" t="s">
        <v>423</v>
      </c>
      <c r="L2" t="s">
        <v>422</v>
      </c>
      <c r="M2" t="s">
        <v>2790</v>
      </c>
      <c r="N2" t="s">
        <v>437</v>
      </c>
      <c r="O2" t="s">
        <v>445</v>
      </c>
      <c r="P2" t="s">
        <v>1827</v>
      </c>
      <c r="Q2" t="s">
        <v>450</v>
      </c>
      <c r="R2" t="s">
        <v>423</v>
      </c>
      <c r="T2" t="s">
        <v>453</v>
      </c>
      <c r="W2">
        <v>1000</v>
      </c>
      <c r="X2" t="s">
        <v>458</v>
      </c>
      <c r="Y2" t="s">
        <v>464</v>
      </c>
      <c r="Z2" t="s">
        <v>475</v>
      </c>
      <c r="AA2" t="s">
        <v>2829</v>
      </c>
      <c r="AC2" t="s">
        <v>2896</v>
      </c>
      <c r="AD2">
        <v>0</v>
      </c>
      <c r="AE2" t="s">
        <v>2422</v>
      </c>
      <c r="AG2">
        <v>32</v>
      </c>
      <c r="AH2">
        <v>1</v>
      </c>
      <c r="AI2">
        <v>0</v>
      </c>
      <c r="AJ2">
        <v>323.38</v>
      </c>
      <c r="AK2" t="s">
        <v>2956</v>
      </c>
      <c r="AM2" t="s">
        <v>2958</v>
      </c>
      <c r="AN2">
        <v>39000</v>
      </c>
      <c r="AQ2" t="s">
        <v>2962</v>
      </c>
      <c r="AR2" t="s">
        <v>2964</v>
      </c>
      <c r="AS2" t="s">
        <v>2967</v>
      </c>
      <c r="AT2">
        <v>8.4</v>
      </c>
      <c r="AU2" t="s">
        <v>2576</v>
      </c>
      <c r="AV2" t="s">
        <v>666</v>
      </c>
    </row>
    <row r="3" spans="1:49">
      <c r="A3" s="1">
        <f>HYPERLINK("https://lsnyc.legalserver.org/matter/dynamic-profile/view/0809096","16-0809096")</f>
        <v>0</v>
      </c>
      <c r="B3" t="s">
        <v>2530</v>
      </c>
      <c r="C3" t="s">
        <v>54</v>
      </c>
      <c r="D3" t="s">
        <v>2559</v>
      </c>
      <c r="E3" t="s">
        <v>130</v>
      </c>
      <c r="F3" t="s">
        <v>219</v>
      </c>
      <c r="G3" t="s">
        <v>2644</v>
      </c>
      <c r="H3" t="s">
        <v>2700</v>
      </c>
      <c r="I3" t="s">
        <v>2763</v>
      </c>
      <c r="J3">
        <v>11229</v>
      </c>
      <c r="K3" t="s">
        <v>424</v>
      </c>
      <c r="L3" t="s">
        <v>423</v>
      </c>
      <c r="M3" t="s">
        <v>2791</v>
      </c>
      <c r="N3" t="s">
        <v>434</v>
      </c>
      <c r="O3" t="s">
        <v>445</v>
      </c>
      <c r="P3" t="s">
        <v>1827</v>
      </c>
      <c r="Q3" t="s">
        <v>450</v>
      </c>
      <c r="S3" t="s">
        <v>451</v>
      </c>
      <c r="T3" t="s">
        <v>453</v>
      </c>
      <c r="W3">
        <v>711.58</v>
      </c>
      <c r="X3" t="s">
        <v>458</v>
      </c>
      <c r="Y3" t="s">
        <v>461</v>
      </c>
      <c r="Z3" t="s">
        <v>475</v>
      </c>
      <c r="AA3" t="s">
        <v>2830</v>
      </c>
      <c r="AC3" t="s">
        <v>2897</v>
      </c>
      <c r="AD3">
        <v>28</v>
      </c>
      <c r="AE3" t="s">
        <v>2421</v>
      </c>
      <c r="AG3">
        <v>48</v>
      </c>
      <c r="AH3">
        <v>1</v>
      </c>
      <c r="AI3">
        <v>0</v>
      </c>
      <c r="AJ3">
        <v>0</v>
      </c>
      <c r="AM3" t="s">
        <v>629</v>
      </c>
      <c r="AN3">
        <v>0</v>
      </c>
      <c r="AT3">
        <v>187.3</v>
      </c>
      <c r="AU3" t="s">
        <v>130</v>
      </c>
      <c r="AV3" t="s">
        <v>670</v>
      </c>
    </row>
    <row r="4" spans="1:49">
      <c r="A4" s="1">
        <f>HYPERLINK("https://lsnyc.legalserver.org/matter/dynamic-profile/view/0809949","16-0809949")</f>
        <v>0</v>
      </c>
      <c r="B4" t="s">
        <v>2531</v>
      </c>
      <c r="C4" t="s">
        <v>54</v>
      </c>
      <c r="D4" t="s">
        <v>2560</v>
      </c>
      <c r="E4" t="s">
        <v>722</v>
      </c>
      <c r="F4" t="s">
        <v>871</v>
      </c>
      <c r="G4" t="s">
        <v>219</v>
      </c>
      <c r="H4" t="s">
        <v>2701</v>
      </c>
      <c r="I4" t="s">
        <v>2764</v>
      </c>
      <c r="J4">
        <v>11214</v>
      </c>
      <c r="K4" t="s">
        <v>423</v>
      </c>
      <c r="L4" t="s">
        <v>422</v>
      </c>
      <c r="M4" t="s">
        <v>2792</v>
      </c>
      <c r="N4" t="s">
        <v>2820</v>
      </c>
      <c r="O4" t="s">
        <v>445</v>
      </c>
      <c r="P4" t="s">
        <v>2821</v>
      </c>
      <c r="Q4" t="s">
        <v>450</v>
      </c>
      <c r="S4" t="s">
        <v>451</v>
      </c>
      <c r="T4" t="s">
        <v>453</v>
      </c>
      <c r="W4">
        <v>898</v>
      </c>
      <c r="X4" t="s">
        <v>458</v>
      </c>
      <c r="Y4" t="s">
        <v>467</v>
      </c>
      <c r="Z4" t="s">
        <v>475</v>
      </c>
      <c r="AA4" t="s">
        <v>2831</v>
      </c>
      <c r="AC4" t="s">
        <v>2898</v>
      </c>
      <c r="AD4">
        <v>40</v>
      </c>
      <c r="AE4" t="s">
        <v>622</v>
      </c>
      <c r="AF4" t="s">
        <v>625</v>
      </c>
      <c r="AG4">
        <v>18</v>
      </c>
      <c r="AH4">
        <v>2</v>
      </c>
      <c r="AI4">
        <v>0</v>
      </c>
      <c r="AJ4">
        <v>93.63</v>
      </c>
      <c r="AN4">
        <v>15000</v>
      </c>
      <c r="AQ4" t="s">
        <v>2962</v>
      </c>
      <c r="AR4" t="s">
        <v>2964</v>
      </c>
      <c r="AS4" t="s">
        <v>2968</v>
      </c>
      <c r="AT4">
        <v>361</v>
      </c>
      <c r="AU4" t="s">
        <v>105</v>
      </c>
      <c r="AV4" t="s">
        <v>670</v>
      </c>
    </row>
    <row r="5" spans="1:49">
      <c r="A5" s="1">
        <f>HYPERLINK("https://lsnyc.legalserver.org/matter/dynamic-profile/view/1866618","18-1866618")</f>
        <v>0</v>
      </c>
      <c r="B5" t="s">
        <v>2532</v>
      </c>
      <c r="C5" t="s">
        <v>54</v>
      </c>
      <c r="D5" t="s">
        <v>747</v>
      </c>
      <c r="E5" t="s">
        <v>130</v>
      </c>
      <c r="F5" t="s">
        <v>2599</v>
      </c>
      <c r="G5" t="s">
        <v>2645</v>
      </c>
      <c r="H5" t="s">
        <v>2702</v>
      </c>
      <c r="I5" t="s">
        <v>1592</v>
      </c>
      <c r="J5">
        <v>11208</v>
      </c>
      <c r="K5" t="s">
        <v>423</v>
      </c>
      <c r="L5" t="s">
        <v>422</v>
      </c>
      <c r="O5" t="s">
        <v>445</v>
      </c>
      <c r="P5" t="s">
        <v>1827</v>
      </c>
      <c r="Q5" t="s">
        <v>450</v>
      </c>
      <c r="T5" t="s">
        <v>453</v>
      </c>
      <c r="W5">
        <v>0</v>
      </c>
      <c r="X5" t="s">
        <v>458</v>
      </c>
      <c r="Z5" t="s">
        <v>475</v>
      </c>
      <c r="AA5" t="s">
        <v>2832</v>
      </c>
      <c r="AC5" t="s">
        <v>2899</v>
      </c>
      <c r="AD5">
        <v>0</v>
      </c>
      <c r="AG5">
        <v>0</v>
      </c>
      <c r="AH5">
        <v>1</v>
      </c>
      <c r="AI5">
        <v>0</v>
      </c>
      <c r="AJ5">
        <v>40.26</v>
      </c>
      <c r="AM5" t="s">
        <v>629</v>
      </c>
      <c r="AN5">
        <v>4888</v>
      </c>
      <c r="AT5">
        <v>0.25</v>
      </c>
      <c r="AU5" t="s">
        <v>2501</v>
      </c>
      <c r="AV5" t="s">
        <v>2984</v>
      </c>
    </row>
    <row r="6" spans="1:49">
      <c r="A6" s="1">
        <f>HYPERLINK("https://lsnyc.legalserver.org/matter/dynamic-profile/view/0820634","16-0820634")</f>
        <v>0</v>
      </c>
      <c r="B6" t="s">
        <v>2532</v>
      </c>
      <c r="C6" t="s">
        <v>54</v>
      </c>
      <c r="D6" t="s">
        <v>2561</v>
      </c>
      <c r="E6" t="s">
        <v>831</v>
      </c>
      <c r="F6" t="s">
        <v>2600</v>
      </c>
      <c r="G6" t="s">
        <v>1279</v>
      </c>
      <c r="H6" t="s">
        <v>2703</v>
      </c>
      <c r="I6" t="s">
        <v>393</v>
      </c>
      <c r="J6">
        <v>11237</v>
      </c>
      <c r="K6" t="s">
        <v>424</v>
      </c>
      <c r="L6" t="s">
        <v>422</v>
      </c>
      <c r="O6" t="s">
        <v>445</v>
      </c>
      <c r="P6" t="s">
        <v>1827</v>
      </c>
      <c r="Q6" t="s">
        <v>450</v>
      </c>
      <c r="S6" t="s">
        <v>451</v>
      </c>
      <c r="T6" t="s">
        <v>453</v>
      </c>
      <c r="W6">
        <v>0</v>
      </c>
      <c r="X6" t="s">
        <v>458</v>
      </c>
      <c r="Z6" t="s">
        <v>475</v>
      </c>
      <c r="AA6" t="s">
        <v>2833</v>
      </c>
      <c r="AC6" t="s">
        <v>2900</v>
      </c>
      <c r="AD6">
        <v>0</v>
      </c>
      <c r="AG6">
        <v>0</v>
      </c>
      <c r="AH6">
        <v>2</v>
      </c>
      <c r="AI6">
        <v>0</v>
      </c>
      <c r="AJ6">
        <v>48.69</v>
      </c>
      <c r="AM6" t="s">
        <v>629</v>
      </c>
      <c r="AN6">
        <v>7800</v>
      </c>
      <c r="AT6">
        <v>8.35</v>
      </c>
      <c r="AU6" t="s">
        <v>79</v>
      </c>
      <c r="AV6" t="s">
        <v>2985</v>
      </c>
    </row>
    <row r="7" spans="1:49">
      <c r="A7" s="1">
        <f>HYPERLINK("https://lsnyc.legalserver.org/matter/dynamic-profile/view/0828584","17-0828584")</f>
        <v>0</v>
      </c>
      <c r="B7" t="s">
        <v>2533</v>
      </c>
      <c r="C7" t="s">
        <v>55</v>
      </c>
      <c r="D7" t="s">
        <v>2562</v>
      </c>
      <c r="F7" t="s">
        <v>2601</v>
      </c>
      <c r="G7" t="s">
        <v>2646</v>
      </c>
      <c r="H7" t="s">
        <v>2704</v>
      </c>
      <c r="I7" t="s">
        <v>2765</v>
      </c>
      <c r="J7">
        <v>11205</v>
      </c>
      <c r="K7" t="s">
        <v>423</v>
      </c>
      <c r="L7" t="s">
        <v>422</v>
      </c>
      <c r="O7" t="s">
        <v>445</v>
      </c>
      <c r="Q7" t="s">
        <v>450</v>
      </c>
      <c r="S7" t="s">
        <v>451</v>
      </c>
      <c r="T7" t="s">
        <v>453</v>
      </c>
      <c r="W7">
        <v>0</v>
      </c>
      <c r="X7" t="s">
        <v>458</v>
      </c>
      <c r="AA7" t="s">
        <v>2834</v>
      </c>
      <c r="AC7" t="s">
        <v>2901</v>
      </c>
      <c r="AD7">
        <v>0</v>
      </c>
      <c r="AG7">
        <v>0</v>
      </c>
      <c r="AH7">
        <v>1</v>
      </c>
      <c r="AI7">
        <v>0</v>
      </c>
      <c r="AJ7">
        <v>18.71</v>
      </c>
      <c r="AM7" t="s">
        <v>629</v>
      </c>
      <c r="AN7">
        <v>2256</v>
      </c>
      <c r="AT7">
        <v>19.4</v>
      </c>
      <c r="AU7" t="s">
        <v>2978</v>
      </c>
      <c r="AV7" t="s">
        <v>2985</v>
      </c>
    </row>
    <row r="8" spans="1:49">
      <c r="A8" s="1">
        <f>HYPERLINK("https://lsnyc.legalserver.org/matter/dynamic-profile/view/1880430","18-1880430")</f>
        <v>0</v>
      </c>
      <c r="B8" t="s">
        <v>2534</v>
      </c>
      <c r="C8" t="s">
        <v>55</v>
      </c>
      <c r="D8" t="s">
        <v>2563</v>
      </c>
      <c r="F8" t="s">
        <v>2602</v>
      </c>
      <c r="G8" t="s">
        <v>2647</v>
      </c>
      <c r="H8" t="s">
        <v>2705</v>
      </c>
      <c r="I8">
        <v>10</v>
      </c>
      <c r="J8">
        <v>11215</v>
      </c>
      <c r="K8" t="s">
        <v>423</v>
      </c>
      <c r="L8" t="s">
        <v>422</v>
      </c>
      <c r="M8" t="s">
        <v>2793</v>
      </c>
      <c r="N8" t="s">
        <v>434</v>
      </c>
      <c r="O8" t="s">
        <v>445</v>
      </c>
      <c r="Q8" t="s">
        <v>450</v>
      </c>
      <c r="T8" t="s">
        <v>453</v>
      </c>
      <c r="W8">
        <v>552</v>
      </c>
      <c r="X8" t="s">
        <v>458</v>
      </c>
      <c r="Y8" t="s">
        <v>465</v>
      </c>
      <c r="AA8" t="s">
        <v>2835</v>
      </c>
      <c r="AD8">
        <v>16</v>
      </c>
      <c r="AF8" t="s">
        <v>625</v>
      </c>
      <c r="AG8">
        <v>30</v>
      </c>
      <c r="AH8">
        <v>1</v>
      </c>
      <c r="AI8">
        <v>0</v>
      </c>
      <c r="AJ8">
        <v>115.32</v>
      </c>
      <c r="AM8" t="s">
        <v>629</v>
      </c>
      <c r="AN8">
        <v>14000</v>
      </c>
      <c r="AT8">
        <v>53.7</v>
      </c>
      <c r="AU8" t="s">
        <v>2979</v>
      </c>
      <c r="AV8" t="s">
        <v>669</v>
      </c>
    </row>
    <row r="9" spans="1:49">
      <c r="A9" s="1">
        <f>HYPERLINK("https://lsnyc.legalserver.org/matter/dynamic-profile/view/1837952","17-1837952")</f>
        <v>0</v>
      </c>
      <c r="B9" t="s">
        <v>2535</v>
      </c>
      <c r="C9" t="s">
        <v>55</v>
      </c>
      <c r="D9" t="s">
        <v>2564</v>
      </c>
      <c r="F9" t="s">
        <v>897</v>
      </c>
      <c r="G9" t="s">
        <v>2648</v>
      </c>
      <c r="H9" t="s">
        <v>2706</v>
      </c>
      <c r="I9">
        <v>2448</v>
      </c>
      <c r="J9">
        <v>11224</v>
      </c>
      <c r="K9" t="s">
        <v>423</v>
      </c>
      <c r="L9" t="s">
        <v>422</v>
      </c>
      <c r="M9" t="s">
        <v>2794</v>
      </c>
      <c r="N9" t="s">
        <v>437</v>
      </c>
      <c r="O9" t="s">
        <v>445</v>
      </c>
      <c r="Q9" t="s">
        <v>450</v>
      </c>
      <c r="S9" t="s">
        <v>451</v>
      </c>
      <c r="T9" t="s">
        <v>453</v>
      </c>
      <c r="W9">
        <v>1697</v>
      </c>
      <c r="X9" t="s">
        <v>458</v>
      </c>
      <c r="AA9" t="s">
        <v>2836</v>
      </c>
      <c r="AC9" t="s">
        <v>2902</v>
      </c>
      <c r="AD9">
        <v>0</v>
      </c>
      <c r="AE9" t="s">
        <v>2419</v>
      </c>
      <c r="AG9">
        <v>22</v>
      </c>
      <c r="AH9">
        <v>2</v>
      </c>
      <c r="AI9">
        <v>0</v>
      </c>
      <c r="AJ9">
        <v>55.64</v>
      </c>
      <c r="AM9" t="s">
        <v>629</v>
      </c>
      <c r="AN9">
        <v>9036</v>
      </c>
      <c r="AT9">
        <v>36.15</v>
      </c>
      <c r="AU9" t="s">
        <v>754</v>
      </c>
      <c r="AV9" t="s">
        <v>2512</v>
      </c>
    </row>
    <row r="10" spans="1:49">
      <c r="A10" s="1">
        <f>HYPERLINK("https://lsnyc.legalserver.org/matter/dynamic-profile/view/1889073","19-1889073")</f>
        <v>0</v>
      </c>
      <c r="B10" t="s">
        <v>2536</v>
      </c>
      <c r="C10" t="s">
        <v>54</v>
      </c>
      <c r="D10" t="s">
        <v>2565</v>
      </c>
      <c r="E10" t="s">
        <v>2594</v>
      </c>
      <c r="F10" t="s">
        <v>1238</v>
      </c>
      <c r="G10" t="s">
        <v>2649</v>
      </c>
      <c r="H10" t="s">
        <v>2707</v>
      </c>
      <c r="I10" t="s">
        <v>372</v>
      </c>
      <c r="J10">
        <v>11207</v>
      </c>
      <c r="K10" t="s">
        <v>424</v>
      </c>
      <c r="L10" t="s">
        <v>424</v>
      </c>
      <c r="O10" t="s">
        <v>441</v>
      </c>
      <c r="P10" t="s">
        <v>447</v>
      </c>
      <c r="Q10" t="s">
        <v>450</v>
      </c>
      <c r="T10" t="s">
        <v>453</v>
      </c>
      <c r="W10">
        <v>0</v>
      </c>
      <c r="X10" t="s">
        <v>458</v>
      </c>
      <c r="Z10" t="s">
        <v>470</v>
      </c>
      <c r="AA10" t="s">
        <v>2837</v>
      </c>
      <c r="AD10">
        <v>0</v>
      </c>
      <c r="AG10">
        <v>0</v>
      </c>
      <c r="AH10">
        <v>3</v>
      </c>
      <c r="AI10">
        <v>2</v>
      </c>
      <c r="AJ10">
        <v>95.22</v>
      </c>
      <c r="AM10" t="s">
        <v>631</v>
      </c>
      <c r="AN10">
        <v>28728</v>
      </c>
      <c r="AT10">
        <v>3.5</v>
      </c>
      <c r="AU10" t="s">
        <v>2594</v>
      </c>
      <c r="AV10" t="s">
        <v>666</v>
      </c>
      <c r="AW10" t="s">
        <v>671</v>
      </c>
    </row>
    <row r="11" spans="1:49">
      <c r="A11" s="1">
        <f>HYPERLINK("https://lsnyc.legalserver.org/matter/dynamic-profile/view/1872237","18-1872237")</f>
        <v>0</v>
      </c>
      <c r="B11" t="s">
        <v>2537</v>
      </c>
      <c r="C11" t="s">
        <v>54</v>
      </c>
      <c r="D11" t="s">
        <v>2566</v>
      </c>
      <c r="E11" t="s">
        <v>706</v>
      </c>
      <c r="F11" t="s">
        <v>2603</v>
      </c>
      <c r="G11" t="s">
        <v>1272</v>
      </c>
      <c r="H11" t="s">
        <v>2708</v>
      </c>
      <c r="I11" t="s">
        <v>2766</v>
      </c>
      <c r="J11">
        <v>11226</v>
      </c>
      <c r="K11" t="s">
        <v>422</v>
      </c>
      <c r="L11" t="s">
        <v>422</v>
      </c>
      <c r="P11" t="s">
        <v>447</v>
      </c>
      <c r="Q11" t="s">
        <v>450</v>
      </c>
      <c r="T11" t="s">
        <v>2824</v>
      </c>
      <c r="W11">
        <v>0</v>
      </c>
      <c r="X11" t="s">
        <v>458</v>
      </c>
      <c r="Z11" t="s">
        <v>471</v>
      </c>
      <c r="AA11" t="s">
        <v>2838</v>
      </c>
      <c r="AD11">
        <v>0</v>
      </c>
      <c r="AG11">
        <v>0</v>
      </c>
      <c r="AH11">
        <v>2</v>
      </c>
      <c r="AI11">
        <v>2</v>
      </c>
      <c r="AJ11">
        <v>0</v>
      </c>
      <c r="AM11" t="s">
        <v>629</v>
      </c>
      <c r="AN11">
        <v>0</v>
      </c>
      <c r="AT11">
        <v>8.800000000000001</v>
      </c>
      <c r="AU11" t="s">
        <v>706</v>
      </c>
      <c r="AV11" t="s">
        <v>2986</v>
      </c>
    </row>
    <row r="12" spans="1:49">
      <c r="A12" s="1">
        <f>HYPERLINK("https://lsnyc.legalserver.org/matter/dynamic-profile/view/1872263","18-1872263")</f>
        <v>0</v>
      </c>
      <c r="B12" t="s">
        <v>2537</v>
      </c>
      <c r="C12" t="s">
        <v>54</v>
      </c>
      <c r="D12" t="s">
        <v>2566</v>
      </c>
      <c r="E12" t="s">
        <v>647</v>
      </c>
      <c r="F12" t="s">
        <v>2604</v>
      </c>
      <c r="G12" t="s">
        <v>2650</v>
      </c>
      <c r="H12" t="s">
        <v>2709</v>
      </c>
      <c r="I12" t="s">
        <v>1598</v>
      </c>
      <c r="J12">
        <v>11208</v>
      </c>
      <c r="K12" t="s">
        <v>422</v>
      </c>
      <c r="L12" t="s">
        <v>422</v>
      </c>
      <c r="P12" t="s">
        <v>447</v>
      </c>
      <c r="Q12" t="s">
        <v>450</v>
      </c>
      <c r="T12" t="s">
        <v>2824</v>
      </c>
      <c r="W12">
        <v>0</v>
      </c>
      <c r="X12" t="s">
        <v>458</v>
      </c>
      <c r="Z12" t="s">
        <v>471</v>
      </c>
      <c r="AA12" t="s">
        <v>2839</v>
      </c>
      <c r="AC12" t="s">
        <v>2903</v>
      </c>
      <c r="AD12">
        <v>0</v>
      </c>
      <c r="AG12">
        <v>0</v>
      </c>
      <c r="AH12">
        <v>2</v>
      </c>
      <c r="AI12">
        <v>2</v>
      </c>
      <c r="AJ12">
        <v>127.49</v>
      </c>
      <c r="AM12" t="s">
        <v>629</v>
      </c>
      <c r="AN12">
        <v>32000</v>
      </c>
      <c r="AT12">
        <v>8.35</v>
      </c>
      <c r="AU12" t="s">
        <v>647</v>
      </c>
      <c r="AV12" t="s">
        <v>2986</v>
      </c>
    </row>
    <row r="13" spans="1:49">
      <c r="A13" s="1">
        <f>HYPERLINK("https://lsnyc.legalserver.org/matter/dynamic-profile/view/0813357","16-0813357")</f>
        <v>0</v>
      </c>
      <c r="B13" t="s">
        <v>2538</v>
      </c>
      <c r="C13" t="s">
        <v>55</v>
      </c>
      <c r="D13" t="s">
        <v>2567</v>
      </c>
      <c r="F13" t="s">
        <v>166</v>
      </c>
      <c r="G13" t="s">
        <v>2651</v>
      </c>
      <c r="H13" t="s">
        <v>2710</v>
      </c>
      <c r="I13">
        <v>1410</v>
      </c>
      <c r="J13">
        <v>11224</v>
      </c>
      <c r="K13" t="s">
        <v>423</v>
      </c>
      <c r="L13" t="s">
        <v>422</v>
      </c>
      <c r="M13" t="s">
        <v>2795</v>
      </c>
      <c r="N13" t="s">
        <v>434</v>
      </c>
      <c r="O13" t="s">
        <v>445</v>
      </c>
      <c r="Q13" t="s">
        <v>450</v>
      </c>
      <c r="S13" t="s">
        <v>451</v>
      </c>
      <c r="T13" t="s">
        <v>453</v>
      </c>
      <c r="W13">
        <v>1400</v>
      </c>
      <c r="X13" t="s">
        <v>458</v>
      </c>
      <c r="Y13" t="s">
        <v>1835</v>
      </c>
      <c r="AA13" t="s">
        <v>2840</v>
      </c>
      <c r="AB13" t="s">
        <v>2893</v>
      </c>
      <c r="AC13" t="s">
        <v>2904</v>
      </c>
      <c r="AD13">
        <v>24</v>
      </c>
      <c r="AE13" t="s">
        <v>621</v>
      </c>
      <c r="AF13" t="s">
        <v>626</v>
      </c>
      <c r="AG13">
        <v>20</v>
      </c>
      <c r="AH13">
        <v>1</v>
      </c>
      <c r="AI13">
        <v>1</v>
      </c>
      <c r="AJ13">
        <v>29.96</v>
      </c>
      <c r="AM13" t="s">
        <v>2436</v>
      </c>
      <c r="AN13">
        <v>4800</v>
      </c>
      <c r="AO13" t="s">
        <v>2959</v>
      </c>
      <c r="AT13">
        <v>73.3</v>
      </c>
      <c r="AU13" t="s">
        <v>800</v>
      </c>
      <c r="AV13" t="s">
        <v>661</v>
      </c>
    </row>
    <row r="14" spans="1:49">
      <c r="A14" s="1">
        <f>HYPERLINK("https://lsnyc.legalserver.org/matter/dynamic-profile/view/1836769","17-1836769")</f>
        <v>0</v>
      </c>
      <c r="B14" t="s">
        <v>2538</v>
      </c>
      <c r="C14" t="s">
        <v>54</v>
      </c>
      <c r="D14" t="s">
        <v>2568</v>
      </c>
      <c r="E14" t="s">
        <v>77</v>
      </c>
      <c r="F14" t="s">
        <v>202</v>
      </c>
      <c r="G14" t="s">
        <v>2652</v>
      </c>
      <c r="H14" t="s">
        <v>2711</v>
      </c>
      <c r="I14">
        <v>311</v>
      </c>
      <c r="J14">
        <v>11224</v>
      </c>
      <c r="K14" t="s">
        <v>423</v>
      </c>
      <c r="L14" t="s">
        <v>422</v>
      </c>
      <c r="M14" t="s">
        <v>2796</v>
      </c>
      <c r="N14" t="s">
        <v>437</v>
      </c>
      <c r="O14" t="s">
        <v>445</v>
      </c>
      <c r="P14" t="s">
        <v>2822</v>
      </c>
      <c r="Q14" t="s">
        <v>450</v>
      </c>
      <c r="R14" t="s">
        <v>423</v>
      </c>
      <c r="S14" t="s">
        <v>451</v>
      </c>
      <c r="T14" t="s">
        <v>453</v>
      </c>
      <c r="W14">
        <v>500</v>
      </c>
      <c r="X14" t="s">
        <v>458</v>
      </c>
      <c r="Y14" t="s">
        <v>459</v>
      </c>
      <c r="Z14" t="s">
        <v>475</v>
      </c>
      <c r="AA14" t="s">
        <v>2841</v>
      </c>
      <c r="AC14" t="s">
        <v>2905</v>
      </c>
      <c r="AD14">
        <v>12</v>
      </c>
      <c r="AE14" t="s">
        <v>622</v>
      </c>
      <c r="AF14" t="s">
        <v>625</v>
      </c>
      <c r="AG14">
        <v>3</v>
      </c>
      <c r="AH14">
        <v>1</v>
      </c>
      <c r="AI14">
        <v>0</v>
      </c>
      <c r="AJ14">
        <v>30.85</v>
      </c>
      <c r="AL14" t="s">
        <v>2957</v>
      </c>
      <c r="AM14" t="s">
        <v>629</v>
      </c>
      <c r="AN14">
        <v>3720</v>
      </c>
      <c r="AQ14" t="s">
        <v>2962</v>
      </c>
      <c r="AR14" t="s">
        <v>2964</v>
      </c>
      <c r="AS14" t="s">
        <v>2969</v>
      </c>
      <c r="AT14">
        <v>52.6</v>
      </c>
      <c r="AU14" t="s">
        <v>708</v>
      </c>
      <c r="AV14" t="s">
        <v>662</v>
      </c>
    </row>
    <row r="15" spans="1:49">
      <c r="A15" s="1">
        <f>HYPERLINK("https://lsnyc.legalserver.org/matter/dynamic-profile/view/1883165","18-1883165")</f>
        <v>0</v>
      </c>
      <c r="B15" t="s">
        <v>2538</v>
      </c>
      <c r="C15" t="s">
        <v>54</v>
      </c>
      <c r="D15" t="s">
        <v>97</v>
      </c>
      <c r="E15" t="s">
        <v>704</v>
      </c>
      <c r="F15" t="s">
        <v>2605</v>
      </c>
      <c r="G15" t="s">
        <v>2653</v>
      </c>
      <c r="H15" t="s">
        <v>2712</v>
      </c>
      <c r="I15" t="s">
        <v>2767</v>
      </c>
      <c r="J15">
        <v>11212</v>
      </c>
      <c r="K15" t="s">
        <v>423</v>
      </c>
      <c r="L15" t="s">
        <v>423</v>
      </c>
      <c r="M15" t="s">
        <v>435</v>
      </c>
      <c r="N15" t="s">
        <v>435</v>
      </c>
      <c r="O15" t="s">
        <v>443</v>
      </c>
      <c r="P15" t="s">
        <v>448</v>
      </c>
      <c r="Q15" t="s">
        <v>450</v>
      </c>
      <c r="R15" t="s">
        <v>423</v>
      </c>
      <c r="T15" t="s">
        <v>453</v>
      </c>
      <c r="W15">
        <v>1000</v>
      </c>
      <c r="X15" t="s">
        <v>458</v>
      </c>
      <c r="Z15" t="s">
        <v>473</v>
      </c>
      <c r="AA15" t="s">
        <v>1975</v>
      </c>
      <c r="AB15" t="s">
        <v>2894</v>
      </c>
      <c r="AC15" t="s">
        <v>2906</v>
      </c>
      <c r="AD15">
        <v>5</v>
      </c>
      <c r="AE15" t="s">
        <v>623</v>
      </c>
      <c r="AF15" t="s">
        <v>624</v>
      </c>
      <c r="AG15">
        <v>13</v>
      </c>
      <c r="AH15">
        <v>1</v>
      </c>
      <c r="AI15">
        <v>0</v>
      </c>
      <c r="AJ15">
        <v>35.58</v>
      </c>
      <c r="AM15" t="s">
        <v>629</v>
      </c>
      <c r="AN15">
        <v>4320</v>
      </c>
      <c r="AR15" t="s">
        <v>2965</v>
      </c>
      <c r="AS15" t="s">
        <v>2970</v>
      </c>
      <c r="AT15">
        <v>6.65</v>
      </c>
      <c r="AU15" t="s">
        <v>704</v>
      </c>
      <c r="AV15" t="s">
        <v>2514</v>
      </c>
    </row>
    <row r="16" spans="1:49">
      <c r="A16" s="1">
        <f>HYPERLINK("https://lsnyc.legalserver.org/matter/dynamic-profile/view/1880931","18-1880931")</f>
        <v>0</v>
      </c>
      <c r="B16" t="s">
        <v>2538</v>
      </c>
      <c r="C16" t="s">
        <v>54</v>
      </c>
      <c r="D16" t="s">
        <v>713</v>
      </c>
      <c r="E16" t="s">
        <v>704</v>
      </c>
      <c r="F16" t="s">
        <v>2606</v>
      </c>
      <c r="G16" t="s">
        <v>1102</v>
      </c>
      <c r="H16" t="s">
        <v>2713</v>
      </c>
      <c r="I16" t="s">
        <v>2768</v>
      </c>
      <c r="J16">
        <v>11213</v>
      </c>
      <c r="K16" t="s">
        <v>422</v>
      </c>
      <c r="L16" t="s">
        <v>422</v>
      </c>
      <c r="O16" t="s">
        <v>445</v>
      </c>
      <c r="P16" t="s">
        <v>449</v>
      </c>
      <c r="Q16" t="s">
        <v>450</v>
      </c>
      <c r="T16" t="s">
        <v>453</v>
      </c>
      <c r="W16">
        <v>0</v>
      </c>
      <c r="X16" t="s">
        <v>458</v>
      </c>
      <c r="Z16" t="s">
        <v>474</v>
      </c>
      <c r="AA16" t="s">
        <v>2842</v>
      </c>
      <c r="AC16" t="s">
        <v>2907</v>
      </c>
      <c r="AD16">
        <v>0</v>
      </c>
      <c r="AG16">
        <v>0</v>
      </c>
      <c r="AH16">
        <v>1</v>
      </c>
      <c r="AI16">
        <v>0</v>
      </c>
      <c r="AJ16">
        <v>40.05</v>
      </c>
      <c r="AM16" t="s">
        <v>629</v>
      </c>
      <c r="AN16">
        <v>4862</v>
      </c>
      <c r="AT16">
        <v>10</v>
      </c>
      <c r="AU16" t="s">
        <v>704</v>
      </c>
      <c r="AV16" t="s">
        <v>2984</v>
      </c>
    </row>
    <row r="17" spans="1:48">
      <c r="A17" s="1">
        <f>HYPERLINK("https://lsnyc.legalserver.org/matter/dynamic-profile/view/1887538","19-1887538")</f>
        <v>0</v>
      </c>
      <c r="B17" t="s">
        <v>2538</v>
      </c>
      <c r="C17" t="s">
        <v>55</v>
      </c>
      <c r="D17" t="s">
        <v>707</v>
      </c>
      <c r="F17" t="s">
        <v>2607</v>
      </c>
      <c r="G17" t="s">
        <v>2654</v>
      </c>
      <c r="H17" t="s">
        <v>2714</v>
      </c>
      <c r="I17" t="s">
        <v>2769</v>
      </c>
      <c r="J17">
        <v>11233</v>
      </c>
      <c r="K17" t="s">
        <v>422</v>
      </c>
      <c r="L17" t="s">
        <v>422</v>
      </c>
      <c r="N17" t="s">
        <v>434</v>
      </c>
      <c r="O17" t="s">
        <v>445</v>
      </c>
      <c r="Q17" t="s">
        <v>450</v>
      </c>
      <c r="R17" t="s">
        <v>423</v>
      </c>
      <c r="T17" t="s">
        <v>453</v>
      </c>
      <c r="W17">
        <v>1550</v>
      </c>
      <c r="X17" t="s">
        <v>458</v>
      </c>
      <c r="Y17" t="s">
        <v>467</v>
      </c>
      <c r="AA17" t="s">
        <v>2843</v>
      </c>
      <c r="AC17" t="s">
        <v>2908</v>
      </c>
      <c r="AD17">
        <v>0</v>
      </c>
      <c r="AG17">
        <v>9</v>
      </c>
      <c r="AH17">
        <v>2</v>
      </c>
      <c r="AI17">
        <v>0</v>
      </c>
      <c r="AJ17">
        <v>68.38</v>
      </c>
      <c r="AM17" t="s">
        <v>629</v>
      </c>
      <c r="AN17">
        <v>11256</v>
      </c>
      <c r="AT17">
        <v>6.75</v>
      </c>
      <c r="AU17" t="s">
        <v>2510</v>
      </c>
      <c r="AV17" t="s">
        <v>2984</v>
      </c>
    </row>
    <row r="18" spans="1:48">
      <c r="A18" s="1">
        <f>HYPERLINK("https://lsnyc.legalserver.org/matter/dynamic-profile/view/1878104","18-1878104")</f>
        <v>0</v>
      </c>
      <c r="B18" t="s">
        <v>2538</v>
      </c>
      <c r="C18" t="s">
        <v>55</v>
      </c>
      <c r="D18" t="s">
        <v>847</v>
      </c>
      <c r="F18" t="s">
        <v>1116</v>
      </c>
      <c r="G18" t="s">
        <v>2655</v>
      </c>
      <c r="H18" t="s">
        <v>2715</v>
      </c>
      <c r="I18" t="s">
        <v>1605</v>
      </c>
      <c r="J18">
        <v>11237</v>
      </c>
      <c r="K18" t="s">
        <v>422</v>
      </c>
      <c r="L18" t="s">
        <v>422</v>
      </c>
      <c r="O18" t="s">
        <v>445</v>
      </c>
      <c r="Q18" t="s">
        <v>450</v>
      </c>
      <c r="T18" t="s">
        <v>453</v>
      </c>
      <c r="W18">
        <v>0</v>
      </c>
      <c r="X18" t="s">
        <v>458</v>
      </c>
      <c r="AA18" t="s">
        <v>2844</v>
      </c>
      <c r="AC18" t="s">
        <v>2909</v>
      </c>
      <c r="AD18">
        <v>0</v>
      </c>
      <c r="AG18">
        <v>0</v>
      </c>
      <c r="AH18">
        <v>1</v>
      </c>
      <c r="AI18">
        <v>0</v>
      </c>
      <c r="AJ18">
        <v>72.65000000000001</v>
      </c>
      <c r="AM18" t="s">
        <v>629</v>
      </c>
      <c r="AN18">
        <v>8820</v>
      </c>
      <c r="AT18">
        <v>21.65</v>
      </c>
      <c r="AU18" t="s">
        <v>137</v>
      </c>
      <c r="AV18" t="s">
        <v>2984</v>
      </c>
    </row>
    <row r="19" spans="1:48">
      <c r="A19" s="1">
        <f>HYPERLINK("https://lsnyc.legalserver.org/matter/dynamic-profile/view/1880321","18-1880321")</f>
        <v>0</v>
      </c>
      <c r="B19" t="s">
        <v>2538</v>
      </c>
      <c r="C19" t="s">
        <v>55</v>
      </c>
      <c r="D19" t="s">
        <v>780</v>
      </c>
      <c r="F19" t="s">
        <v>925</v>
      </c>
      <c r="G19" t="s">
        <v>1219</v>
      </c>
      <c r="H19" t="s">
        <v>2716</v>
      </c>
      <c r="I19" t="s">
        <v>2770</v>
      </c>
      <c r="J19">
        <v>11208</v>
      </c>
      <c r="K19" t="s">
        <v>422</v>
      </c>
      <c r="L19" t="s">
        <v>422</v>
      </c>
      <c r="M19" t="s">
        <v>2797</v>
      </c>
      <c r="N19" t="s">
        <v>437</v>
      </c>
      <c r="O19" t="s">
        <v>445</v>
      </c>
      <c r="Q19" t="s">
        <v>450</v>
      </c>
      <c r="R19" t="s">
        <v>423</v>
      </c>
      <c r="T19" t="s">
        <v>453</v>
      </c>
      <c r="U19" t="s">
        <v>457</v>
      </c>
      <c r="W19">
        <v>0</v>
      </c>
      <c r="X19" t="s">
        <v>458</v>
      </c>
      <c r="Y19" t="s">
        <v>467</v>
      </c>
      <c r="AA19" t="s">
        <v>2845</v>
      </c>
      <c r="AC19" t="s">
        <v>2910</v>
      </c>
      <c r="AD19">
        <v>294</v>
      </c>
      <c r="AE19" t="s">
        <v>2423</v>
      </c>
      <c r="AF19" t="s">
        <v>624</v>
      </c>
      <c r="AG19">
        <v>5</v>
      </c>
      <c r="AH19">
        <v>1</v>
      </c>
      <c r="AI19">
        <v>0</v>
      </c>
      <c r="AJ19">
        <v>84.70999999999999</v>
      </c>
      <c r="AM19" t="s">
        <v>629</v>
      </c>
      <c r="AN19">
        <v>10284</v>
      </c>
      <c r="AT19">
        <v>17.8</v>
      </c>
      <c r="AU19" t="s">
        <v>134</v>
      </c>
      <c r="AV19" t="s">
        <v>664</v>
      </c>
    </row>
    <row r="20" spans="1:48">
      <c r="A20" s="1">
        <f>HYPERLINK("https://lsnyc.legalserver.org/matter/dynamic-profile/view/1871781","18-1871781")</f>
        <v>0</v>
      </c>
      <c r="B20" t="s">
        <v>2538</v>
      </c>
      <c r="C20" t="s">
        <v>54</v>
      </c>
      <c r="D20" t="s">
        <v>2496</v>
      </c>
      <c r="E20" t="s">
        <v>2595</v>
      </c>
      <c r="F20" t="s">
        <v>180</v>
      </c>
      <c r="G20" t="s">
        <v>2656</v>
      </c>
      <c r="H20" t="s">
        <v>2717</v>
      </c>
      <c r="I20" t="s">
        <v>2771</v>
      </c>
      <c r="J20">
        <v>11213</v>
      </c>
      <c r="K20" t="s">
        <v>422</v>
      </c>
      <c r="L20" t="s">
        <v>422</v>
      </c>
      <c r="O20" t="s">
        <v>445</v>
      </c>
      <c r="P20" t="s">
        <v>1827</v>
      </c>
      <c r="Q20" t="s">
        <v>450</v>
      </c>
      <c r="T20" t="s">
        <v>453</v>
      </c>
      <c r="W20">
        <v>0</v>
      </c>
      <c r="X20" t="s">
        <v>458</v>
      </c>
      <c r="Z20" t="s">
        <v>475</v>
      </c>
      <c r="AA20" t="s">
        <v>2846</v>
      </c>
      <c r="AC20" t="s">
        <v>2911</v>
      </c>
      <c r="AD20">
        <v>0</v>
      </c>
      <c r="AG20">
        <v>0</v>
      </c>
      <c r="AH20">
        <v>1</v>
      </c>
      <c r="AI20">
        <v>0</v>
      </c>
      <c r="AJ20">
        <v>98.84999999999999</v>
      </c>
      <c r="AM20" t="s">
        <v>630</v>
      </c>
      <c r="AN20">
        <v>12000</v>
      </c>
      <c r="AT20">
        <v>19.25</v>
      </c>
      <c r="AU20" t="s">
        <v>2595</v>
      </c>
      <c r="AV20" t="s">
        <v>2984</v>
      </c>
    </row>
    <row r="21" spans="1:48">
      <c r="A21" s="1">
        <f>HYPERLINK("https://lsnyc.legalserver.org/matter/dynamic-profile/view/1899796","19-1899796")</f>
        <v>0</v>
      </c>
      <c r="B21" t="s">
        <v>2538</v>
      </c>
      <c r="C21" t="s">
        <v>55</v>
      </c>
      <c r="D21" t="s">
        <v>127</v>
      </c>
      <c r="F21" t="s">
        <v>918</v>
      </c>
      <c r="G21" t="s">
        <v>2657</v>
      </c>
      <c r="H21" t="s">
        <v>2718</v>
      </c>
      <c r="I21" t="s">
        <v>393</v>
      </c>
      <c r="J21">
        <v>11212</v>
      </c>
      <c r="K21" t="s">
        <v>422</v>
      </c>
      <c r="L21" t="s">
        <v>422</v>
      </c>
      <c r="M21" t="s">
        <v>2798</v>
      </c>
      <c r="N21" t="s">
        <v>437</v>
      </c>
      <c r="Q21" t="s">
        <v>450</v>
      </c>
      <c r="T21" t="s">
        <v>453</v>
      </c>
      <c r="W21">
        <v>1025</v>
      </c>
      <c r="X21" t="s">
        <v>458</v>
      </c>
      <c r="Y21" t="s">
        <v>460</v>
      </c>
      <c r="AA21" t="s">
        <v>2847</v>
      </c>
      <c r="AC21" t="s">
        <v>2912</v>
      </c>
      <c r="AD21">
        <v>0</v>
      </c>
      <c r="AE21" t="s">
        <v>622</v>
      </c>
      <c r="AF21" t="s">
        <v>624</v>
      </c>
      <c r="AG21">
        <v>6</v>
      </c>
      <c r="AH21">
        <v>1</v>
      </c>
      <c r="AI21">
        <v>0</v>
      </c>
      <c r="AJ21">
        <v>99.92</v>
      </c>
      <c r="AM21" t="s">
        <v>629</v>
      </c>
      <c r="AN21">
        <v>12480</v>
      </c>
      <c r="AT21">
        <v>2.05</v>
      </c>
      <c r="AU21" t="s">
        <v>777</v>
      </c>
      <c r="AV21" t="s">
        <v>664</v>
      </c>
    </row>
    <row r="22" spans="1:48">
      <c r="A22" s="1">
        <f>HYPERLINK("https://lsnyc.legalserver.org/matter/dynamic-profile/view/0803837","16-0803837")</f>
        <v>0</v>
      </c>
      <c r="B22" t="s">
        <v>2538</v>
      </c>
      <c r="C22" t="s">
        <v>54</v>
      </c>
      <c r="D22" t="s">
        <v>2569</v>
      </c>
      <c r="E22" t="s">
        <v>2596</v>
      </c>
      <c r="F22" t="s">
        <v>2608</v>
      </c>
      <c r="G22" t="s">
        <v>2658</v>
      </c>
      <c r="H22" t="s">
        <v>2719</v>
      </c>
      <c r="I22" t="s">
        <v>2772</v>
      </c>
      <c r="J22">
        <v>11239</v>
      </c>
      <c r="K22" t="s">
        <v>424</v>
      </c>
      <c r="L22" t="s">
        <v>422</v>
      </c>
      <c r="M22" t="s">
        <v>2799</v>
      </c>
      <c r="N22" t="s">
        <v>437</v>
      </c>
      <c r="O22" t="s">
        <v>445</v>
      </c>
      <c r="P22" t="s">
        <v>1827</v>
      </c>
      <c r="Q22" t="s">
        <v>450</v>
      </c>
      <c r="S22" t="s">
        <v>451</v>
      </c>
      <c r="T22" t="s">
        <v>453</v>
      </c>
      <c r="W22">
        <v>260</v>
      </c>
      <c r="X22" t="s">
        <v>458</v>
      </c>
      <c r="Y22" t="s">
        <v>1837</v>
      </c>
      <c r="Z22" t="s">
        <v>475</v>
      </c>
      <c r="AA22" t="s">
        <v>2848</v>
      </c>
      <c r="AC22" t="s">
        <v>2913</v>
      </c>
      <c r="AD22">
        <v>136</v>
      </c>
      <c r="AF22" t="s">
        <v>626</v>
      </c>
      <c r="AG22">
        <v>27</v>
      </c>
      <c r="AH22">
        <v>1</v>
      </c>
      <c r="AI22">
        <v>0</v>
      </c>
      <c r="AJ22">
        <v>169.61</v>
      </c>
      <c r="AM22" t="s">
        <v>629</v>
      </c>
      <c r="AN22">
        <v>20150</v>
      </c>
      <c r="AQ22" t="s">
        <v>2962</v>
      </c>
      <c r="AR22" t="s">
        <v>2964</v>
      </c>
      <c r="AS22" t="s">
        <v>2971</v>
      </c>
      <c r="AT22">
        <v>70.8</v>
      </c>
      <c r="AU22" t="s">
        <v>106</v>
      </c>
      <c r="AV22" t="s">
        <v>2522</v>
      </c>
    </row>
    <row r="23" spans="1:48">
      <c r="A23" s="1">
        <f>HYPERLINK("https://lsnyc.legalserver.org/matter/dynamic-profile/view/1879386","18-1879386")</f>
        <v>0</v>
      </c>
      <c r="B23" t="s">
        <v>2538</v>
      </c>
      <c r="C23" t="s">
        <v>54</v>
      </c>
      <c r="D23" t="s">
        <v>2570</v>
      </c>
      <c r="E23" t="s">
        <v>653</v>
      </c>
      <c r="F23" t="s">
        <v>151</v>
      </c>
      <c r="G23" t="s">
        <v>2659</v>
      </c>
      <c r="H23" t="s">
        <v>2720</v>
      </c>
      <c r="I23">
        <v>3</v>
      </c>
      <c r="J23">
        <v>11233</v>
      </c>
      <c r="K23" t="s">
        <v>422</v>
      </c>
      <c r="L23" t="s">
        <v>422</v>
      </c>
      <c r="O23" t="s">
        <v>445</v>
      </c>
      <c r="P23" t="s">
        <v>2821</v>
      </c>
      <c r="Q23" t="s">
        <v>450</v>
      </c>
      <c r="T23" t="s">
        <v>453</v>
      </c>
      <c r="W23">
        <v>2650</v>
      </c>
      <c r="X23" t="s">
        <v>458</v>
      </c>
      <c r="Y23" t="s">
        <v>460</v>
      </c>
      <c r="Z23" t="s">
        <v>1842</v>
      </c>
      <c r="AA23" t="s">
        <v>2849</v>
      </c>
      <c r="AC23" t="s">
        <v>2914</v>
      </c>
      <c r="AD23">
        <v>8</v>
      </c>
      <c r="AG23">
        <v>1</v>
      </c>
      <c r="AH23">
        <v>1</v>
      </c>
      <c r="AI23">
        <v>0</v>
      </c>
      <c r="AJ23">
        <v>202.17</v>
      </c>
      <c r="AM23" t="s">
        <v>629</v>
      </c>
      <c r="AN23">
        <v>24544</v>
      </c>
      <c r="AP23" t="s">
        <v>2960</v>
      </c>
      <c r="AQ23" t="s">
        <v>2963</v>
      </c>
      <c r="AR23" t="s">
        <v>2966</v>
      </c>
      <c r="AS23" t="s">
        <v>2972</v>
      </c>
      <c r="AT23">
        <v>12.95</v>
      </c>
      <c r="AU23" t="s">
        <v>653</v>
      </c>
      <c r="AV23" t="s">
        <v>2984</v>
      </c>
    </row>
    <row r="24" spans="1:48">
      <c r="A24" s="1">
        <f>HYPERLINK("https://lsnyc.legalserver.org/matter/dynamic-profile/view/0781269","15-0781269")</f>
        <v>0</v>
      </c>
      <c r="B24" t="s">
        <v>2539</v>
      </c>
      <c r="C24" t="s">
        <v>55</v>
      </c>
      <c r="D24" t="s">
        <v>2571</v>
      </c>
      <c r="F24" t="s">
        <v>2609</v>
      </c>
      <c r="G24" t="s">
        <v>2660</v>
      </c>
      <c r="H24" t="s">
        <v>2721</v>
      </c>
      <c r="I24" t="s">
        <v>393</v>
      </c>
      <c r="J24">
        <v>11216</v>
      </c>
      <c r="K24" t="s">
        <v>424</v>
      </c>
      <c r="L24" t="s">
        <v>422</v>
      </c>
      <c r="M24" t="s">
        <v>2800</v>
      </c>
      <c r="N24" t="s">
        <v>434</v>
      </c>
      <c r="O24" t="s">
        <v>445</v>
      </c>
      <c r="Q24" t="s">
        <v>450</v>
      </c>
      <c r="S24" t="s">
        <v>451</v>
      </c>
      <c r="T24" t="s">
        <v>453</v>
      </c>
      <c r="W24">
        <v>1244</v>
      </c>
      <c r="X24" t="s">
        <v>458</v>
      </c>
      <c r="Y24" t="s">
        <v>469</v>
      </c>
      <c r="AA24" t="s">
        <v>2850</v>
      </c>
      <c r="AC24" t="s">
        <v>2915</v>
      </c>
      <c r="AD24">
        <v>0</v>
      </c>
      <c r="AE24" t="s">
        <v>622</v>
      </c>
      <c r="AG24">
        <v>14</v>
      </c>
      <c r="AH24">
        <v>1</v>
      </c>
      <c r="AI24">
        <v>2</v>
      </c>
      <c r="AJ24">
        <v>137.7</v>
      </c>
      <c r="AM24" t="s">
        <v>629</v>
      </c>
      <c r="AN24">
        <v>27664</v>
      </c>
      <c r="AT24">
        <v>172</v>
      </c>
      <c r="AU24" t="s">
        <v>2980</v>
      </c>
      <c r="AV24" t="s">
        <v>2539</v>
      </c>
    </row>
    <row r="25" spans="1:48">
      <c r="A25" s="1">
        <f>HYPERLINK("https://lsnyc.legalserver.org/matter/dynamic-profile/view/1870497","18-1870497")</f>
        <v>0</v>
      </c>
      <c r="B25" t="s">
        <v>2540</v>
      </c>
      <c r="C25" t="s">
        <v>55</v>
      </c>
      <c r="D25" t="s">
        <v>655</v>
      </c>
      <c r="F25" t="s">
        <v>2610</v>
      </c>
      <c r="G25" t="s">
        <v>2661</v>
      </c>
      <c r="H25" t="s">
        <v>2722</v>
      </c>
      <c r="I25" t="s">
        <v>2773</v>
      </c>
      <c r="J25">
        <v>11208</v>
      </c>
      <c r="K25" t="s">
        <v>422</v>
      </c>
      <c r="L25" t="s">
        <v>422</v>
      </c>
      <c r="M25" t="s">
        <v>2801</v>
      </c>
      <c r="N25" t="s">
        <v>436</v>
      </c>
      <c r="Q25" t="s">
        <v>450</v>
      </c>
      <c r="T25" t="s">
        <v>453</v>
      </c>
      <c r="W25">
        <v>800</v>
      </c>
      <c r="X25" t="s">
        <v>458</v>
      </c>
      <c r="AA25" t="s">
        <v>1945</v>
      </c>
      <c r="AC25" t="s">
        <v>2916</v>
      </c>
      <c r="AD25">
        <v>8</v>
      </c>
      <c r="AE25" t="s">
        <v>622</v>
      </c>
      <c r="AF25" t="s">
        <v>2427</v>
      </c>
      <c r="AG25">
        <v>0</v>
      </c>
      <c r="AH25">
        <v>1</v>
      </c>
      <c r="AI25">
        <v>0</v>
      </c>
      <c r="AJ25">
        <v>0</v>
      </c>
      <c r="AM25" t="s">
        <v>629</v>
      </c>
      <c r="AN25">
        <v>0</v>
      </c>
      <c r="AT25">
        <v>19.6</v>
      </c>
      <c r="AU25" t="s">
        <v>719</v>
      </c>
      <c r="AV25" t="s">
        <v>2522</v>
      </c>
    </row>
    <row r="26" spans="1:48">
      <c r="A26" s="1">
        <f>HYPERLINK("https://lsnyc.legalserver.org/matter/dynamic-profile/view/1870507","18-1870507")</f>
        <v>0</v>
      </c>
      <c r="B26" t="s">
        <v>2540</v>
      </c>
      <c r="C26" t="s">
        <v>55</v>
      </c>
      <c r="D26" t="s">
        <v>655</v>
      </c>
      <c r="F26" t="s">
        <v>2611</v>
      </c>
      <c r="G26" t="s">
        <v>272</v>
      </c>
      <c r="H26" t="s">
        <v>2722</v>
      </c>
      <c r="I26" t="s">
        <v>2774</v>
      </c>
      <c r="J26">
        <v>11208</v>
      </c>
      <c r="K26" t="s">
        <v>422</v>
      </c>
      <c r="L26" t="s">
        <v>422</v>
      </c>
      <c r="M26" t="s">
        <v>2801</v>
      </c>
      <c r="N26" t="s">
        <v>436</v>
      </c>
      <c r="Q26" t="s">
        <v>450</v>
      </c>
      <c r="T26" t="s">
        <v>453</v>
      </c>
      <c r="W26">
        <v>700</v>
      </c>
      <c r="X26" t="s">
        <v>458</v>
      </c>
      <c r="AA26" t="s">
        <v>2851</v>
      </c>
      <c r="AC26" t="s">
        <v>2917</v>
      </c>
      <c r="AD26">
        <v>0</v>
      </c>
      <c r="AF26" t="s">
        <v>459</v>
      </c>
      <c r="AG26">
        <v>2</v>
      </c>
      <c r="AH26">
        <v>1</v>
      </c>
      <c r="AI26">
        <v>0</v>
      </c>
      <c r="AJ26">
        <v>0</v>
      </c>
      <c r="AM26" t="s">
        <v>629</v>
      </c>
      <c r="AN26">
        <v>0</v>
      </c>
      <c r="AT26">
        <v>14.9</v>
      </c>
      <c r="AU26" t="s">
        <v>799</v>
      </c>
      <c r="AV26" t="s">
        <v>2522</v>
      </c>
    </row>
    <row r="27" spans="1:48">
      <c r="A27" s="1">
        <f>HYPERLINK("https://lsnyc.legalserver.org/matter/dynamic-profile/view/1870491","18-1870491")</f>
        <v>0</v>
      </c>
      <c r="B27" t="s">
        <v>2540</v>
      </c>
      <c r="C27" t="s">
        <v>55</v>
      </c>
      <c r="D27" t="s">
        <v>655</v>
      </c>
      <c r="F27" t="s">
        <v>2612</v>
      </c>
      <c r="G27" t="s">
        <v>2662</v>
      </c>
      <c r="H27" t="s">
        <v>2722</v>
      </c>
      <c r="I27" t="s">
        <v>1588</v>
      </c>
      <c r="J27">
        <v>11208</v>
      </c>
      <c r="K27" t="s">
        <v>422</v>
      </c>
      <c r="L27" t="s">
        <v>422</v>
      </c>
      <c r="M27" t="s">
        <v>2801</v>
      </c>
      <c r="N27" t="s">
        <v>436</v>
      </c>
      <c r="Q27" t="s">
        <v>450</v>
      </c>
      <c r="T27" t="s">
        <v>453</v>
      </c>
      <c r="W27">
        <v>800</v>
      </c>
      <c r="X27" t="s">
        <v>458</v>
      </c>
      <c r="AA27" t="s">
        <v>2852</v>
      </c>
      <c r="AC27" t="s">
        <v>2918</v>
      </c>
      <c r="AD27">
        <v>11</v>
      </c>
      <c r="AE27" t="s">
        <v>623</v>
      </c>
      <c r="AG27">
        <v>2</v>
      </c>
      <c r="AH27">
        <v>1</v>
      </c>
      <c r="AI27">
        <v>1</v>
      </c>
      <c r="AJ27">
        <v>76.48</v>
      </c>
      <c r="AM27" t="s">
        <v>629</v>
      </c>
      <c r="AN27">
        <v>12588</v>
      </c>
      <c r="AT27">
        <v>33.4</v>
      </c>
      <c r="AU27" t="s">
        <v>137</v>
      </c>
      <c r="AV27" t="s">
        <v>2522</v>
      </c>
    </row>
    <row r="28" spans="1:48">
      <c r="A28" s="1">
        <f>HYPERLINK("https://lsnyc.legalserver.org/matter/dynamic-profile/view/1885535","18-1885535")</f>
        <v>0</v>
      </c>
      <c r="B28" t="s">
        <v>2540</v>
      </c>
      <c r="C28" t="s">
        <v>54</v>
      </c>
      <c r="D28" t="s">
        <v>785</v>
      </c>
      <c r="E28" t="s">
        <v>62</v>
      </c>
      <c r="F28" t="s">
        <v>204</v>
      </c>
      <c r="G28" t="s">
        <v>2663</v>
      </c>
      <c r="H28" t="s">
        <v>2723</v>
      </c>
      <c r="I28" t="s">
        <v>1610</v>
      </c>
      <c r="J28">
        <v>11235</v>
      </c>
      <c r="K28" t="s">
        <v>422</v>
      </c>
      <c r="L28" t="s">
        <v>422</v>
      </c>
      <c r="O28" t="s">
        <v>444</v>
      </c>
      <c r="P28" t="s">
        <v>447</v>
      </c>
      <c r="Q28" t="s">
        <v>450</v>
      </c>
      <c r="T28" t="s">
        <v>453</v>
      </c>
      <c r="W28">
        <v>1330</v>
      </c>
      <c r="X28" t="s">
        <v>458</v>
      </c>
      <c r="Z28" t="s">
        <v>1842</v>
      </c>
      <c r="AA28" t="s">
        <v>2853</v>
      </c>
      <c r="AC28" t="s">
        <v>2919</v>
      </c>
      <c r="AD28">
        <v>3</v>
      </c>
      <c r="AF28" t="s">
        <v>625</v>
      </c>
      <c r="AG28">
        <v>5</v>
      </c>
      <c r="AH28">
        <v>1</v>
      </c>
      <c r="AI28">
        <v>0</v>
      </c>
      <c r="AJ28">
        <v>290.12</v>
      </c>
      <c r="AM28" t="s">
        <v>629</v>
      </c>
      <c r="AN28">
        <v>35220</v>
      </c>
      <c r="AT28">
        <v>1.8</v>
      </c>
      <c r="AU28" t="s">
        <v>130</v>
      </c>
      <c r="AV28" t="s">
        <v>663</v>
      </c>
    </row>
    <row r="29" spans="1:48">
      <c r="A29" s="1">
        <f>HYPERLINK("https://lsnyc.legalserver.org/matter/dynamic-profile/view/0826586","17-0826586")</f>
        <v>0</v>
      </c>
      <c r="B29" t="s">
        <v>2541</v>
      </c>
      <c r="C29" t="s">
        <v>55</v>
      </c>
      <c r="D29" t="s">
        <v>2572</v>
      </c>
      <c r="F29" t="s">
        <v>2613</v>
      </c>
      <c r="G29" t="s">
        <v>2664</v>
      </c>
      <c r="H29" t="s">
        <v>2724</v>
      </c>
      <c r="I29" t="s">
        <v>384</v>
      </c>
      <c r="J29">
        <v>11216</v>
      </c>
      <c r="K29" t="s">
        <v>423</v>
      </c>
      <c r="L29" t="s">
        <v>422</v>
      </c>
      <c r="N29" t="s">
        <v>437</v>
      </c>
      <c r="O29" t="s">
        <v>445</v>
      </c>
      <c r="Q29" t="s">
        <v>450</v>
      </c>
      <c r="S29" t="s">
        <v>451</v>
      </c>
      <c r="T29" t="s">
        <v>453</v>
      </c>
      <c r="W29">
        <v>1106</v>
      </c>
      <c r="X29" t="s">
        <v>458</v>
      </c>
      <c r="Y29" t="s">
        <v>467</v>
      </c>
      <c r="AA29" t="s">
        <v>2854</v>
      </c>
      <c r="AC29" t="s">
        <v>2920</v>
      </c>
      <c r="AD29">
        <v>25</v>
      </c>
      <c r="AE29" t="s">
        <v>622</v>
      </c>
      <c r="AF29" t="s">
        <v>626</v>
      </c>
      <c r="AG29">
        <v>17</v>
      </c>
      <c r="AH29">
        <v>2</v>
      </c>
      <c r="AI29">
        <v>0</v>
      </c>
      <c r="AJ29">
        <v>128.08</v>
      </c>
      <c r="AM29" t="s">
        <v>629</v>
      </c>
      <c r="AN29">
        <v>20800</v>
      </c>
      <c r="AT29">
        <v>129.6</v>
      </c>
      <c r="AU29" t="s">
        <v>2979</v>
      </c>
      <c r="AV29" t="s">
        <v>2987</v>
      </c>
    </row>
    <row r="30" spans="1:48">
      <c r="A30" s="1">
        <f>HYPERLINK("https://lsnyc.legalserver.org/matter/dynamic-profile/view/1876097","18-1876097")</f>
        <v>0</v>
      </c>
      <c r="B30" t="s">
        <v>2541</v>
      </c>
      <c r="C30" t="s">
        <v>55</v>
      </c>
      <c r="D30" t="s">
        <v>2573</v>
      </c>
      <c r="F30" t="s">
        <v>897</v>
      </c>
      <c r="G30" t="s">
        <v>2665</v>
      </c>
      <c r="H30" t="s">
        <v>2725</v>
      </c>
      <c r="I30" t="s">
        <v>1632</v>
      </c>
      <c r="J30">
        <v>11230</v>
      </c>
      <c r="K30" t="s">
        <v>422</v>
      </c>
      <c r="L30" t="s">
        <v>422</v>
      </c>
      <c r="M30" t="s">
        <v>2802</v>
      </c>
      <c r="N30" t="s">
        <v>434</v>
      </c>
      <c r="O30" t="s">
        <v>445</v>
      </c>
      <c r="Q30" t="s">
        <v>450</v>
      </c>
      <c r="R30" t="s">
        <v>423</v>
      </c>
      <c r="T30" t="s">
        <v>453</v>
      </c>
      <c r="W30">
        <v>1050</v>
      </c>
      <c r="X30" t="s">
        <v>458</v>
      </c>
      <c r="Y30" t="s">
        <v>467</v>
      </c>
      <c r="AA30" t="s">
        <v>2855</v>
      </c>
      <c r="AC30" t="s">
        <v>2921</v>
      </c>
      <c r="AD30">
        <v>0</v>
      </c>
      <c r="AE30" t="s">
        <v>622</v>
      </c>
      <c r="AG30">
        <v>5</v>
      </c>
      <c r="AH30">
        <v>1</v>
      </c>
      <c r="AI30">
        <v>1</v>
      </c>
      <c r="AJ30">
        <v>145.81</v>
      </c>
      <c r="AM30" t="s">
        <v>629</v>
      </c>
      <c r="AN30">
        <v>24000</v>
      </c>
      <c r="AT30">
        <v>25.6</v>
      </c>
      <c r="AU30" t="s">
        <v>776</v>
      </c>
      <c r="AV30" t="s">
        <v>2541</v>
      </c>
    </row>
    <row r="31" spans="1:48">
      <c r="A31" s="1">
        <f>HYPERLINK("https://lsnyc.legalserver.org/matter/dynamic-profile/view/1869446","18-1869446")</f>
        <v>0</v>
      </c>
      <c r="B31" t="s">
        <v>2542</v>
      </c>
      <c r="C31" t="s">
        <v>54</v>
      </c>
      <c r="D31" t="s">
        <v>2574</v>
      </c>
      <c r="E31" t="s">
        <v>2509</v>
      </c>
      <c r="F31" t="s">
        <v>2614</v>
      </c>
      <c r="G31" t="s">
        <v>2666</v>
      </c>
      <c r="H31" t="s">
        <v>2726</v>
      </c>
      <c r="I31" t="s">
        <v>2775</v>
      </c>
      <c r="J31">
        <v>11212</v>
      </c>
      <c r="K31" t="s">
        <v>424</v>
      </c>
      <c r="L31" t="s">
        <v>424</v>
      </c>
      <c r="M31" t="s">
        <v>2803</v>
      </c>
      <c r="N31" t="s">
        <v>437</v>
      </c>
      <c r="P31" t="s">
        <v>1827</v>
      </c>
      <c r="Q31" t="s">
        <v>450</v>
      </c>
      <c r="T31" t="s">
        <v>453</v>
      </c>
      <c r="W31">
        <v>1215</v>
      </c>
      <c r="X31" t="s">
        <v>458</v>
      </c>
      <c r="Y31" t="s">
        <v>462</v>
      </c>
      <c r="Z31" t="s">
        <v>475</v>
      </c>
      <c r="AA31" t="s">
        <v>2856</v>
      </c>
      <c r="AC31" t="s">
        <v>2922</v>
      </c>
      <c r="AD31">
        <v>30</v>
      </c>
      <c r="AE31" t="s">
        <v>622</v>
      </c>
      <c r="AF31" t="s">
        <v>625</v>
      </c>
      <c r="AG31">
        <v>2</v>
      </c>
      <c r="AH31">
        <v>3</v>
      </c>
      <c r="AI31">
        <v>2</v>
      </c>
      <c r="AJ31">
        <v>127.26</v>
      </c>
      <c r="AM31" t="s">
        <v>629</v>
      </c>
      <c r="AN31">
        <v>37440</v>
      </c>
      <c r="AQ31" t="s">
        <v>2962</v>
      </c>
      <c r="AR31" t="s">
        <v>2964</v>
      </c>
      <c r="AS31" t="s">
        <v>2973</v>
      </c>
      <c r="AT31">
        <v>10.3</v>
      </c>
      <c r="AU31" t="s">
        <v>809</v>
      </c>
      <c r="AV31" t="s">
        <v>668</v>
      </c>
    </row>
    <row r="32" spans="1:48">
      <c r="A32" s="1">
        <f>HYPERLINK("https://lsnyc.legalserver.org/matter/dynamic-profile/view/1876048","18-1876048")</f>
        <v>0</v>
      </c>
      <c r="B32" t="s">
        <v>2543</v>
      </c>
      <c r="C32" t="s">
        <v>55</v>
      </c>
      <c r="D32" t="s">
        <v>2573</v>
      </c>
      <c r="F32" t="s">
        <v>211</v>
      </c>
      <c r="G32" t="s">
        <v>1219</v>
      </c>
      <c r="H32" t="s">
        <v>2727</v>
      </c>
      <c r="J32">
        <v>11224</v>
      </c>
      <c r="K32" t="s">
        <v>422</v>
      </c>
      <c r="L32" t="s">
        <v>422</v>
      </c>
      <c r="M32" t="s">
        <v>2804</v>
      </c>
      <c r="N32" t="s">
        <v>434</v>
      </c>
      <c r="O32" t="s">
        <v>445</v>
      </c>
      <c r="Q32" t="s">
        <v>450</v>
      </c>
      <c r="T32" t="s">
        <v>453</v>
      </c>
      <c r="W32">
        <v>2135</v>
      </c>
      <c r="X32" t="s">
        <v>458</v>
      </c>
      <c r="Y32" t="s">
        <v>465</v>
      </c>
      <c r="AA32" t="s">
        <v>2857</v>
      </c>
      <c r="AD32">
        <v>0</v>
      </c>
      <c r="AF32" t="s">
        <v>626</v>
      </c>
      <c r="AG32">
        <v>30</v>
      </c>
      <c r="AH32">
        <v>3</v>
      </c>
      <c r="AI32">
        <v>0</v>
      </c>
      <c r="AJ32">
        <v>46.87</v>
      </c>
      <c r="AM32" t="s">
        <v>629</v>
      </c>
      <c r="AN32">
        <v>9740.4</v>
      </c>
      <c r="AT32">
        <v>39.8</v>
      </c>
      <c r="AU32" t="s">
        <v>137</v>
      </c>
      <c r="AV32" t="s">
        <v>2523</v>
      </c>
    </row>
    <row r="33" spans="1:48">
      <c r="A33" s="1">
        <f>HYPERLINK("https://lsnyc.legalserver.org/matter/dynamic-profile/view/1899921","19-1899921")</f>
        <v>0</v>
      </c>
      <c r="B33" t="s">
        <v>2543</v>
      </c>
      <c r="C33" t="s">
        <v>55</v>
      </c>
      <c r="D33" t="s">
        <v>127</v>
      </c>
      <c r="F33" t="s">
        <v>2615</v>
      </c>
      <c r="G33" t="s">
        <v>2667</v>
      </c>
      <c r="H33" t="s">
        <v>2728</v>
      </c>
      <c r="I33" t="s">
        <v>394</v>
      </c>
      <c r="J33">
        <v>11226</v>
      </c>
      <c r="K33" t="s">
        <v>422</v>
      </c>
      <c r="L33" t="s">
        <v>422</v>
      </c>
      <c r="M33" t="s">
        <v>2805</v>
      </c>
      <c r="N33" t="s">
        <v>437</v>
      </c>
      <c r="Q33" t="s">
        <v>450</v>
      </c>
      <c r="R33" t="s">
        <v>424</v>
      </c>
      <c r="T33" t="s">
        <v>453</v>
      </c>
      <c r="W33">
        <v>771.66</v>
      </c>
      <c r="X33" t="s">
        <v>458</v>
      </c>
      <c r="Y33" t="s">
        <v>467</v>
      </c>
      <c r="AA33" t="s">
        <v>2858</v>
      </c>
      <c r="AB33">
        <v>35037572</v>
      </c>
      <c r="AC33" t="s">
        <v>2923</v>
      </c>
      <c r="AD33">
        <v>16</v>
      </c>
      <c r="AE33" t="s">
        <v>622</v>
      </c>
      <c r="AG33">
        <v>36</v>
      </c>
      <c r="AH33">
        <v>4</v>
      </c>
      <c r="AI33">
        <v>1</v>
      </c>
      <c r="AJ33">
        <v>76.23</v>
      </c>
      <c r="AM33" t="s">
        <v>629</v>
      </c>
      <c r="AN33">
        <v>23000</v>
      </c>
      <c r="AT33">
        <v>5.35</v>
      </c>
      <c r="AU33" t="s">
        <v>653</v>
      </c>
      <c r="AV33" t="s">
        <v>2988</v>
      </c>
    </row>
    <row r="34" spans="1:48">
      <c r="A34" s="1">
        <f>HYPERLINK("https://lsnyc.legalserver.org/matter/dynamic-profile/view/1867834","18-1867834")</f>
        <v>0</v>
      </c>
      <c r="B34" t="s">
        <v>2544</v>
      </c>
      <c r="C34" t="s">
        <v>54</v>
      </c>
      <c r="D34" t="s">
        <v>2575</v>
      </c>
      <c r="E34" t="s">
        <v>2597</v>
      </c>
      <c r="F34" t="s">
        <v>2616</v>
      </c>
      <c r="G34" t="s">
        <v>2668</v>
      </c>
      <c r="H34" t="s">
        <v>2729</v>
      </c>
      <c r="I34">
        <v>3</v>
      </c>
      <c r="J34">
        <v>11212</v>
      </c>
      <c r="K34" t="s">
        <v>423</v>
      </c>
      <c r="L34" t="s">
        <v>422</v>
      </c>
      <c r="P34" t="s">
        <v>447</v>
      </c>
      <c r="Q34" t="s">
        <v>450</v>
      </c>
      <c r="T34" t="s">
        <v>453</v>
      </c>
      <c r="W34">
        <v>0</v>
      </c>
      <c r="X34" t="s">
        <v>458</v>
      </c>
      <c r="Z34" t="s">
        <v>470</v>
      </c>
      <c r="AA34" t="s">
        <v>2859</v>
      </c>
      <c r="AC34" t="s">
        <v>2924</v>
      </c>
      <c r="AD34">
        <v>0</v>
      </c>
      <c r="AG34">
        <v>0</v>
      </c>
      <c r="AH34">
        <v>1</v>
      </c>
      <c r="AI34">
        <v>0</v>
      </c>
      <c r="AJ34">
        <v>79.08</v>
      </c>
      <c r="AM34" t="s">
        <v>629</v>
      </c>
      <c r="AN34">
        <v>9600</v>
      </c>
      <c r="AT34">
        <v>0.25</v>
      </c>
      <c r="AU34" t="s">
        <v>2575</v>
      </c>
      <c r="AV34" t="s">
        <v>2544</v>
      </c>
    </row>
    <row r="35" spans="1:48">
      <c r="A35" s="1">
        <f>HYPERLINK("https://lsnyc.legalserver.org/matter/dynamic-profile/view/1878389","18-1878389")</f>
        <v>0</v>
      </c>
      <c r="B35" t="s">
        <v>2545</v>
      </c>
      <c r="C35" t="s">
        <v>55</v>
      </c>
      <c r="D35" t="s">
        <v>2576</v>
      </c>
      <c r="F35" t="s">
        <v>2617</v>
      </c>
      <c r="G35" t="s">
        <v>2669</v>
      </c>
      <c r="H35" t="s">
        <v>2730</v>
      </c>
      <c r="I35">
        <v>1</v>
      </c>
      <c r="J35">
        <v>11233</v>
      </c>
      <c r="K35" t="s">
        <v>422</v>
      </c>
      <c r="L35" t="s">
        <v>422</v>
      </c>
      <c r="Q35" t="s">
        <v>450</v>
      </c>
      <c r="T35" t="s">
        <v>453</v>
      </c>
      <c r="W35">
        <v>0</v>
      </c>
      <c r="X35" t="s">
        <v>458</v>
      </c>
      <c r="AA35" t="s">
        <v>2860</v>
      </c>
      <c r="AC35" t="s">
        <v>2925</v>
      </c>
      <c r="AD35">
        <v>0</v>
      </c>
      <c r="AG35">
        <v>0</v>
      </c>
      <c r="AH35">
        <v>1</v>
      </c>
      <c r="AI35">
        <v>0</v>
      </c>
      <c r="AJ35">
        <v>28.37</v>
      </c>
      <c r="AM35" t="s">
        <v>629</v>
      </c>
      <c r="AN35">
        <v>3444</v>
      </c>
      <c r="AT35">
        <v>17.95</v>
      </c>
      <c r="AU35" t="s">
        <v>771</v>
      </c>
      <c r="AV35" t="s">
        <v>2984</v>
      </c>
    </row>
    <row r="36" spans="1:48">
      <c r="A36" s="1">
        <f>HYPERLINK("https://lsnyc.legalserver.org/matter/dynamic-profile/view/0787091","15-0787091")</f>
        <v>0</v>
      </c>
      <c r="B36" t="s">
        <v>2545</v>
      </c>
      <c r="C36" t="s">
        <v>55</v>
      </c>
      <c r="D36" t="s">
        <v>2577</v>
      </c>
      <c r="F36" t="s">
        <v>292</v>
      </c>
      <c r="G36" t="s">
        <v>1259</v>
      </c>
      <c r="H36" t="s">
        <v>2731</v>
      </c>
      <c r="I36" t="s">
        <v>1662</v>
      </c>
      <c r="J36">
        <v>11223</v>
      </c>
      <c r="K36" t="s">
        <v>423</v>
      </c>
      <c r="L36" t="s">
        <v>422</v>
      </c>
      <c r="O36" t="s">
        <v>445</v>
      </c>
      <c r="Q36" t="s">
        <v>450</v>
      </c>
      <c r="S36" t="s">
        <v>451</v>
      </c>
      <c r="T36" t="s">
        <v>453</v>
      </c>
      <c r="W36">
        <v>0</v>
      </c>
      <c r="X36" t="s">
        <v>458</v>
      </c>
      <c r="AA36" t="s">
        <v>2861</v>
      </c>
      <c r="AC36" t="s">
        <v>2926</v>
      </c>
      <c r="AD36">
        <v>0</v>
      </c>
      <c r="AG36">
        <v>0</v>
      </c>
      <c r="AH36">
        <v>2</v>
      </c>
      <c r="AI36">
        <v>0</v>
      </c>
      <c r="AJ36">
        <v>29.91</v>
      </c>
      <c r="AM36" t="s">
        <v>629</v>
      </c>
      <c r="AN36">
        <v>4764</v>
      </c>
      <c r="AT36">
        <v>50.2</v>
      </c>
      <c r="AU36" t="s">
        <v>2981</v>
      </c>
      <c r="AV36" t="s">
        <v>2984</v>
      </c>
    </row>
    <row r="37" spans="1:48">
      <c r="A37" s="1">
        <f>HYPERLINK("https://lsnyc.legalserver.org/matter/dynamic-profile/view/1898448","19-1898448")</f>
        <v>0</v>
      </c>
      <c r="B37" t="s">
        <v>2545</v>
      </c>
      <c r="C37" t="s">
        <v>55</v>
      </c>
      <c r="D37" t="s">
        <v>652</v>
      </c>
      <c r="F37" t="s">
        <v>897</v>
      </c>
      <c r="G37" t="s">
        <v>2670</v>
      </c>
      <c r="H37" t="s">
        <v>2732</v>
      </c>
      <c r="I37" t="s">
        <v>2776</v>
      </c>
      <c r="J37">
        <v>11213</v>
      </c>
      <c r="K37" t="s">
        <v>422</v>
      </c>
      <c r="L37" t="s">
        <v>422</v>
      </c>
      <c r="M37" t="s">
        <v>2806</v>
      </c>
      <c r="N37" t="s">
        <v>437</v>
      </c>
      <c r="O37" t="s">
        <v>445</v>
      </c>
      <c r="Q37" t="s">
        <v>450</v>
      </c>
      <c r="R37" t="s">
        <v>423</v>
      </c>
      <c r="T37" t="s">
        <v>453</v>
      </c>
      <c r="W37">
        <v>659.4299999999999</v>
      </c>
      <c r="X37" t="s">
        <v>458</v>
      </c>
      <c r="Y37" t="s">
        <v>467</v>
      </c>
      <c r="AA37" t="s">
        <v>2021</v>
      </c>
      <c r="AC37" t="s">
        <v>2927</v>
      </c>
      <c r="AD37">
        <v>8</v>
      </c>
      <c r="AE37" t="s">
        <v>2953</v>
      </c>
      <c r="AG37">
        <v>18</v>
      </c>
      <c r="AH37">
        <v>2</v>
      </c>
      <c r="AI37">
        <v>2</v>
      </c>
      <c r="AJ37">
        <v>36.12</v>
      </c>
      <c r="AM37" t="s">
        <v>629</v>
      </c>
      <c r="AN37">
        <v>9300</v>
      </c>
      <c r="AT37">
        <v>6.7</v>
      </c>
      <c r="AU37" t="s">
        <v>654</v>
      </c>
      <c r="AV37" t="s">
        <v>2989</v>
      </c>
    </row>
    <row r="38" spans="1:48">
      <c r="A38" s="1">
        <f>HYPERLINK("https://lsnyc.legalserver.org/matter/dynamic-profile/view/1871281","18-1871281")</f>
        <v>0</v>
      </c>
      <c r="B38" t="s">
        <v>2545</v>
      </c>
      <c r="C38" t="s">
        <v>54</v>
      </c>
      <c r="D38" t="s">
        <v>2578</v>
      </c>
      <c r="E38" t="s">
        <v>754</v>
      </c>
      <c r="F38" t="s">
        <v>151</v>
      </c>
      <c r="G38" t="s">
        <v>2671</v>
      </c>
      <c r="H38" t="s">
        <v>2733</v>
      </c>
      <c r="I38" t="s">
        <v>2777</v>
      </c>
      <c r="J38">
        <v>11233</v>
      </c>
      <c r="K38" t="s">
        <v>422</v>
      </c>
      <c r="L38" t="s">
        <v>422</v>
      </c>
      <c r="P38" t="s">
        <v>2822</v>
      </c>
      <c r="Q38" t="s">
        <v>450</v>
      </c>
      <c r="T38" t="s">
        <v>453</v>
      </c>
      <c r="W38">
        <v>0</v>
      </c>
      <c r="X38" t="s">
        <v>458</v>
      </c>
      <c r="Z38" t="s">
        <v>475</v>
      </c>
      <c r="AA38" t="s">
        <v>2862</v>
      </c>
      <c r="AC38" t="s">
        <v>2928</v>
      </c>
      <c r="AD38">
        <v>0</v>
      </c>
      <c r="AG38">
        <v>0</v>
      </c>
      <c r="AH38">
        <v>1</v>
      </c>
      <c r="AI38">
        <v>0</v>
      </c>
      <c r="AJ38">
        <v>37.17</v>
      </c>
      <c r="AM38" t="s">
        <v>629</v>
      </c>
      <c r="AN38">
        <v>4512</v>
      </c>
      <c r="AQ38" t="s">
        <v>2962</v>
      </c>
      <c r="AR38" t="s">
        <v>2964</v>
      </c>
      <c r="AS38" t="s">
        <v>2974</v>
      </c>
      <c r="AT38">
        <v>6.3</v>
      </c>
      <c r="AU38" t="s">
        <v>754</v>
      </c>
      <c r="AV38" t="s">
        <v>2533</v>
      </c>
    </row>
    <row r="39" spans="1:48">
      <c r="A39" s="1">
        <f>HYPERLINK("https://lsnyc.legalserver.org/matter/dynamic-profile/view/1900257","19-1900257")</f>
        <v>0</v>
      </c>
      <c r="B39" t="s">
        <v>2545</v>
      </c>
      <c r="C39" t="s">
        <v>55</v>
      </c>
      <c r="D39" t="s">
        <v>87</v>
      </c>
      <c r="F39" t="s">
        <v>2618</v>
      </c>
      <c r="G39" t="s">
        <v>2672</v>
      </c>
      <c r="H39" t="s">
        <v>2734</v>
      </c>
      <c r="I39" t="s">
        <v>2778</v>
      </c>
      <c r="J39">
        <v>11237</v>
      </c>
      <c r="K39" t="s">
        <v>422</v>
      </c>
      <c r="L39" t="s">
        <v>422</v>
      </c>
      <c r="Q39" t="s">
        <v>450</v>
      </c>
      <c r="T39" t="s">
        <v>453</v>
      </c>
      <c r="W39">
        <v>1950</v>
      </c>
      <c r="X39" t="s">
        <v>458</v>
      </c>
      <c r="Y39" t="s">
        <v>459</v>
      </c>
      <c r="AA39" t="s">
        <v>2863</v>
      </c>
      <c r="AC39" t="s">
        <v>2929</v>
      </c>
      <c r="AD39">
        <v>0</v>
      </c>
      <c r="AE39" t="s">
        <v>2421</v>
      </c>
      <c r="AG39">
        <v>3</v>
      </c>
      <c r="AH39">
        <v>1</v>
      </c>
      <c r="AI39">
        <v>0</v>
      </c>
      <c r="AJ39">
        <v>39.14</v>
      </c>
      <c r="AM39" t="s">
        <v>629</v>
      </c>
      <c r="AN39">
        <v>4888</v>
      </c>
      <c r="AT39">
        <v>1.3</v>
      </c>
      <c r="AU39" t="s">
        <v>115</v>
      </c>
      <c r="AV39" t="s">
        <v>2516</v>
      </c>
    </row>
    <row r="40" spans="1:48">
      <c r="A40" s="1">
        <f>HYPERLINK("https://lsnyc.legalserver.org/matter/dynamic-profile/view/1898611","19-1898611")</f>
        <v>0</v>
      </c>
      <c r="B40" t="s">
        <v>2545</v>
      </c>
      <c r="C40" t="s">
        <v>55</v>
      </c>
      <c r="D40" t="s">
        <v>824</v>
      </c>
      <c r="F40" t="s">
        <v>2619</v>
      </c>
      <c r="G40" t="s">
        <v>2673</v>
      </c>
      <c r="H40" t="s">
        <v>2735</v>
      </c>
      <c r="I40" t="s">
        <v>2779</v>
      </c>
      <c r="J40">
        <v>11233</v>
      </c>
      <c r="K40" t="s">
        <v>422</v>
      </c>
      <c r="L40" t="s">
        <v>422</v>
      </c>
      <c r="O40" t="s">
        <v>445</v>
      </c>
      <c r="Q40" t="s">
        <v>450</v>
      </c>
      <c r="T40" t="s">
        <v>453</v>
      </c>
      <c r="W40">
        <v>1900</v>
      </c>
      <c r="X40" t="s">
        <v>458</v>
      </c>
      <c r="Y40" t="s">
        <v>459</v>
      </c>
      <c r="AA40" t="s">
        <v>2864</v>
      </c>
      <c r="AC40" t="s">
        <v>2930</v>
      </c>
      <c r="AD40">
        <v>0</v>
      </c>
      <c r="AE40" t="s">
        <v>621</v>
      </c>
      <c r="AF40" t="s">
        <v>624</v>
      </c>
      <c r="AG40">
        <v>0</v>
      </c>
      <c r="AH40">
        <v>2</v>
      </c>
      <c r="AI40">
        <v>0</v>
      </c>
      <c r="AJ40">
        <v>57.34</v>
      </c>
      <c r="AM40" t="s">
        <v>629</v>
      </c>
      <c r="AN40">
        <v>9696</v>
      </c>
      <c r="AT40">
        <v>7.3</v>
      </c>
      <c r="AU40" t="s">
        <v>656</v>
      </c>
      <c r="AV40" t="s">
        <v>2984</v>
      </c>
    </row>
    <row r="41" spans="1:48">
      <c r="A41" s="1">
        <f>HYPERLINK("https://lsnyc.legalserver.org/matter/dynamic-profile/view/0798503","16-0798503")</f>
        <v>0</v>
      </c>
      <c r="B41" t="s">
        <v>2545</v>
      </c>
      <c r="C41" t="s">
        <v>55</v>
      </c>
      <c r="D41" t="s">
        <v>2579</v>
      </c>
      <c r="F41" t="s">
        <v>2620</v>
      </c>
      <c r="G41" t="s">
        <v>1111</v>
      </c>
      <c r="H41" t="s">
        <v>2736</v>
      </c>
      <c r="I41" t="s">
        <v>401</v>
      </c>
      <c r="J41">
        <v>11211</v>
      </c>
      <c r="K41" t="s">
        <v>423</v>
      </c>
      <c r="L41" t="s">
        <v>422</v>
      </c>
      <c r="O41" t="s">
        <v>445</v>
      </c>
      <c r="Q41" t="s">
        <v>450</v>
      </c>
      <c r="S41" t="s">
        <v>451</v>
      </c>
      <c r="T41" t="s">
        <v>453</v>
      </c>
      <c r="W41">
        <v>0</v>
      </c>
      <c r="X41" t="s">
        <v>458</v>
      </c>
      <c r="AA41" t="s">
        <v>2865</v>
      </c>
      <c r="AC41" t="s">
        <v>2931</v>
      </c>
      <c r="AD41">
        <v>0</v>
      </c>
      <c r="AG41">
        <v>0</v>
      </c>
      <c r="AH41">
        <v>1</v>
      </c>
      <c r="AI41">
        <v>0</v>
      </c>
      <c r="AJ41">
        <v>82.83</v>
      </c>
      <c r="AM41" t="s">
        <v>631</v>
      </c>
      <c r="AN41">
        <v>9840</v>
      </c>
      <c r="AT41">
        <v>89</v>
      </c>
      <c r="AU41" t="s">
        <v>699</v>
      </c>
      <c r="AV41" t="s">
        <v>2545</v>
      </c>
    </row>
    <row r="42" spans="1:48">
      <c r="A42" s="1">
        <f>HYPERLINK("https://lsnyc.legalserver.org/matter/dynamic-profile/view/1867656","18-1867656")</f>
        <v>0</v>
      </c>
      <c r="B42" t="s">
        <v>2545</v>
      </c>
      <c r="C42" t="s">
        <v>54</v>
      </c>
      <c r="D42" t="s">
        <v>70</v>
      </c>
      <c r="E42" t="s">
        <v>754</v>
      </c>
      <c r="F42" t="s">
        <v>2611</v>
      </c>
      <c r="G42" t="s">
        <v>2674</v>
      </c>
      <c r="H42" t="s">
        <v>2737</v>
      </c>
      <c r="I42" t="s">
        <v>2780</v>
      </c>
      <c r="J42">
        <v>11233</v>
      </c>
      <c r="K42" t="s">
        <v>424</v>
      </c>
      <c r="L42" t="s">
        <v>424</v>
      </c>
      <c r="P42" t="s">
        <v>1827</v>
      </c>
      <c r="Q42" t="s">
        <v>450</v>
      </c>
      <c r="T42" t="s">
        <v>453</v>
      </c>
      <c r="W42">
        <v>0</v>
      </c>
      <c r="X42" t="s">
        <v>458</v>
      </c>
      <c r="Z42" t="s">
        <v>475</v>
      </c>
      <c r="AA42" t="s">
        <v>2866</v>
      </c>
      <c r="AC42" t="s">
        <v>2932</v>
      </c>
      <c r="AD42">
        <v>0</v>
      </c>
      <c r="AG42">
        <v>0</v>
      </c>
      <c r="AH42">
        <v>1</v>
      </c>
      <c r="AI42">
        <v>0</v>
      </c>
      <c r="AJ42">
        <v>141.35</v>
      </c>
      <c r="AM42" t="s">
        <v>629</v>
      </c>
      <c r="AN42">
        <v>17160</v>
      </c>
      <c r="AQ42" t="s">
        <v>2962</v>
      </c>
      <c r="AR42" t="s">
        <v>2964</v>
      </c>
      <c r="AS42" t="s">
        <v>2974</v>
      </c>
      <c r="AT42">
        <v>3.85</v>
      </c>
      <c r="AU42" t="s">
        <v>754</v>
      </c>
      <c r="AV42" t="s">
        <v>2984</v>
      </c>
    </row>
    <row r="43" spans="1:48">
      <c r="A43" s="1">
        <f>HYPERLINK("https://lsnyc.legalserver.org/matter/dynamic-profile/view/1882910","18-1882910")</f>
        <v>0</v>
      </c>
      <c r="B43" t="s">
        <v>2545</v>
      </c>
      <c r="C43" t="s">
        <v>55</v>
      </c>
      <c r="D43" t="s">
        <v>784</v>
      </c>
      <c r="F43" t="s">
        <v>2621</v>
      </c>
      <c r="G43" t="s">
        <v>2675</v>
      </c>
      <c r="H43" t="s">
        <v>2738</v>
      </c>
      <c r="I43">
        <v>1</v>
      </c>
      <c r="J43">
        <v>11233</v>
      </c>
      <c r="K43" t="s">
        <v>422</v>
      </c>
      <c r="L43" t="s">
        <v>422</v>
      </c>
      <c r="Q43" t="s">
        <v>450</v>
      </c>
      <c r="T43" t="s">
        <v>453</v>
      </c>
      <c r="W43">
        <v>0</v>
      </c>
      <c r="X43" t="s">
        <v>458</v>
      </c>
      <c r="AA43" t="s">
        <v>2867</v>
      </c>
      <c r="AC43" t="s">
        <v>2933</v>
      </c>
      <c r="AD43">
        <v>0</v>
      </c>
      <c r="AG43">
        <v>0</v>
      </c>
      <c r="AH43">
        <v>1</v>
      </c>
      <c r="AI43">
        <v>0</v>
      </c>
      <c r="AJ43">
        <v>222.41</v>
      </c>
      <c r="AM43" t="s">
        <v>629</v>
      </c>
      <c r="AN43">
        <v>27000</v>
      </c>
      <c r="AT43">
        <v>1.1</v>
      </c>
      <c r="AU43" t="s">
        <v>659</v>
      </c>
      <c r="AV43" t="s">
        <v>2984</v>
      </c>
    </row>
    <row r="44" spans="1:48">
      <c r="A44" s="1">
        <f>HYPERLINK("https://lsnyc.legalserver.org/matter/dynamic-profile/view/0802051","16-0802051")</f>
        <v>0</v>
      </c>
      <c r="B44" t="s">
        <v>2546</v>
      </c>
      <c r="C44" t="s">
        <v>55</v>
      </c>
      <c r="D44" t="s">
        <v>2580</v>
      </c>
      <c r="F44" t="s">
        <v>2622</v>
      </c>
      <c r="G44" t="s">
        <v>2676</v>
      </c>
      <c r="H44" t="s">
        <v>2739</v>
      </c>
      <c r="I44" t="s">
        <v>2773</v>
      </c>
      <c r="J44">
        <v>11225</v>
      </c>
      <c r="K44" t="s">
        <v>424</v>
      </c>
      <c r="L44" t="s">
        <v>422</v>
      </c>
      <c r="M44" t="s">
        <v>2807</v>
      </c>
      <c r="N44" t="s">
        <v>434</v>
      </c>
      <c r="O44" t="s">
        <v>445</v>
      </c>
      <c r="Q44" t="s">
        <v>450</v>
      </c>
      <c r="S44" t="s">
        <v>451</v>
      </c>
      <c r="T44" t="s">
        <v>453</v>
      </c>
      <c r="W44">
        <v>143</v>
      </c>
      <c r="X44" t="s">
        <v>458</v>
      </c>
      <c r="Y44" t="s">
        <v>461</v>
      </c>
      <c r="AA44" t="s">
        <v>2868</v>
      </c>
      <c r="AC44" t="s">
        <v>2934</v>
      </c>
      <c r="AD44">
        <v>0</v>
      </c>
      <c r="AE44" t="s">
        <v>2421</v>
      </c>
      <c r="AG44">
        <v>9</v>
      </c>
      <c r="AH44">
        <v>1</v>
      </c>
      <c r="AI44">
        <v>0</v>
      </c>
      <c r="AJ44">
        <v>65.66</v>
      </c>
      <c r="AM44" t="s">
        <v>629</v>
      </c>
      <c r="AN44">
        <v>7800</v>
      </c>
      <c r="AT44">
        <v>30.6</v>
      </c>
      <c r="AU44" t="s">
        <v>831</v>
      </c>
      <c r="AV44" t="s">
        <v>665</v>
      </c>
    </row>
    <row r="45" spans="1:48">
      <c r="A45" s="1">
        <f>HYPERLINK("https://lsnyc.legalserver.org/matter/dynamic-profile/view/0804900","16-0804900")</f>
        <v>0</v>
      </c>
      <c r="B45" t="s">
        <v>2546</v>
      </c>
      <c r="C45" t="s">
        <v>54</v>
      </c>
      <c r="D45" t="s">
        <v>2581</v>
      </c>
      <c r="E45" t="s">
        <v>831</v>
      </c>
      <c r="F45" t="s">
        <v>2623</v>
      </c>
      <c r="G45" t="s">
        <v>2677</v>
      </c>
      <c r="H45" t="s">
        <v>2740</v>
      </c>
      <c r="I45" t="s">
        <v>2781</v>
      </c>
      <c r="J45">
        <v>11211</v>
      </c>
      <c r="K45" t="s">
        <v>423</v>
      </c>
      <c r="L45" t="s">
        <v>422</v>
      </c>
      <c r="M45" t="s">
        <v>2808</v>
      </c>
      <c r="N45" t="s">
        <v>434</v>
      </c>
      <c r="O45" t="s">
        <v>445</v>
      </c>
      <c r="P45" t="s">
        <v>1827</v>
      </c>
      <c r="Q45" t="s">
        <v>450</v>
      </c>
      <c r="R45" t="s">
        <v>423</v>
      </c>
      <c r="S45" t="s">
        <v>451</v>
      </c>
      <c r="T45" t="s">
        <v>453</v>
      </c>
      <c r="W45">
        <v>1082.76</v>
      </c>
      <c r="X45" t="s">
        <v>458</v>
      </c>
      <c r="Y45" t="s">
        <v>462</v>
      </c>
      <c r="Z45" t="s">
        <v>475</v>
      </c>
      <c r="AA45" t="s">
        <v>2869</v>
      </c>
      <c r="AC45" t="s">
        <v>2935</v>
      </c>
      <c r="AD45">
        <v>25</v>
      </c>
      <c r="AE45" t="s">
        <v>622</v>
      </c>
      <c r="AG45">
        <v>8</v>
      </c>
      <c r="AH45">
        <v>3</v>
      </c>
      <c r="AI45">
        <v>0</v>
      </c>
      <c r="AJ45">
        <v>93.87</v>
      </c>
      <c r="AM45" t="s">
        <v>629</v>
      </c>
      <c r="AN45">
        <v>18924</v>
      </c>
      <c r="AT45">
        <v>30.9</v>
      </c>
      <c r="AU45" t="s">
        <v>831</v>
      </c>
      <c r="AV45" t="s">
        <v>2522</v>
      </c>
    </row>
    <row r="46" spans="1:48">
      <c r="A46" s="1">
        <f>HYPERLINK("https://lsnyc.legalserver.org/matter/dynamic-profile/view/1881354","18-1881354")</f>
        <v>0</v>
      </c>
      <c r="B46" t="s">
        <v>2546</v>
      </c>
      <c r="C46" t="s">
        <v>54</v>
      </c>
      <c r="D46" t="s">
        <v>813</v>
      </c>
      <c r="E46" t="s">
        <v>710</v>
      </c>
      <c r="F46" t="s">
        <v>2624</v>
      </c>
      <c r="G46" t="s">
        <v>2678</v>
      </c>
      <c r="H46" t="s">
        <v>2741</v>
      </c>
      <c r="I46" t="s">
        <v>1599</v>
      </c>
      <c r="J46">
        <v>11212</v>
      </c>
      <c r="K46" t="s">
        <v>423</v>
      </c>
      <c r="L46" t="s">
        <v>422</v>
      </c>
      <c r="M46" t="s">
        <v>2809</v>
      </c>
      <c r="N46" t="s">
        <v>437</v>
      </c>
      <c r="O46" t="s">
        <v>441</v>
      </c>
      <c r="P46" t="s">
        <v>448</v>
      </c>
      <c r="Q46" t="s">
        <v>450</v>
      </c>
      <c r="T46" t="s">
        <v>453</v>
      </c>
      <c r="W46">
        <v>600</v>
      </c>
      <c r="X46" t="s">
        <v>458</v>
      </c>
      <c r="Y46" t="s">
        <v>465</v>
      </c>
      <c r="Z46" t="s">
        <v>474</v>
      </c>
      <c r="AA46" t="s">
        <v>2870</v>
      </c>
      <c r="AC46" t="s">
        <v>2936</v>
      </c>
      <c r="AD46">
        <v>0</v>
      </c>
      <c r="AG46">
        <v>-1</v>
      </c>
      <c r="AH46">
        <v>1</v>
      </c>
      <c r="AI46">
        <v>0</v>
      </c>
      <c r="AJ46">
        <v>164.74</v>
      </c>
      <c r="AM46" t="s">
        <v>629</v>
      </c>
      <c r="AN46">
        <v>20000</v>
      </c>
      <c r="AT46">
        <v>1.5</v>
      </c>
      <c r="AU46" t="s">
        <v>710</v>
      </c>
      <c r="AV46" t="s">
        <v>669</v>
      </c>
    </row>
    <row r="47" spans="1:48">
      <c r="A47" s="1">
        <f>HYPERLINK("https://lsnyc.legalserver.org/matter/dynamic-profile/view/8000282","S12E-68000282")</f>
        <v>0</v>
      </c>
      <c r="B47" t="s">
        <v>2547</v>
      </c>
      <c r="C47" t="s">
        <v>55</v>
      </c>
      <c r="D47" t="s">
        <v>2582</v>
      </c>
      <c r="F47" t="s">
        <v>2625</v>
      </c>
      <c r="G47" t="s">
        <v>2679</v>
      </c>
      <c r="H47" t="s">
        <v>2742</v>
      </c>
      <c r="J47">
        <v>11209</v>
      </c>
      <c r="K47" t="s">
        <v>422</v>
      </c>
      <c r="L47" t="s">
        <v>422</v>
      </c>
      <c r="N47" t="s">
        <v>439</v>
      </c>
      <c r="O47" t="s">
        <v>446</v>
      </c>
      <c r="Q47" t="s">
        <v>450</v>
      </c>
      <c r="T47" t="s">
        <v>453</v>
      </c>
      <c r="W47">
        <v>0</v>
      </c>
      <c r="X47" t="s">
        <v>458</v>
      </c>
      <c r="Z47" t="s">
        <v>2826</v>
      </c>
      <c r="AA47" t="s">
        <v>2871</v>
      </c>
      <c r="AD47">
        <v>0</v>
      </c>
      <c r="AG47">
        <v>0</v>
      </c>
      <c r="AH47">
        <v>1</v>
      </c>
      <c r="AI47">
        <v>0</v>
      </c>
      <c r="AJ47">
        <v>83.90000000000001</v>
      </c>
      <c r="AM47" t="s">
        <v>629</v>
      </c>
      <c r="AN47">
        <v>9372</v>
      </c>
      <c r="AT47">
        <v>239.65</v>
      </c>
      <c r="AU47" t="s">
        <v>789</v>
      </c>
      <c r="AV47" t="s">
        <v>2990</v>
      </c>
    </row>
    <row r="48" spans="1:48">
      <c r="A48" s="1">
        <f>HYPERLINK("https://lsnyc.legalserver.org/matter/dynamic-profile/view/0830965","17-0830965")</f>
        <v>0</v>
      </c>
      <c r="B48" t="s">
        <v>2548</v>
      </c>
      <c r="C48" t="s">
        <v>55</v>
      </c>
      <c r="D48" t="s">
        <v>2583</v>
      </c>
      <c r="F48" t="s">
        <v>975</v>
      </c>
      <c r="G48" t="s">
        <v>2680</v>
      </c>
      <c r="H48" t="s">
        <v>2743</v>
      </c>
      <c r="I48" t="s">
        <v>2782</v>
      </c>
      <c r="J48">
        <v>11220</v>
      </c>
      <c r="K48" t="s">
        <v>423</v>
      </c>
      <c r="L48" t="s">
        <v>422</v>
      </c>
      <c r="N48" t="s">
        <v>1815</v>
      </c>
      <c r="O48" t="s">
        <v>445</v>
      </c>
      <c r="Q48" t="s">
        <v>450</v>
      </c>
      <c r="S48" t="s">
        <v>451</v>
      </c>
      <c r="T48" t="s">
        <v>453</v>
      </c>
      <c r="W48">
        <v>869.28</v>
      </c>
      <c r="X48" t="s">
        <v>458</v>
      </c>
      <c r="AA48" t="s">
        <v>2872</v>
      </c>
      <c r="AC48" t="s">
        <v>2937</v>
      </c>
      <c r="AD48">
        <v>0</v>
      </c>
      <c r="AE48" t="s">
        <v>622</v>
      </c>
      <c r="AG48">
        <v>43</v>
      </c>
      <c r="AH48">
        <v>1</v>
      </c>
      <c r="AI48">
        <v>0</v>
      </c>
      <c r="AJ48">
        <v>0</v>
      </c>
      <c r="AM48" t="s">
        <v>629</v>
      </c>
      <c r="AN48">
        <v>0</v>
      </c>
      <c r="AT48">
        <v>65.75</v>
      </c>
      <c r="AU48" t="s">
        <v>2982</v>
      </c>
      <c r="AV48" t="s">
        <v>2991</v>
      </c>
    </row>
    <row r="49" spans="1:48">
      <c r="A49" s="1">
        <f>HYPERLINK("https://lsnyc.legalserver.org/matter/dynamic-profile/view/1862777","18-1862777")</f>
        <v>0</v>
      </c>
      <c r="B49" t="s">
        <v>2548</v>
      </c>
      <c r="C49" t="s">
        <v>54</v>
      </c>
      <c r="D49" t="s">
        <v>767</v>
      </c>
      <c r="E49" t="s">
        <v>814</v>
      </c>
      <c r="F49" t="s">
        <v>941</v>
      </c>
      <c r="G49" t="s">
        <v>1192</v>
      </c>
      <c r="H49" t="s">
        <v>1429</v>
      </c>
      <c r="I49" t="s">
        <v>407</v>
      </c>
      <c r="J49">
        <v>11233</v>
      </c>
      <c r="K49" t="s">
        <v>423</v>
      </c>
      <c r="L49" t="s">
        <v>422</v>
      </c>
      <c r="M49" t="s">
        <v>1743</v>
      </c>
      <c r="N49" t="s">
        <v>436</v>
      </c>
      <c r="P49" t="s">
        <v>1827</v>
      </c>
      <c r="Q49" t="s">
        <v>450</v>
      </c>
      <c r="R49" t="s">
        <v>424</v>
      </c>
      <c r="T49" t="s">
        <v>453</v>
      </c>
      <c r="W49">
        <v>1075</v>
      </c>
      <c r="X49" t="s">
        <v>458</v>
      </c>
      <c r="Y49" t="s">
        <v>1835</v>
      </c>
      <c r="Z49" t="s">
        <v>2827</v>
      </c>
      <c r="AA49" t="s">
        <v>1957</v>
      </c>
      <c r="AB49" t="s">
        <v>2147</v>
      </c>
      <c r="AC49" t="s">
        <v>2262</v>
      </c>
      <c r="AD49">
        <v>6</v>
      </c>
      <c r="AE49" t="s">
        <v>622</v>
      </c>
      <c r="AF49" t="s">
        <v>624</v>
      </c>
      <c r="AG49">
        <v>17</v>
      </c>
      <c r="AH49">
        <v>1</v>
      </c>
      <c r="AI49">
        <v>0</v>
      </c>
      <c r="AJ49">
        <v>39.62</v>
      </c>
      <c r="AM49" t="s">
        <v>629</v>
      </c>
      <c r="AN49">
        <v>4810</v>
      </c>
      <c r="AT49">
        <v>27.45</v>
      </c>
      <c r="AU49" t="s">
        <v>814</v>
      </c>
      <c r="AV49" t="s">
        <v>666</v>
      </c>
    </row>
    <row r="50" spans="1:48">
      <c r="A50" s="1">
        <f>HYPERLINK("https://lsnyc.legalserver.org/matter/dynamic-profile/view/1865811","18-1865811")</f>
        <v>0</v>
      </c>
      <c r="B50" t="s">
        <v>2548</v>
      </c>
      <c r="C50" t="s">
        <v>54</v>
      </c>
      <c r="D50" t="s">
        <v>2584</v>
      </c>
      <c r="E50" t="s">
        <v>836</v>
      </c>
      <c r="F50" t="s">
        <v>2626</v>
      </c>
      <c r="G50" t="s">
        <v>2681</v>
      </c>
      <c r="H50" t="s">
        <v>2744</v>
      </c>
      <c r="I50" t="s">
        <v>408</v>
      </c>
      <c r="J50">
        <v>11207</v>
      </c>
      <c r="K50" t="s">
        <v>424</v>
      </c>
      <c r="L50" t="s">
        <v>424</v>
      </c>
      <c r="P50" t="s">
        <v>1827</v>
      </c>
      <c r="Q50" t="s">
        <v>450</v>
      </c>
      <c r="T50" t="s">
        <v>453</v>
      </c>
      <c r="W50">
        <v>0</v>
      </c>
      <c r="X50" t="s">
        <v>458</v>
      </c>
      <c r="Z50" t="s">
        <v>1842</v>
      </c>
      <c r="AA50" t="s">
        <v>2873</v>
      </c>
      <c r="AD50">
        <v>0</v>
      </c>
      <c r="AG50">
        <v>0</v>
      </c>
      <c r="AH50">
        <v>1</v>
      </c>
      <c r="AI50">
        <v>0</v>
      </c>
      <c r="AJ50">
        <v>40.26</v>
      </c>
      <c r="AM50" t="s">
        <v>629</v>
      </c>
      <c r="AN50">
        <v>4888</v>
      </c>
      <c r="AQ50" t="s">
        <v>459</v>
      </c>
      <c r="AR50" t="s">
        <v>2966</v>
      </c>
      <c r="AS50" t="s">
        <v>2975</v>
      </c>
      <c r="AT50">
        <v>21</v>
      </c>
      <c r="AU50" t="s">
        <v>836</v>
      </c>
      <c r="AV50" t="s">
        <v>2984</v>
      </c>
    </row>
    <row r="51" spans="1:48">
      <c r="A51" s="1">
        <f>HYPERLINK("https://lsnyc.legalserver.org/matter/dynamic-profile/view/1872572","18-1872572")</f>
        <v>0</v>
      </c>
      <c r="B51" t="s">
        <v>2548</v>
      </c>
      <c r="C51" t="s">
        <v>54</v>
      </c>
      <c r="D51" t="s">
        <v>755</v>
      </c>
      <c r="E51" t="s">
        <v>831</v>
      </c>
      <c r="F51" t="s">
        <v>2627</v>
      </c>
      <c r="G51" t="s">
        <v>2682</v>
      </c>
      <c r="H51" t="s">
        <v>2745</v>
      </c>
      <c r="I51" t="s">
        <v>2783</v>
      </c>
      <c r="J51">
        <v>11208</v>
      </c>
      <c r="K51" t="s">
        <v>423</v>
      </c>
      <c r="L51" t="s">
        <v>423</v>
      </c>
      <c r="O51" t="s">
        <v>443</v>
      </c>
      <c r="P51" t="s">
        <v>449</v>
      </c>
      <c r="Q51" t="s">
        <v>450</v>
      </c>
      <c r="T51" t="s">
        <v>453</v>
      </c>
      <c r="W51">
        <v>0</v>
      </c>
      <c r="X51" t="s">
        <v>458</v>
      </c>
      <c r="Z51" t="s">
        <v>474</v>
      </c>
      <c r="AA51" t="s">
        <v>2874</v>
      </c>
      <c r="AC51" t="s">
        <v>2938</v>
      </c>
      <c r="AD51">
        <v>0</v>
      </c>
      <c r="AG51">
        <v>0</v>
      </c>
      <c r="AH51">
        <v>1</v>
      </c>
      <c r="AI51">
        <v>0</v>
      </c>
      <c r="AJ51">
        <v>43.14</v>
      </c>
      <c r="AM51" t="s">
        <v>629</v>
      </c>
      <c r="AN51">
        <v>5236.8</v>
      </c>
      <c r="AT51">
        <v>3.8</v>
      </c>
      <c r="AU51" t="s">
        <v>707</v>
      </c>
      <c r="AV51" t="s">
        <v>2992</v>
      </c>
    </row>
    <row r="52" spans="1:48">
      <c r="A52" s="1">
        <f>HYPERLINK("https://lsnyc.legalserver.org/matter/dynamic-profile/view/1884815","18-1884815")</f>
        <v>0</v>
      </c>
      <c r="B52" t="s">
        <v>2548</v>
      </c>
      <c r="C52" t="s">
        <v>55</v>
      </c>
      <c r="D52" t="s">
        <v>128</v>
      </c>
      <c r="F52" t="s">
        <v>2628</v>
      </c>
      <c r="G52" t="s">
        <v>2683</v>
      </c>
      <c r="H52" t="s">
        <v>2746</v>
      </c>
      <c r="I52" t="s">
        <v>373</v>
      </c>
      <c r="J52">
        <v>11207</v>
      </c>
      <c r="K52" t="s">
        <v>422</v>
      </c>
      <c r="L52" t="s">
        <v>422</v>
      </c>
      <c r="M52" t="s">
        <v>2810</v>
      </c>
      <c r="N52" t="s">
        <v>434</v>
      </c>
      <c r="Q52" t="s">
        <v>450</v>
      </c>
      <c r="T52" t="s">
        <v>453</v>
      </c>
      <c r="W52">
        <v>1200</v>
      </c>
      <c r="X52" t="s">
        <v>458</v>
      </c>
      <c r="Y52" t="s">
        <v>464</v>
      </c>
      <c r="AA52" t="s">
        <v>2875</v>
      </c>
      <c r="AC52" t="s">
        <v>2939</v>
      </c>
      <c r="AD52">
        <v>3</v>
      </c>
      <c r="AF52" t="s">
        <v>2428</v>
      </c>
      <c r="AG52">
        <v>4</v>
      </c>
      <c r="AH52">
        <v>1</v>
      </c>
      <c r="AI52">
        <v>0</v>
      </c>
      <c r="AJ52">
        <v>82.73</v>
      </c>
      <c r="AM52" t="s">
        <v>629</v>
      </c>
      <c r="AN52">
        <v>10044</v>
      </c>
      <c r="AT52">
        <v>39</v>
      </c>
      <c r="AU52" t="s">
        <v>122</v>
      </c>
      <c r="AV52" t="s">
        <v>2512</v>
      </c>
    </row>
    <row r="53" spans="1:48">
      <c r="A53" s="1">
        <f>HYPERLINK("https://lsnyc.legalserver.org/matter/dynamic-profile/view/1866915","18-1866915")</f>
        <v>0</v>
      </c>
      <c r="B53" t="s">
        <v>2548</v>
      </c>
      <c r="C53" t="s">
        <v>54</v>
      </c>
      <c r="D53" t="s">
        <v>2585</v>
      </c>
      <c r="E53" t="s">
        <v>814</v>
      </c>
      <c r="F53" t="s">
        <v>2629</v>
      </c>
      <c r="G53" t="s">
        <v>2684</v>
      </c>
      <c r="H53" t="s">
        <v>2747</v>
      </c>
      <c r="I53" t="s">
        <v>1689</v>
      </c>
      <c r="J53">
        <v>11207</v>
      </c>
      <c r="K53" t="s">
        <v>422</v>
      </c>
      <c r="L53" t="s">
        <v>422</v>
      </c>
      <c r="N53" t="s">
        <v>435</v>
      </c>
      <c r="P53" t="s">
        <v>1827</v>
      </c>
      <c r="Q53" t="s">
        <v>450</v>
      </c>
      <c r="T53" t="s">
        <v>453</v>
      </c>
      <c r="W53">
        <v>1475</v>
      </c>
      <c r="X53" t="s">
        <v>458</v>
      </c>
      <c r="Z53" t="s">
        <v>475</v>
      </c>
      <c r="AA53" t="s">
        <v>2876</v>
      </c>
      <c r="AC53" t="s">
        <v>2940</v>
      </c>
      <c r="AD53">
        <v>0</v>
      </c>
      <c r="AE53" t="s">
        <v>621</v>
      </c>
      <c r="AF53" t="s">
        <v>624</v>
      </c>
      <c r="AG53">
        <v>2</v>
      </c>
      <c r="AH53">
        <v>1</v>
      </c>
      <c r="AI53">
        <v>0</v>
      </c>
      <c r="AJ53">
        <v>98.84999999999999</v>
      </c>
      <c r="AM53" t="s">
        <v>629</v>
      </c>
      <c r="AN53">
        <v>12000</v>
      </c>
      <c r="AT53">
        <v>13.9</v>
      </c>
      <c r="AU53" t="s">
        <v>814</v>
      </c>
      <c r="AV53" t="s">
        <v>2511</v>
      </c>
    </row>
    <row r="54" spans="1:48">
      <c r="A54" s="1">
        <f>HYPERLINK("https://lsnyc.legalserver.org/matter/dynamic-profile/view/1885189","18-1885189")</f>
        <v>0</v>
      </c>
      <c r="B54" t="s">
        <v>2548</v>
      </c>
      <c r="C54" t="s">
        <v>55</v>
      </c>
      <c r="D54" t="s">
        <v>2493</v>
      </c>
      <c r="F54" t="s">
        <v>921</v>
      </c>
      <c r="G54" t="s">
        <v>2685</v>
      </c>
      <c r="H54" t="s">
        <v>2748</v>
      </c>
      <c r="I54" t="s">
        <v>2784</v>
      </c>
      <c r="J54">
        <v>11206</v>
      </c>
      <c r="K54" t="s">
        <v>422</v>
      </c>
      <c r="L54" t="s">
        <v>422</v>
      </c>
      <c r="N54" t="s">
        <v>435</v>
      </c>
      <c r="Q54" t="s">
        <v>450</v>
      </c>
      <c r="R54" t="s">
        <v>423</v>
      </c>
      <c r="T54" t="s">
        <v>453</v>
      </c>
      <c r="W54">
        <v>1375</v>
      </c>
      <c r="X54" t="s">
        <v>458</v>
      </c>
      <c r="Y54" t="s">
        <v>467</v>
      </c>
      <c r="AA54" t="s">
        <v>2877</v>
      </c>
      <c r="AC54" t="s">
        <v>2941</v>
      </c>
      <c r="AD54">
        <v>0</v>
      </c>
      <c r="AG54">
        <v>11</v>
      </c>
      <c r="AH54">
        <v>1</v>
      </c>
      <c r="AI54">
        <v>0</v>
      </c>
      <c r="AJ54">
        <v>168.53</v>
      </c>
      <c r="AM54" t="s">
        <v>629</v>
      </c>
      <c r="AN54">
        <v>20460</v>
      </c>
      <c r="AT54">
        <v>15.25</v>
      </c>
      <c r="AU54" t="s">
        <v>122</v>
      </c>
      <c r="AV54" t="s">
        <v>2989</v>
      </c>
    </row>
    <row r="55" spans="1:48">
      <c r="A55" s="1">
        <f>HYPERLINK("https://lsnyc.legalserver.org/matter/dynamic-profile/view/1846766","17-1846766")</f>
        <v>0</v>
      </c>
      <c r="B55" t="s">
        <v>2549</v>
      </c>
      <c r="C55" t="s">
        <v>54</v>
      </c>
      <c r="D55" t="s">
        <v>2586</v>
      </c>
      <c r="E55" t="s">
        <v>831</v>
      </c>
      <c r="F55" t="s">
        <v>2630</v>
      </c>
      <c r="G55" t="s">
        <v>2686</v>
      </c>
      <c r="H55" t="s">
        <v>2749</v>
      </c>
      <c r="I55" t="s">
        <v>2785</v>
      </c>
      <c r="J55">
        <v>11226</v>
      </c>
      <c r="K55" t="s">
        <v>423</v>
      </c>
      <c r="L55" t="s">
        <v>422</v>
      </c>
      <c r="M55" t="s">
        <v>2811</v>
      </c>
      <c r="N55" t="s">
        <v>437</v>
      </c>
      <c r="O55" t="s">
        <v>445</v>
      </c>
      <c r="P55" t="s">
        <v>1827</v>
      </c>
      <c r="Q55" t="s">
        <v>450</v>
      </c>
      <c r="R55" t="s">
        <v>423</v>
      </c>
      <c r="T55" t="s">
        <v>453</v>
      </c>
      <c r="W55">
        <v>1154</v>
      </c>
      <c r="X55" t="s">
        <v>458</v>
      </c>
      <c r="Y55" t="s">
        <v>467</v>
      </c>
      <c r="Z55" t="s">
        <v>475</v>
      </c>
      <c r="AA55" t="s">
        <v>2878</v>
      </c>
      <c r="AC55" t="s">
        <v>2942</v>
      </c>
      <c r="AD55">
        <v>30</v>
      </c>
      <c r="AE55" t="s">
        <v>622</v>
      </c>
      <c r="AG55">
        <v>5</v>
      </c>
      <c r="AH55">
        <v>1</v>
      </c>
      <c r="AI55">
        <v>0</v>
      </c>
      <c r="AJ55">
        <v>294.36</v>
      </c>
      <c r="AK55" t="s">
        <v>2956</v>
      </c>
      <c r="AM55" t="s">
        <v>629</v>
      </c>
      <c r="AN55">
        <v>35500</v>
      </c>
      <c r="AT55">
        <v>28.8</v>
      </c>
      <c r="AU55" t="s">
        <v>832</v>
      </c>
      <c r="AV55" t="s">
        <v>2549</v>
      </c>
    </row>
    <row r="56" spans="1:48">
      <c r="A56" s="1">
        <f>HYPERLINK("https://lsnyc.legalserver.org/matter/dynamic-profile/view/0832916","17-0832916")</f>
        <v>0</v>
      </c>
      <c r="B56" t="s">
        <v>2549</v>
      </c>
      <c r="C56" t="s">
        <v>55</v>
      </c>
      <c r="D56" t="s">
        <v>2587</v>
      </c>
      <c r="F56" t="s">
        <v>2631</v>
      </c>
      <c r="G56" t="s">
        <v>2687</v>
      </c>
      <c r="H56" t="s">
        <v>2750</v>
      </c>
      <c r="I56" t="s">
        <v>2781</v>
      </c>
      <c r="J56">
        <v>11238</v>
      </c>
      <c r="K56" t="s">
        <v>424</v>
      </c>
      <c r="L56" t="s">
        <v>422</v>
      </c>
      <c r="M56" t="s">
        <v>2812</v>
      </c>
      <c r="N56" t="s">
        <v>437</v>
      </c>
      <c r="O56" t="s">
        <v>445</v>
      </c>
      <c r="Q56" t="s">
        <v>450</v>
      </c>
      <c r="S56" t="s">
        <v>2823</v>
      </c>
      <c r="T56" t="s">
        <v>453</v>
      </c>
      <c r="W56">
        <v>0</v>
      </c>
      <c r="X56" t="s">
        <v>458</v>
      </c>
      <c r="Y56" t="s">
        <v>459</v>
      </c>
      <c r="AA56" t="s">
        <v>2879</v>
      </c>
      <c r="AC56" t="s">
        <v>2943</v>
      </c>
      <c r="AD56">
        <v>24</v>
      </c>
      <c r="AE56" t="s">
        <v>622</v>
      </c>
      <c r="AF56" t="s">
        <v>625</v>
      </c>
      <c r="AG56">
        <v>14</v>
      </c>
      <c r="AH56">
        <v>1</v>
      </c>
      <c r="AI56">
        <v>2</v>
      </c>
      <c r="AJ56">
        <v>416.26</v>
      </c>
      <c r="AM56" t="s">
        <v>629</v>
      </c>
      <c r="AN56">
        <v>85000</v>
      </c>
      <c r="AT56">
        <v>78.34999999999999</v>
      </c>
      <c r="AU56" t="s">
        <v>836</v>
      </c>
      <c r="AV56" t="s">
        <v>2522</v>
      </c>
    </row>
    <row r="57" spans="1:48">
      <c r="A57" s="1">
        <f>HYPERLINK("https://lsnyc.legalserver.org/matter/dynamic-profile/view/1858428","18-1858428")</f>
        <v>0</v>
      </c>
      <c r="B57" t="s">
        <v>2550</v>
      </c>
      <c r="C57" t="s">
        <v>54</v>
      </c>
      <c r="D57" t="s">
        <v>801</v>
      </c>
      <c r="E57" t="s">
        <v>739</v>
      </c>
      <c r="F57" t="s">
        <v>164</v>
      </c>
      <c r="G57" t="s">
        <v>241</v>
      </c>
      <c r="H57" t="s">
        <v>315</v>
      </c>
      <c r="I57">
        <v>14</v>
      </c>
      <c r="J57">
        <v>11215</v>
      </c>
      <c r="K57" t="s">
        <v>423</v>
      </c>
      <c r="L57" t="s">
        <v>424</v>
      </c>
      <c r="M57" t="s">
        <v>2813</v>
      </c>
      <c r="N57" t="s">
        <v>437</v>
      </c>
      <c r="O57" t="s">
        <v>445</v>
      </c>
      <c r="P57" t="s">
        <v>1826</v>
      </c>
      <c r="Q57" t="s">
        <v>450</v>
      </c>
      <c r="T57" t="s">
        <v>453</v>
      </c>
      <c r="W57">
        <v>836</v>
      </c>
      <c r="X57" t="s">
        <v>458</v>
      </c>
      <c r="Y57" t="s">
        <v>467</v>
      </c>
      <c r="Z57" t="s">
        <v>475</v>
      </c>
      <c r="AA57" t="s">
        <v>497</v>
      </c>
      <c r="AB57" t="s">
        <v>2895</v>
      </c>
      <c r="AC57" t="s">
        <v>575</v>
      </c>
      <c r="AD57">
        <v>0</v>
      </c>
      <c r="AE57" t="s">
        <v>622</v>
      </c>
      <c r="AG57">
        <v>38</v>
      </c>
      <c r="AH57">
        <v>3</v>
      </c>
      <c r="AI57">
        <v>0</v>
      </c>
      <c r="AJ57">
        <v>116.83</v>
      </c>
      <c r="AM57" t="s">
        <v>629</v>
      </c>
      <c r="AN57">
        <v>23856</v>
      </c>
      <c r="AP57" t="s">
        <v>2961</v>
      </c>
      <c r="AQ57" t="s">
        <v>2962</v>
      </c>
      <c r="AR57" t="s">
        <v>2964</v>
      </c>
      <c r="AS57" t="s">
        <v>2976</v>
      </c>
      <c r="AT57">
        <v>49</v>
      </c>
      <c r="AU57" t="s">
        <v>739</v>
      </c>
      <c r="AV57" t="s">
        <v>2554</v>
      </c>
    </row>
    <row r="58" spans="1:48">
      <c r="A58" s="1">
        <f>HYPERLINK("https://lsnyc.legalserver.org/matter/dynamic-profile/view/0745411","13-0745411")</f>
        <v>0</v>
      </c>
      <c r="B58" t="s">
        <v>2551</v>
      </c>
      <c r="C58" t="s">
        <v>55</v>
      </c>
      <c r="D58" t="s">
        <v>2588</v>
      </c>
      <c r="F58" t="s">
        <v>2632</v>
      </c>
      <c r="G58" t="s">
        <v>2688</v>
      </c>
      <c r="H58" t="s">
        <v>2751</v>
      </c>
      <c r="J58">
        <v>11211</v>
      </c>
      <c r="K58" t="s">
        <v>423</v>
      </c>
      <c r="L58" t="s">
        <v>422</v>
      </c>
      <c r="M58" t="s">
        <v>2814</v>
      </c>
      <c r="O58" t="s">
        <v>445</v>
      </c>
      <c r="Q58" t="s">
        <v>450</v>
      </c>
      <c r="S58" t="s">
        <v>451</v>
      </c>
      <c r="T58" t="s">
        <v>453</v>
      </c>
      <c r="W58">
        <v>0</v>
      </c>
      <c r="X58" t="s">
        <v>458</v>
      </c>
      <c r="AA58" t="s">
        <v>2880</v>
      </c>
      <c r="AC58" t="s">
        <v>2944</v>
      </c>
      <c r="AD58">
        <v>0</v>
      </c>
      <c r="AG58">
        <v>0</v>
      </c>
      <c r="AH58">
        <v>4</v>
      </c>
      <c r="AI58">
        <v>4</v>
      </c>
      <c r="AJ58">
        <v>70.65000000000001</v>
      </c>
      <c r="AM58" t="s">
        <v>629</v>
      </c>
      <c r="AN58">
        <v>28000</v>
      </c>
      <c r="AT58">
        <v>849.95</v>
      </c>
      <c r="AU58" t="s">
        <v>652</v>
      </c>
      <c r="AV58" t="s">
        <v>2993</v>
      </c>
    </row>
    <row r="59" spans="1:48">
      <c r="A59" s="1">
        <f>HYPERLINK("https://lsnyc.legalserver.org/matter/dynamic-profile/view/1891852","19-1891852")</f>
        <v>0</v>
      </c>
      <c r="B59" t="s">
        <v>2552</v>
      </c>
      <c r="C59" t="s">
        <v>55</v>
      </c>
      <c r="D59" t="s">
        <v>2565</v>
      </c>
      <c r="F59" t="s">
        <v>2633</v>
      </c>
      <c r="G59" t="s">
        <v>2689</v>
      </c>
      <c r="H59" t="s">
        <v>2752</v>
      </c>
      <c r="I59" t="s">
        <v>371</v>
      </c>
      <c r="J59">
        <v>10019</v>
      </c>
      <c r="K59" t="s">
        <v>422</v>
      </c>
      <c r="L59" t="s">
        <v>422</v>
      </c>
      <c r="Q59" t="s">
        <v>450</v>
      </c>
      <c r="T59" t="s">
        <v>2825</v>
      </c>
      <c r="W59">
        <v>0</v>
      </c>
      <c r="X59" t="s">
        <v>458</v>
      </c>
      <c r="AA59" t="s">
        <v>2881</v>
      </c>
      <c r="AC59" t="s">
        <v>2945</v>
      </c>
      <c r="AD59">
        <v>0</v>
      </c>
      <c r="AG59">
        <v>0</v>
      </c>
      <c r="AH59">
        <v>2</v>
      </c>
      <c r="AI59">
        <v>0</v>
      </c>
      <c r="AJ59">
        <v>14.19</v>
      </c>
      <c r="AM59" t="s">
        <v>629</v>
      </c>
      <c r="AN59">
        <v>2400</v>
      </c>
      <c r="AT59">
        <v>0.5</v>
      </c>
      <c r="AU59" t="s">
        <v>2565</v>
      </c>
      <c r="AV59" t="s">
        <v>2552</v>
      </c>
    </row>
    <row r="60" spans="1:48">
      <c r="A60" s="1">
        <f>HYPERLINK("https://lsnyc.legalserver.org/matter/dynamic-profile/view/1872395","18-1872395")</f>
        <v>0</v>
      </c>
      <c r="B60" t="s">
        <v>2552</v>
      </c>
      <c r="C60" t="s">
        <v>54</v>
      </c>
      <c r="D60" t="s">
        <v>782</v>
      </c>
      <c r="E60" t="s">
        <v>793</v>
      </c>
      <c r="F60" t="s">
        <v>2634</v>
      </c>
      <c r="G60" t="s">
        <v>2690</v>
      </c>
      <c r="H60" t="s">
        <v>2753</v>
      </c>
      <c r="J60">
        <v>11238</v>
      </c>
      <c r="K60" t="s">
        <v>422</v>
      </c>
      <c r="L60" t="s">
        <v>422</v>
      </c>
      <c r="P60" t="s">
        <v>447</v>
      </c>
      <c r="Q60" t="s">
        <v>450</v>
      </c>
      <c r="S60" t="s">
        <v>450</v>
      </c>
      <c r="T60" t="s">
        <v>2825</v>
      </c>
      <c r="W60">
        <v>0</v>
      </c>
      <c r="X60" t="s">
        <v>458</v>
      </c>
      <c r="Z60" t="s">
        <v>2828</v>
      </c>
      <c r="AA60" t="s">
        <v>2882</v>
      </c>
      <c r="AD60">
        <v>0</v>
      </c>
      <c r="AG60">
        <v>0</v>
      </c>
      <c r="AH60">
        <v>1</v>
      </c>
      <c r="AI60">
        <v>1</v>
      </c>
      <c r="AJ60">
        <v>116.65</v>
      </c>
      <c r="AM60" t="s">
        <v>629</v>
      </c>
      <c r="AN60">
        <v>19200</v>
      </c>
      <c r="AT60">
        <v>3.9</v>
      </c>
      <c r="AU60" t="s">
        <v>793</v>
      </c>
      <c r="AV60" t="s">
        <v>2552</v>
      </c>
    </row>
    <row r="61" spans="1:48">
      <c r="A61" s="1">
        <f>HYPERLINK("https://lsnyc.legalserver.org/matter/dynamic-profile/view/1872816","18-1872816")</f>
        <v>0</v>
      </c>
      <c r="B61" t="s">
        <v>2552</v>
      </c>
      <c r="C61" t="s">
        <v>55</v>
      </c>
      <c r="D61" t="s">
        <v>778</v>
      </c>
      <c r="F61" t="s">
        <v>2635</v>
      </c>
      <c r="G61" t="s">
        <v>2691</v>
      </c>
      <c r="J61">
        <v>11201</v>
      </c>
      <c r="K61" t="s">
        <v>422</v>
      </c>
      <c r="L61" t="s">
        <v>422</v>
      </c>
      <c r="Q61" t="s">
        <v>450</v>
      </c>
      <c r="T61" t="s">
        <v>2825</v>
      </c>
      <c r="W61">
        <v>0</v>
      </c>
      <c r="X61" t="s">
        <v>458</v>
      </c>
      <c r="AA61" t="s">
        <v>2883</v>
      </c>
      <c r="AC61" t="s">
        <v>2946</v>
      </c>
      <c r="AD61">
        <v>0</v>
      </c>
      <c r="AG61">
        <v>0</v>
      </c>
      <c r="AH61">
        <v>1</v>
      </c>
      <c r="AI61">
        <v>0</v>
      </c>
      <c r="AJ61">
        <v>119.97</v>
      </c>
      <c r="AM61" t="s">
        <v>629</v>
      </c>
      <c r="AN61">
        <v>14564</v>
      </c>
      <c r="AT61">
        <v>13.3</v>
      </c>
      <c r="AU61" t="s">
        <v>659</v>
      </c>
      <c r="AV61" t="s">
        <v>2552</v>
      </c>
    </row>
    <row r="62" spans="1:48">
      <c r="A62" s="1">
        <f>HYPERLINK("https://lsnyc.legalserver.org/matter/dynamic-profile/view/1881904","18-1881904")</f>
        <v>0</v>
      </c>
      <c r="B62" t="s">
        <v>2552</v>
      </c>
      <c r="C62" t="s">
        <v>54</v>
      </c>
      <c r="D62" t="s">
        <v>2503</v>
      </c>
      <c r="E62" t="s">
        <v>753</v>
      </c>
      <c r="F62" t="s">
        <v>930</v>
      </c>
      <c r="G62" t="s">
        <v>2692</v>
      </c>
      <c r="H62" t="s">
        <v>2754</v>
      </c>
      <c r="I62" t="s">
        <v>2786</v>
      </c>
      <c r="J62">
        <v>11210</v>
      </c>
      <c r="K62" t="s">
        <v>423</v>
      </c>
      <c r="L62" t="s">
        <v>423</v>
      </c>
      <c r="M62" t="s">
        <v>2815</v>
      </c>
      <c r="N62" t="s">
        <v>1823</v>
      </c>
      <c r="O62" t="s">
        <v>443</v>
      </c>
      <c r="P62" t="s">
        <v>447</v>
      </c>
      <c r="Q62" t="s">
        <v>450</v>
      </c>
      <c r="R62" t="s">
        <v>423</v>
      </c>
      <c r="S62" t="s">
        <v>450</v>
      </c>
      <c r="T62" t="s">
        <v>2825</v>
      </c>
      <c r="W62">
        <v>1019.2</v>
      </c>
      <c r="X62" t="s">
        <v>458</v>
      </c>
      <c r="Z62" t="s">
        <v>2828</v>
      </c>
      <c r="AA62" t="s">
        <v>2884</v>
      </c>
      <c r="AC62" t="s">
        <v>2947</v>
      </c>
      <c r="AD62">
        <v>0</v>
      </c>
      <c r="AE62" t="s">
        <v>622</v>
      </c>
      <c r="AG62">
        <v>20</v>
      </c>
      <c r="AH62">
        <v>3</v>
      </c>
      <c r="AI62">
        <v>0</v>
      </c>
      <c r="AJ62">
        <v>226.18</v>
      </c>
      <c r="AM62" t="s">
        <v>629</v>
      </c>
      <c r="AN62">
        <v>47000</v>
      </c>
      <c r="AT62">
        <v>3.5</v>
      </c>
      <c r="AU62" t="s">
        <v>85</v>
      </c>
      <c r="AV62" t="s">
        <v>2552</v>
      </c>
    </row>
    <row r="63" spans="1:48">
      <c r="A63" s="1">
        <f>HYPERLINK("https://lsnyc.legalserver.org/matter/dynamic-profile/view/0813519","16-0813519")</f>
        <v>0</v>
      </c>
      <c r="B63" t="s">
        <v>2553</v>
      </c>
      <c r="C63" t="s">
        <v>54</v>
      </c>
      <c r="D63" t="s">
        <v>2589</v>
      </c>
      <c r="E63" t="s">
        <v>2598</v>
      </c>
      <c r="F63" t="s">
        <v>2636</v>
      </c>
      <c r="G63" t="s">
        <v>1043</v>
      </c>
      <c r="H63" t="s">
        <v>2755</v>
      </c>
      <c r="I63" t="s">
        <v>1607</v>
      </c>
      <c r="J63">
        <v>11236</v>
      </c>
      <c r="K63" t="s">
        <v>423</v>
      </c>
      <c r="L63" t="s">
        <v>422</v>
      </c>
      <c r="N63" t="s">
        <v>439</v>
      </c>
      <c r="O63" t="s">
        <v>446</v>
      </c>
      <c r="P63" t="s">
        <v>1827</v>
      </c>
      <c r="Q63" t="s">
        <v>450</v>
      </c>
      <c r="S63" t="s">
        <v>451</v>
      </c>
      <c r="T63" t="s">
        <v>453</v>
      </c>
      <c r="W63">
        <v>0</v>
      </c>
      <c r="X63" t="s">
        <v>458</v>
      </c>
      <c r="Z63" t="s">
        <v>475</v>
      </c>
      <c r="AA63" t="s">
        <v>2885</v>
      </c>
      <c r="AD63">
        <v>0</v>
      </c>
      <c r="AG63">
        <v>0</v>
      </c>
      <c r="AH63">
        <v>2</v>
      </c>
      <c r="AI63">
        <v>1</v>
      </c>
      <c r="AJ63">
        <v>107.14</v>
      </c>
      <c r="AM63" t="s">
        <v>629</v>
      </c>
      <c r="AN63">
        <v>23200</v>
      </c>
      <c r="AT63">
        <v>96.95</v>
      </c>
      <c r="AU63" t="s">
        <v>93</v>
      </c>
      <c r="AV63" t="s">
        <v>2553</v>
      </c>
    </row>
    <row r="64" spans="1:48">
      <c r="A64" s="1">
        <f>HYPERLINK("https://lsnyc.legalserver.org/matter/dynamic-profile/view/0801900","16-0801900")</f>
        <v>0</v>
      </c>
      <c r="B64" t="s">
        <v>2554</v>
      </c>
      <c r="C64" t="s">
        <v>54</v>
      </c>
      <c r="D64" t="s">
        <v>2590</v>
      </c>
      <c r="E64" t="s">
        <v>844</v>
      </c>
      <c r="F64" t="s">
        <v>988</v>
      </c>
      <c r="G64" t="s">
        <v>2693</v>
      </c>
      <c r="H64" t="s">
        <v>2756</v>
      </c>
      <c r="I64" t="s">
        <v>2787</v>
      </c>
      <c r="J64">
        <v>11220</v>
      </c>
      <c r="K64" t="s">
        <v>424</v>
      </c>
      <c r="L64" t="s">
        <v>422</v>
      </c>
      <c r="M64" t="s">
        <v>2816</v>
      </c>
      <c r="N64" t="s">
        <v>434</v>
      </c>
      <c r="O64" t="s">
        <v>445</v>
      </c>
      <c r="P64" t="s">
        <v>2822</v>
      </c>
      <c r="Q64" t="s">
        <v>450</v>
      </c>
      <c r="S64" t="s">
        <v>451</v>
      </c>
      <c r="T64" t="s">
        <v>453</v>
      </c>
      <c r="W64">
        <v>1011.66</v>
      </c>
      <c r="X64" t="s">
        <v>458</v>
      </c>
      <c r="Y64" t="s">
        <v>460</v>
      </c>
      <c r="Z64" t="s">
        <v>475</v>
      </c>
      <c r="AA64" t="s">
        <v>2886</v>
      </c>
      <c r="AC64" t="s">
        <v>2948</v>
      </c>
      <c r="AD64">
        <v>48</v>
      </c>
      <c r="AE64" t="s">
        <v>2954</v>
      </c>
      <c r="AF64" t="s">
        <v>2427</v>
      </c>
      <c r="AG64">
        <v>15</v>
      </c>
      <c r="AH64">
        <v>2</v>
      </c>
      <c r="AI64">
        <v>2</v>
      </c>
      <c r="AJ64">
        <v>44.49</v>
      </c>
      <c r="AM64" t="s">
        <v>629</v>
      </c>
      <c r="AN64">
        <v>10812</v>
      </c>
      <c r="AP64" t="s">
        <v>2961</v>
      </c>
      <c r="AQ64" t="s">
        <v>2962</v>
      </c>
      <c r="AR64" t="s">
        <v>2964</v>
      </c>
      <c r="AS64" t="s">
        <v>2977</v>
      </c>
      <c r="AT64">
        <v>95.5</v>
      </c>
      <c r="AU64" t="s">
        <v>2983</v>
      </c>
      <c r="AV64" t="s">
        <v>53</v>
      </c>
    </row>
    <row r="65" spans="1:48">
      <c r="A65" s="1">
        <f>HYPERLINK("https://lsnyc.legalserver.org/matter/dynamic-profile/view/1875000","18-1875000")</f>
        <v>0</v>
      </c>
      <c r="B65" t="s">
        <v>2555</v>
      </c>
      <c r="C65" t="s">
        <v>55</v>
      </c>
      <c r="D65" t="s">
        <v>768</v>
      </c>
      <c r="F65" t="s">
        <v>2637</v>
      </c>
      <c r="G65" t="s">
        <v>2694</v>
      </c>
      <c r="H65" t="s">
        <v>2757</v>
      </c>
      <c r="I65" t="s">
        <v>2788</v>
      </c>
      <c r="J65">
        <v>11214</v>
      </c>
      <c r="K65" t="s">
        <v>422</v>
      </c>
      <c r="L65" t="s">
        <v>422</v>
      </c>
      <c r="N65" t="s">
        <v>434</v>
      </c>
      <c r="O65" t="s">
        <v>445</v>
      </c>
      <c r="Q65" t="s">
        <v>450</v>
      </c>
      <c r="R65" t="s">
        <v>423</v>
      </c>
      <c r="T65" t="s">
        <v>453</v>
      </c>
      <c r="W65">
        <v>600</v>
      </c>
      <c r="X65" t="s">
        <v>458</v>
      </c>
      <c r="AA65" t="s">
        <v>2887</v>
      </c>
      <c r="AD65">
        <v>0</v>
      </c>
      <c r="AE65" t="s">
        <v>2955</v>
      </c>
      <c r="AF65" t="s">
        <v>625</v>
      </c>
      <c r="AG65">
        <v>4</v>
      </c>
      <c r="AH65">
        <v>2</v>
      </c>
      <c r="AI65">
        <v>0</v>
      </c>
      <c r="AJ65">
        <v>124.67</v>
      </c>
      <c r="AN65">
        <v>20520</v>
      </c>
      <c r="AT65">
        <v>33.95</v>
      </c>
      <c r="AU65" t="s">
        <v>56</v>
      </c>
      <c r="AV65" t="s">
        <v>2519</v>
      </c>
    </row>
    <row r="66" spans="1:48">
      <c r="A66" s="1">
        <f>HYPERLINK("https://lsnyc.legalserver.org/matter/dynamic-profile/view/1883384","18-1883384")</f>
        <v>0</v>
      </c>
      <c r="B66" t="s">
        <v>2556</v>
      </c>
      <c r="C66" t="s">
        <v>55</v>
      </c>
      <c r="D66" t="s">
        <v>93</v>
      </c>
      <c r="F66" t="s">
        <v>2638</v>
      </c>
      <c r="G66" t="s">
        <v>2695</v>
      </c>
      <c r="H66" t="s">
        <v>2758</v>
      </c>
      <c r="I66" t="s">
        <v>1689</v>
      </c>
      <c r="J66">
        <v>11210</v>
      </c>
      <c r="K66" t="s">
        <v>422</v>
      </c>
      <c r="L66" t="s">
        <v>422</v>
      </c>
      <c r="Q66" t="s">
        <v>450</v>
      </c>
      <c r="T66" t="s">
        <v>2825</v>
      </c>
      <c r="W66">
        <v>0</v>
      </c>
      <c r="X66" t="s">
        <v>458</v>
      </c>
      <c r="AA66" t="s">
        <v>2888</v>
      </c>
      <c r="AC66" t="s">
        <v>2949</v>
      </c>
      <c r="AD66">
        <v>0</v>
      </c>
      <c r="AG66">
        <v>0</v>
      </c>
      <c r="AH66">
        <v>1</v>
      </c>
      <c r="AI66">
        <v>1</v>
      </c>
      <c r="AJ66">
        <v>212.64</v>
      </c>
      <c r="AM66" t="s">
        <v>629</v>
      </c>
      <c r="AN66">
        <v>35000</v>
      </c>
      <c r="AT66">
        <v>0.5</v>
      </c>
      <c r="AU66" t="s">
        <v>93</v>
      </c>
      <c r="AV66" t="s">
        <v>2514</v>
      </c>
    </row>
    <row r="67" spans="1:48">
      <c r="A67" s="1">
        <f>HYPERLINK("https://lsnyc.legalserver.org/matter/dynamic-profile/view/0819244","16-0819244")</f>
        <v>0</v>
      </c>
      <c r="B67" t="s">
        <v>2557</v>
      </c>
      <c r="C67" t="s">
        <v>55</v>
      </c>
      <c r="D67" t="s">
        <v>2591</v>
      </c>
      <c r="F67" t="s">
        <v>2639</v>
      </c>
      <c r="G67" t="s">
        <v>1135</v>
      </c>
      <c r="H67" t="s">
        <v>2708</v>
      </c>
      <c r="I67" t="s">
        <v>1622</v>
      </c>
      <c r="J67">
        <v>11226</v>
      </c>
      <c r="K67" t="s">
        <v>423</v>
      </c>
      <c r="L67" t="s">
        <v>422</v>
      </c>
      <c r="M67" t="s">
        <v>2817</v>
      </c>
      <c r="N67" t="s">
        <v>437</v>
      </c>
      <c r="O67" t="s">
        <v>445</v>
      </c>
      <c r="Q67" t="s">
        <v>450</v>
      </c>
      <c r="R67" t="s">
        <v>424</v>
      </c>
      <c r="S67" t="s">
        <v>2823</v>
      </c>
      <c r="T67" t="s">
        <v>453</v>
      </c>
      <c r="W67">
        <v>1560.44</v>
      </c>
      <c r="X67" t="s">
        <v>458</v>
      </c>
      <c r="Y67" t="s">
        <v>462</v>
      </c>
      <c r="Z67" t="s">
        <v>475</v>
      </c>
      <c r="AA67" t="s">
        <v>2889</v>
      </c>
      <c r="AC67" t="s">
        <v>2950</v>
      </c>
      <c r="AD67">
        <v>60</v>
      </c>
      <c r="AE67" t="s">
        <v>622</v>
      </c>
      <c r="AF67" t="s">
        <v>626</v>
      </c>
      <c r="AG67">
        <v>33</v>
      </c>
      <c r="AH67">
        <v>2</v>
      </c>
      <c r="AI67">
        <v>0</v>
      </c>
      <c r="AJ67">
        <v>0</v>
      </c>
      <c r="AM67" t="s">
        <v>629</v>
      </c>
      <c r="AN67">
        <v>0</v>
      </c>
      <c r="AT67">
        <v>58.55</v>
      </c>
      <c r="AU67" t="s">
        <v>654</v>
      </c>
      <c r="AV67" t="s">
        <v>664</v>
      </c>
    </row>
    <row r="68" spans="1:48">
      <c r="A68" s="1">
        <f>HYPERLINK("https://lsnyc.legalserver.org/matter/dynamic-profile/view/0807769","16-0807769")</f>
        <v>0</v>
      </c>
      <c r="B68" t="s">
        <v>2557</v>
      </c>
      <c r="C68" t="s">
        <v>54</v>
      </c>
      <c r="D68" t="s">
        <v>2592</v>
      </c>
      <c r="E68" t="s">
        <v>830</v>
      </c>
      <c r="F68" t="s">
        <v>2640</v>
      </c>
      <c r="G68" t="s">
        <v>2696</v>
      </c>
      <c r="H68" t="s">
        <v>2759</v>
      </c>
      <c r="I68" t="s">
        <v>2789</v>
      </c>
      <c r="J68">
        <v>11224</v>
      </c>
      <c r="K68" t="s">
        <v>423</v>
      </c>
      <c r="L68" t="s">
        <v>422</v>
      </c>
      <c r="N68" t="s">
        <v>1821</v>
      </c>
      <c r="O68" t="s">
        <v>443</v>
      </c>
      <c r="P68" t="s">
        <v>448</v>
      </c>
      <c r="Q68" t="s">
        <v>450</v>
      </c>
      <c r="S68" t="s">
        <v>451</v>
      </c>
      <c r="T68" t="s">
        <v>455</v>
      </c>
      <c r="W68">
        <v>1890</v>
      </c>
      <c r="X68" t="s">
        <v>458</v>
      </c>
      <c r="Y68" t="s">
        <v>460</v>
      </c>
      <c r="Z68" t="s">
        <v>473</v>
      </c>
      <c r="AA68" t="s">
        <v>2890</v>
      </c>
      <c r="AC68" t="s">
        <v>2951</v>
      </c>
      <c r="AD68">
        <v>0</v>
      </c>
      <c r="AE68" t="s">
        <v>622</v>
      </c>
      <c r="AF68" t="s">
        <v>626</v>
      </c>
      <c r="AG68">
        <v>16</v>
      </c>
      <c r="AH68">
        <v>1</v>
      </c>
      <c r="AI68">
        <v>2</v>
      </c>
      <c r="AJ68">
        <v>23.81</v>
      </c>
      <c r="AM68" t="s">
        <v>629</v>
      </c>
      <c r="AN68">
        <v>4800</v>
      </c>
      <c r="AT68">
        <v>19.25</v>
      </c>
      <c r="AU68" t="s">
        <v>642</v>
      </c>
      <c r="AV68" t="s">
        <v>2557</v>
      </c>
    </row>
    <row r="69" spans="1:48">
      <c r="A69" s="1">
        <f>HYPERLINK("https://lsnyc.legalserver.org/matter/dynamic-profile/view/1860718","18-1860718")</f>
        <v>0</v>
      </c>
      <c r="B69" t="s">
        <v>2557</v>
      </c>
      <c r="C69" t="s">
        <v>55</v>
      </c>
      <c r="D69" t="s">
        <v>79</v>
      </c>
      <c r="F69" t="s">
        <v>2641</v>
      </c>
      <c r="G69" t="s">
        <v>2697</v>
      </c>
      <c r="H69" t="s">
        <v>2760</v>
      </c>
      <c r="I69" t="s">
        <v>386</v>
      </c>
      <c r="J69">
        <v>11235</v>
      </c>
      <c r="K69" t="s">
        <v>423</v>
      </c>
      <c r="L69" t="s">
        <v>422</v>
      </c>
      <c r="M69" t="s">
        <v>2818</v>
      </c>
      <c r="N69" t="s">
        <v>437</v>
      </c>
      <c r="O69" t="s">
        <v>445</v>
      </c>
      <c r="Q69" t="s">
        <v>450</v>
      </c>
      <c r="R69" t="s">
        <v>423</v>
      </c>
      <c r="T69" t="s">
        <v>453</v>
      </c>
      <c r="W69">
        <v>1500</v>
      </c>
      <c r="X69" t="s">
        <v>458</v>
      </c>
      <c r="Y69" t="s">
        <v>467</v>
      </c>
      <c r="AA69" t="s">
        <v>2891</v>
      </c>
      <c r="AC69" t="s">
        <v>2952</v>
      </c>
      <c r="AD69">
        <v>5</v>
      </c>
      <c r="AE69" t="s">
        <v>622</v>
      </c>
      <c r="AF69" t="s">
        <v>625</v>
      </c>
      <c r="AG69">
        <v>2</v>
      </c>
      <c r="AH69">
        <v>2</v>
      </c>
      <c r="AI69">
        <v>0</v>
      </c>
      <c r="AJ69">
        <v>200.49</v>
      </c>
      <c r="AM69" t="s">
        <v>629</v>
      </c>
      <c r="AN69">
        <v>33000</v>
      </c>
      <c r="AT69">
        <v>22.5</v>
      </c>
      <c r="AU69" t="s">
        <v>699</v>
      </c>
      <c r="AV69" t="s">
        <v>665</v>
      </c>
    </row>
    <row r="70" spans="1:48">
      <c r="A70" s="1">
        <f>HYPERLINK("https://lsnyc.legalserver.org/matter/dynamic-profile/view/0810502","16-0810502")</f>
        <v>0</v>
      </c>
      <c r="B70" t="s">
        <v>2557</v>
      </c>
      <c r="C70" t="s">
        <v>55</v>
      </c>
      <c r="D70" t="s">
        <v>2593</v>
      </c>
      <c r="F70" t="s">
        <v>2642</v>
      </c>
      <c r="G70" t="s">
        <v>2698</v>
      </c>
      <c r="H70" t="s">
        <v>2761</v>
      </c>
      <c r="J70">
        <v>11217</v>
      </c>
      <c r="K70" t="s">
        <v>424</v>
      </c>
      <c r="L70" t="s">
        <v>422</v>
      </c>
      <c r="M70" t="s">
        <v>2819</v>
      </c>
      <c r="N70" t="s">
        <v>434</v>
      </c>
      <c r="O70" t="s">
        <v>445</v>
      </c>
      <c r="Q70" t="s">
        <v>450</v>
      </c>
      <c r="S70" t="s">
        <v>451</v>
      </c>
      <c r="T70" t="s">
        <v>453</v>
      </c>
      <c r="W70">
        <v>270</v>
      </c>
      <c r="X70" t="s">
        <v>458</v>
      </c>
      <c r="Y70" t="s">
        <v>463</v>
      </c>
      <c r="AA70" t="s">
        <v>2892</v>
      </c>
      <c r="AD70">
        <v>6</v>
      </c>
      <c r="AE70" t="s">
        <v>622</v>
      </c>
      <c r="AF70" t="s">
        <v>625</v>
      </c>
      <c r="AG70">
        <v>6</v>
      </c>
      <c r="AH70">
        <v>1</v>
      </c>
      <c r="AI70">
        <v>0</v>
      </c>
      <c r="AJ70">
        <v>311.45</v>
      </c>
      <c r="AM70" t="s">
        <v>629</v>
      </c>
      <c r="AN70">
        <v>37000</v>
      </c>
      <c r="AT70">
        <v>205</v>
      </c>
      <c r="AU70" t="s">
        <v>654</v>
      </c>
      <c r="AV70" t="s">
        <v>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Flatbush </vt:lpstr>
      <vt:lpstr>Brownville </vt:lpstr>
      <vt:lpstr>Others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2019-07-09T14:04:33Z</dcterms:created>
  <dcterms:modified xsi:type="dcterms:W3CDTF">2019-07-09T14:04:33Z</dcterms:modified>
</cp:coreProperties>
</file>