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E fy 19" sheetId="1" r:id="rId1"/>
    <sheet name="Sheet1" sheetId="2" r:id="rId2"/>
    <sheet name="FY 19" sheetId="3" r:id="rId3"/>
    <sheet name="Sheet3" sheetId="4" r:id="rId4"/>
  </sheets>
  <calcPr calcId="124519" fullCalcOnLoad="1"/>
</workbook>
</file>

<file path=xl/sharedStrings.xml><?xml version="1.0" encoding="utf-8"?>
<sst xmlns="http://schemas.openxmlformats.org/spreadsheetml/2006/main" count="13742" uniqueCount="3476">
  <si>
    <t>Hyperlinked Case #</t>
  </si>
  <si>
    <t>Primary Advocate</t>
  </si>
  <si>
    <t>Case Disposition</t>
  </si>
  <si>
    <t>Date Opened</t>
  </si>
  <si>
    <t>Date Closed</t>
  </si>
  <si>
    <t>Client First Name</t>
  </si>
  <si>
    <t>Client Last Name</t>
  </si>
  <si>
    <t>Street Address</t>
  </si>
  <si>
    <t>Apt#/Suite#</t>
  </si>
  <si>
    <t>City</t>
  </si>
  <si>
    <t>State</t>
  </si>
  <si>
    <t>Zip Code</t>
  </si>
  <si>
    <t>HRA Release?</t>
  </si>
  <si>
    <t>Housing Signed DHCI Form</t>
  </si>
  <si>
    <t>Referral Source</t>
  </si>
  <si>
    <t>Gen Case Index Number</t>
  </si>
  <si>
    <t>Housing Years Living In Apartment</t>
  </si>
  <si>
    <t>Housing Type Of Case</t>
  </si>
  <si>
    <t>Housing Level of Service</t>
  </si>
  <si>
    <t>Close Reason</t>
  </si>
  <si>
    <t>Primary Funding Code</t>
  </si>
  <si>
    <t>Group</t>
  </si>
  <si>
    <t>Housing Building Case?</t>
  </si>
  <si>
    <t>Secondary Funding Codes</t>
  </si>
  <si>
    <t>Legal Problem Code</t>
  </si>
  <si>
    <t>Housing Posture of Case on Eligibility Date</t>
  </si>
  <si>
    <t>Eligibility Month and Day</t>
  </si>
  <si>
    <t>Eligibility Year</t>
  </si>
  <si>
    <t>Housing Tenant’s Share Of Rent</t>
  </si>
  <si>
    <t>Housing Total Monthly Rent</t>
  </si>
  <si>
    <t>Total Time For Case</t>
  </si>
  <si>
    <t>Assigned Branch/CC</t>
  </si>
  <si>
    <t>Outcome</t>
  </si>
  <si>
    <t>Date of Birth</t>
  </si>
  <si>
    <t>Gen Pub Assist Case Number</t>
  </si>
  <si>
    <t>Social Security #</t>
  </si>
  <si>
    <t>Housing Number Of Units In Building</t>
  </si>
  <si>
    <t>Housing Form Of Regulation</t>
  </si>
  <si>
    <t>Number of People 18 and Over</t>
  </si>
  <si>
    <t>Number of People under 18</t>
  </si>
  <si>
    <t>Percentage of Poverty</t>
  </si>
  <si>
    <t>Housing Date Of Waiver Approval</t>
  </si>
  <si>
    <t>Housing TRC HRA Waiver Categories</t>
  </si>
  <si>
    <t>Housing HPLP Household Category</t>
  </si>
  <si>
    <t>Housing Subsidy Type</t>
  </si>
  <si>
    <t>Language</t>
  </si>
  <si>
    <t xml:space="preserve">Total Annual Income </t>
  </si>
  <si>
    <t>Housing Proof Public Assistance</t>
  </si>
  <si>
    <t>Housing Verification Of Income</t>
  </si>
  <si>
    <t>Housing Funding Note</t>
  </si>
  <si>
    <t>Caseworker Name</t>
  </si>
  <si>
    <t>Housing Activity Indicators</t>
  </si>
  <si>
    <t>Housing Services Rendered to Client</t>
  </si>
  <si>
    <t>Income Types</t>
  </si>
  <si>
    <t>Housing Outcome</t>
  </si>
  <si>
    <t>Housing Outcome Date</t>
  </si>
  <si>
    <t>Service Date</t>
  </si>
  <si>
    <t>Housing Income Verification</t>
  </si>
  <si>
    <t>Watson, Michael</t>
  </si>
  <si>
    <t>Ginsberg, Irene</t>
  </si>
  <si>
    <t>Stevens, Jean</t>
  </si>
  <si>
    <t>Ross, Jasmine</t>
  </si>
  <si>
    <t>Geha, Nada</t>
  </si>
  <si>
    <t>Reed, Jessica</t>
  </si>
  <si>
    <t>Gennari, Regina</t>
  </si>
  <si>
    <t>Dolin, Brett</t>
  </si>
  <si>
    <t>Drumm, Kristen</t>
  </si>
  <si>
    <t>Castronovo, Julian</t>
  </si>
  <si>
    <t>Carter, Corinthia</t>
  </si>
  <si>
    <t>Pangonis, Dustin</t>
  </si>
  <si>
    <t>Elmore, Josh</t>
  </si>
  <si>
    <t>Pajot-Keiler, Elise</t>
  </si>
  <si>
    <t>Miller, Thomas</t>
  </si>
  <si>
    <t>Haarmann, Landry</t>
  </si>
  <si>
    <t>Fuller-Bennett, Reuben</t>
  </si>
  <si>
    <t>Gardner III, George</t>
  </si>
  <si>
    <t>McHugh Mills, Maura</t>
  </si>
  <si>
    <t>Odoemene, Udoka</t>
  </si>
  <si>
    <t>MacRae, John</t>
  </si>
  <si>
    <t>Lee, Jooyeon</t>
  </si>
  <si>
    <t>Open</t>
  </si>
  <si>
    <t>03/21/2017</t>
  </si>
  <si>
    <t>04/11/2017</t>
  </si>
  <si>
    <t>04/20/2017</t>
  </si>
  <si>
    <t>12/19/2016</t>
  </si>
  <si>
    <t>08/10/2017</t>
  </si>
  <si>
    <t>01/12/2017</t>
  </si>
  <si>
    <t>10/16/2017</t>
  </si>
  <si>
    <t>09/28/2017</t>
  </si>
  <si>
    <t>08/24/2017</t>
  </si>
  <si>
    <t>07/21/2017</t>
  </si>
  <si>
    <t>08/21/2017</t>
  </si>
  <si>
    <t>10/16/2019</t>
  </si>
  <si>
    <t>11/17/2017</t>
  </si>
  <si>
    <t>11/22/2017</t>
  </si>
  <si>
    <t>12/07/2017</t>
  </si>
  <si>
    <t>12/01/2017</t>
  </si>
  <si>
    <t>01/23/2018</t>
  </si>
  <si>
    <t>08/15/2017</t>
  </si>
  <si>
    <t>08/30/2017</t>
  </si>
  <si>
    <t>12/04/2017</t>
  </si>
  <si>
    <t>12/26/2017</t>
  </si>
  <si>
    <t>02/02/2018</t>
  </si>
  <si>
    <t>02/26/2018</t>
  </si>
  <si>
    <t>09/29/2017</t>
  </si>
  <si>
    <t>04/06/2018</t>
  </si>
  <si>
    <t>04/16/2018</t>
  </si>
  <si>
    <t>04/20/2018</t>
  </si>
  <si>
    <t>04/27/2018</t>
  </si>
  <si>
    <t>10/24/2017</t>
  </si>
  <si>
    <t>12/05/2017</t>
  </si>
  <si>
    <t>03/01/2018</t>
  </si>
  <si>
    <t>05/24/2018</t>
  </si>
  <si>
    <t>09/22/2015</t>
  </si>
  <si>
    <t>12/16/2016</t>
  </si>
  <si>
    <t>01/21/2016</t>
  </si>
  <si>
    <t>06/22/2018</t>
  </si>
  <si>
    <t>01/26/2018</t>
  </si>
  <si>
    <t>04/26/2018</t>
  </si>
  <si>
    <t>05/21/2018</t>
  </si>
  <si>
    <t>06/25/2018</t>
  </si>
  <si>
    <t>06/04/2018</t>
  </si>
  <si>
    <t>06/05/2018</t>
  </si>
  <si>
    <t>05/30/2018</t>
  </si>
  <si>
    <t>06/07/2018</t>
  </si>
  <si>
    <t>Jennifer</t>
  </si>
  <si>
    <t>Monai</t>
  </si>
  <si>
    <t>Nikia</t>
  </si>
  <si>
    <t>Kanya</t>
  </si>
  <si>
    <t>Saphora</t>
  </si>
  <si>
    <t>Carmela</t>
  </si>
  <si>
    <t>Shameeka</t>
  </si>
  <si>
    <t>Nekisha</t>
  </si>
  <si>
    <t>Ivan</t>
  </si>
  <si>
    <t>Linda</t>
  </si>
  <si>
    <t>Kyle</t>
  </si>
  <si>
    <t>Delores</t>
  </si>
  <si>
    <t>Elia</t>
  </si>
  <si>
    <t>Michael</t>
  </si>
  <si>
    <t>Emmanuel</t>
  </si>
  <si>
    <t>Crystal</t>
  </si>
  <si>
    <t>Deneen</t>
  </si>
  <si>
    <t>Carmen</t>
  </si>
  <si>
    <t>Eve</t>
  </si>
  <si>
    <t>Jeffery</t>
  </si>
  <si>
    <t>Rebecca</t>
  </si>
  <si>
    <t>Marie</t>
  </si>
  <si>
    <t>Wanda</t>
  </si>
  <si>
    <t>Valerie</t>
  </si>
  <si>
    <t>Matthew</t>
  </si>
  <si>
    <t>Sivia</t>
  </si>
  <si>
    <t>Shervonne</t>
  </si>
  <si>
    <t>Perricia</t>
  </si>
  <si>
    <t>Rafael</t>
  </si>
  <si>
    <t>Tholonious</t>
  </si>
  <si>
    <t>Migdalia</t>
  </si>
  <si>
    <t>Cyncerae</t>
  </si>
  <si>
    <t>Saleh</t>
  </si>
  <si>
    <t>William</t>
  </si>
  <si>
    <t>Joy</t>
  </si>
  <si>
    <t>Kenneth</t>
  </si>
  <si>
    <t>Celeste</t>
  </si>
  <si>
    <t>Edwin</t>
  </si>
  <si>
    <t>Maria</t>
  </si>
  <si>
    <t>Annette</t>
  </si>
  <si>
    <t>Kateema</t>
  </si>
  <si>
    <t>Sharon</t>
  </si>
  <si>
    <t>Jose</t>
  </si>
  <si>
    <t>Renee</t>
  </si>
  <si>
    <t>Wilmeth</t>
  </si>
  <si>
    <t>Mcallister</t>
  </si>
  <si>
    <t>Edwards</t>
  </si>
  <si>
    <t>Russell</t>
  </si>
  <si>
    <t>Magana</t>
  </si>
  <si>
    <t>Cantor Chino</t>
  </si>
  <si>
    <t>Anderson</t>
  </si>
  <si>
    <t>Caston</t>
  </si>
  <si>
    <t>Santiago</t>
  </si>
  <si>
    <t>Barnes</t>
  </si>
  <si>
    <t>Wong</t>
  </si>
  <si>
    <t>Duncan</t>
  </si>
  <si>
    <t>Bowers</t>
  </si>
  <si>
    <t>Sosa</t>
  </si>
  <si>
    <t>Jordan</t>
  </si>
  <si>
    <t>St. Remy</t>
  </si>
  <si>
    <t>Dupree</t>
  </si>
  <si>
    <t>Johnson</t>
  </si>
  <si>
    <t>Pagan</t>
  </si>
  <si>
    <t>Figueroa</t>
  </si>
  <si>
    <t>Rumph</t>
  </si>
  <si>
    <t>Carmel</t>
  </si>
  <si>
    <t>Trinvil</t>
  </si>
  <si>
    <t>Dejesus</t>
  </si>
  <si>
    <t>Coley</t>
  </si>
  <si>
    <t>Pavoni</t>
  </si>
  <si>
    <t>Phoenix</t>
  </si>
  <si>
    <t>Ryan-Farmakis</t>
  </si>
  <si>
    <t>Evans</t>
  </si>
  <si>
    <t>Sanchez</t>
  </si>
  <si>
    <t>O'Neal</t>
  </si>
  <si>
    <t>Mendez</t>
  </si>
  <si>
    <t>Pough</t>
  </si>
  <si>
    <t>Alnajjar</t>
  </si>
  <si>
    <t>Dunn</t>
  </si>
  <si>
    <t>Hockaday</t>
  </si>
  <si>
    <t>Hand</t>
  </si>
  <si>
    <t>Finney</t>
  </si>
  <si>
    <t>Cunningham</t>
  </si>
  <si>
    <t>Nuñez</t>
  </si>
  <si>
    <t>Monplaisir</t>
  </si>
  <si>
    <t>Milton</t>
  </si>
  <si>
    <t>Ruddy</t>
  </si>
  <si>
    <t>Solis</t>
  </si>
  <si>
    <t>Marshall</t>
  </si>
  <si>
    <t>464 Pulaski St</t>
  </si>
  <si>
    <t>828 Midwood St</t>
  </si>
  <si>
    <t>1590 E New York Ave</t>
  </si>
  <si>
    <t>22 Mill St</t>
  </si>
  <si>
    <t>2401 Cortelyou Rd</t>
  </si>
  <si>
    <t>32 Patchen Ave</t>
  </si>
  <si>
    <t>280 Mother Gaston Blvd</t>
  </si>
  <si>
    <t>2950 W 35th St</t>
  </si>
  <si>
    <t>156 Weirfield St</t>
  </si>
  <si>
    <t>2257 W 11th St</t>
  </si>
  <si>
    <t>380 Saint Johns Pl</t>
  </si>
  <si>
    <t>7 Dekalb Ave</t>
  </si>
  <si>
    <t>542 Gates Ave</t>
  </si>
  <si>
    <t>485 17th St</t>
  </si>
  <si>
    <t>240 Winthrop Street</t>
  </si>
  <si>
    <t>101 E 59th St</t>
  </si>
  <si>
    <t>2940 W 31st St</t>
  </si>
  <si>
    <t>572 Warren St</t>
  </si>
  <si>
    <t>186 Ten Eyck St</t>
  </si>
  <si>
    <t>735 Gates Ave</t>
  </si>
  <si>
    <t>193 Jefferson Ave</t>
  </si>
  <si>
    <t>319 3rd St</t>
  </si>
  <si>
    <t>64 Lincoln Rd</t>
  </si>
  <si>
    <t>298 Rogers Ave</t>
  </si>
  <si>
    <t>1 Saint Pauls Ct</t>
  </si>
  <si>
    <t>600 Lincoln Pl</t>
  </si>
  <si>
    <t>2502 E 19th St</t>
  </si>
  <si>
    <t>642 E 96th St</t>
  </si>
  <si>
    <t>196 Clinton Ave, C-53</t>
  </si>
  <si>
    <t>560 Winthrop St</t>
  </si>
  <si>
    <t>690 Quincy St</t>
  </si>
  <si>
    <t>362 Sutter Ave</t>
  </si>
  <si>
    <t>305 Linden Blvd</t>
  </si>
  <si>
    <t>506 94th St</t>
  </si>
  <si>
    <t>824 Putnam Ave</t>
  </si>
  <si>
    <t>124 Humboldt St</t>
  </si>
  <si>
    <t>193 Albany Ave</t>
  </si>
  <si>
    <t>285 Eastern Pkwy</t>
  </si>
  <si>
    <t>57 Herkimer St</t>
  </si>
  <si>
    <t>433 Halsey St</t>
  </si>
  <si>
    <t>320 Empire Blvd</t>
  </si>
  <si>
    <t>279 Lincoln Rd</t>
  </si>
  <si>
    <t>1330 Fulton St</t>
  </si>
  <si>
    <t>8201 4th ave</t>
  </si>
  <si>
    <t>303 Vernon Ave</t>
  </si>
  <si>
    <t>655 E 40th St</t>
  </si>
  <si>
    <t>4L</t>
  </si>
  <si>
    <t>2C</t>
  </si>
  <si>
    <t>9A</t>
  </si>
  <si>
    <t>6A</t>
  </si>
  <si>
    <t>apt 22</t>
  </si>
  <si>
    <t>#2D</t>
  </si>
  <si>
    <t>#3</t>
  </si>
  <si>
    <t>7G</t>
  </si>
  <si>
    <t>4R</t>
  </si>
  <si>
    <t>10R</t>
  </si>
  <si>
    <t>4D</t>
  </si>
  <si>
    <t>6-C</t>
  </si>
  <si>
    <t>1-R</t>
  </si>
  <si>
    <t>2H</t>
  </si>
  <si>
    <t>1K</t>
  </si>
  <si>
    <t>1-E</t>
  </si>
  <si>
    <t>2B</t>
  </si>
  <si>
    <t>1R</t>
  </si>
  <si>
    <t>4E</t>
  </si>
  <si>
    <t>3-D</t>
  </si>
  <si>
    <t>3C</t>
  </si>
  <si>
    <t>2F</t>
  </si>
  <si>
    <t>12A</t>
  </si>
  <si>
    <t>C-23</t>
  </si>
  <si>
    <t>9-A</t>
  </si>
  <si>
    <t>6L</t>
  </si>
  <si>
    <t>7F</t>
  </si>
  <si>
    <t>24-F</t>
  </si>
  <si>
    <t>Brooklyn</t>
  </si>
  <si>
    <t>NY</t>
  </si>
  <si>
    <t>Yes</t>
  </si>
  <si>
    <t xml:space="preserve"> </t>
  </si>
  <si>
    <t>HRA ELS Part F Brooklyn</t>
  </si>
  <si>
    <t>Returning Client</t>
  </si>
  <si>
    <t>Self-referred</t>
  </si>
  <si>
    <t>HRA</t>
  </si>
  <si>
    <t>Community Organization</t>
  </si>
  <si>
    <t>HRA ELS (Assigned Counsel)</t>
  </si>
  <si>
    <t>Court</t>
  </si>
  <si>
    <t>Other</t>
  </si>
  <si>
    <t>LT-59667-17/KI</t>
  </si>
  <si>
    <t>LT-060502-17/KI</t>
  </si>
  <si>
    <t>LID 841880-NB-2016</t>
  </si>
  <si>
    <t>LT-210840-16/RH</t>
  </si>
  <si>
    <t>LT-073919-17/KI</t>
  </si>
  <si>
    <t>CR-852796/16</t>
  </si>
  <si>
    <t>lid 851297</t>
  </si>
  <si>
    <t>LT-073240-17/KI</t>
  </si>
  <si>
    <t>LT-77477-17/KI</t>
  </si>
  <si>
    <t>LT-079370-19/KI</t>
  </si>
  <si>
    <t>LT-091698-17/KI</t>
  </si>
  <si>
    <t>LT-92124-17/ki</t>
  </si>
  <si>
    <t>LT-074639-17/KI</t>
  </si>
  <si>
    <t>LT-50870-18/KI</t>
  </si>
  <si>
    <t>883063-CR-2017</t>
  </si>
  <si>
    <t>863596-AN-2017</t>
  </si>
  <si>
    <t>LT93011-17/KI</t>
  </si>
  <si>
    <t>LT-096415-17/KI</t>
  </si>
  <si>
    <t>LT-096630-17/KI</t>
  </si>
  <si>
    <t>LT-052505-18/KI</t>
  </si>
  <si>
    <t>LT-3402-17/KI</t>
  </si>
  <si>
    <t>FQ 210151 R</t>
  </si>
  <si>
    <t>LT-051149-18/KI</t>
  </si>
  <si>
    <t>LT-080676-17/KI</t>
  </si>
  <si>
    <t>LT-064912-18/KI</t>
  </si>
  <si>
    <t>LID#883077-TD-2017</t>
  </si>
  <si>
    <t>LT-074118-16/KI</t>
  </si>
  <si>
    <t>LT-62430-18/KI</t>
  </si>
  <si>
    <t>LT-067511-18/KI</t>
  </si>
  <si>
    <t>LT-749907-KI</t>
  </si>
  <si>
    <t>LT-020723-15/KI</t>
  </si>
  <si>
    <t>L&amp;T-68723-18/KI</t>
  </si>
  <si>
    <t>EP210104R</t>
  </si>
  <si>
    <t>LT-059321-18/KI</t>
  </si>
  <si>
    <t>LT-071699-18/KI</t>
  </si>
  <si>
    <t>LT-050232-17/KI</t>
  </si>
  <si>
    <t>LT-068956-18/KI</t>
  </si>
  <si>
    <t>LT-022655-17/KI</t>
  </si>
  <si>
    <t>LT-054387-18/ki</t>
  </si>
  <si>
    <t>Non-payment</t>
  </si>
  <si>
    <t>Holdover</t>
  </si>
  <si>
    <t>NYCHA Housing Grievance</t>
  </si>
  <si>
    <t>HP Action</t>
  </si>
  <si>
    <t>NYCHA Housing Termination</t>
  </si>
  <si>
    <t>Article 78</t>
  </si>
  <si>
    <t>DHCR Proceeding</t>
  </si>
  <si>
    <t>Representation - State Court</t>
  </si>
  <si>
    <t>Representation - Admin. Agency</t>
  </si>
  <si>
    <t>3121 Universal Access to Counsel – (UAC)</t>
  </si>
  <si>
    <t>3112 HPLP-Homelessness Prevention Law Project</t>
  </si>
  <si>
    <t>No</t>
  </si>
  <si>
    <t>5556 Robin Hood-Foreclosure and Housing</t>
  </si>
  <si>
    <t>63 Private Landlord/Tenant</t>
  </si>
  <si>
    <t>64 Public Housing</t>
  </si>
  <si>
    <t>61 Federally Subsidized Housing</t>
  </si>
  <si>
    <t>Post-Judgment, Tenant in Possession-Judgment Due to Other</t>
  </si>
  <si>
    <t>No Stipulation; No Judgment</t>
  </si>
  <si>
    <t>05/01/</t>
  </si>
  <si>
    <t>04/11/</t>
  </si>
  <si>
    <t>06/01/</t>
  </si>
  <si>
    <t>06/16/</t>
  </si>
  <si>
    <t>08/09/</t>
  </si>
  <si>
    <t>08/30/</t>
  </si>
  <si>
    <t>09/18/</t>
  </si>
  <si>
    <t>10/01/</t>
  </si>
  <si>
    <t>10/16/</t>
  </si>
  <si>
    <t>11/24/</t>
  </si>
  <si>
    <t>12/01/</t>
  </si>
  <si>
    <t>12/07/</t>
  </si>
  <si>
    <t>01/23/</t>
  </si>
  <si>
    <t>02/01/</t>
  </si>
  <si>
    <t>02/02/</t>
  </si>
  <si>
    <t>03/01/</t>
  </si>
  <si>
    <t>04/01/</t>
  </si>
  <si>
    <t>04/09/</t>
  </si>
  <si>
    <t>04/16/</t>
  </si>
  <si>
    <t>04/20/</t>
  </si>
  <si>
    <t>04/27/</t>
  </si>
  <si>
    <t>05/24/</t>
  </si>
  <si>
    <t>06/22/</t>
  </si>
  <si>
    <t>06/30/</t>
  </si>
  <si>
    <t>Brooklyn Legal Services</t>
  </si>
  <si>
    <t>ZZ-Client Withdrew—For ZZ Adm Closed Reason Closed Cases Only</t>
  </si>
  <si>
    <t>04/12/1987</t>
  </si>
  <si>
    <t>05/15/1981</t>
  </si>
  <si>
    <t>09/21/1974</t>
  </si>
  <si>
    <t>10/27/1992</t>
  </si>
  <si>
    <t>03/19/1975</t>
  </si>
  <si>
    <t>01/17/1973</t>
  </si>
  <si>
    <t>12/01/1980</t>
  </si>
  <si>
    <t>01/04/1984</t>
  </si>
  <si>
    <t>06/27/1984</t>
  </si>
  <si>
    <t>03/09/1950</t>
  </si>
  <si>
    <t>01/08/1950</t>
  </si>
  <si>
    <t>04/21/1994</t>
  </si>
  <si>
    <t>05/16/1968</t>
  </si>
  <si>
    <t>08/09/1961</t>
  </si>
  <si>
    <t>02/26/1976</t>
  </si>
  <si>
    <t>01/31/1981</t>
  </si>
  <si>
    <t>08/14/1970</t>
  </si>
  <si>
    <t>07/21/1964</t>
  </si>
  <si>
    <t>06/11/1945</t>
  </si>
  <si>
    <t>01/19/1979</t>
  </si>
  <si>
    <t>09/15/1974</t>
  </si>
  <si>
    <t>05/27/1993</t>
  </si>
  <si>
    <t>09/24/1955</t>
  </si>
  <si>
    <t>11/14/1973</t>
  </si>
  <si>
    <t>02/23/1943</t>
  </si>
  <si>
    <t>12/26/1980</t>
  </si>
  <si>
    <t>01/13/1958</t>
  </si>
  <si>
    <t>05/22/1988</t>
  </si>
  <si>
    <t>05/16/1973</t>
  </si>
  <si>
    <t>11/07/1978</t>
  </si>
  <si>
    <t>10/12/1972</t>
  </si>
  <si>
    <t>04/08/1947</t>
  </si>
  <si>
    <t>03/24/1983</t>
  </si>
  <si>
    <t>01/01/1960</t>
  </si>
  <si>
    <t>11/19/1958</t>
  </si>
  <si>
    <t>01/18/1956</t>
  </si>
  <si>
    <t>08/09/1978</t>
  </si>
  <si>
    <t>06/25/1969</t>
  </si>
  <si>
    <t>04/30/1958</t>
  </si>
  <si>
    <t>01/04/1954</t>
  </si>
  <si>
    <t>02/13/1964</t>
  </si>
  <si>
    <t>01/15/1959</t>
  </si>
  <si>
    <t>05/02/1996</t>
  </si>
  <si>
    <t>10/15/1953</t>
  </si>
  <si>
    <t>09/26/1976</t>
  </si>
  <si>
    <t>12/20/1975</t>
  </si>
  <si>
    <t>00008817657-D</t>
  </si>
  <si>
    <t>005845478D</t>
  </si>
  <si>
    <t>0036514729H</t>
  </si>
  <si>
    <t>34735576A</t>
  </si>
  <si>
    <t>5280694-A</t>
  </si>
  <si>
    <t>4571140F</t>
  </si>
  <si>
    <t>7175639-C</t>
  </si>
  <si>
    <t>2420198I</t>
  </si>
  <si>
    <t>350933I</t>
  </si>
  <si>
    <t>2364519-F</t>
  </si>
  <si>
    <t>2922980E</t>
  </si>
  <si>
    <t>17035951-H</t>
  </si>
  <si>
    <t>37155447I</t>
  </si>
  <si>
    <t>36959843I</t>
  </si>
  <si>
    <t>655963H</t>
  </si>
  <si>
    <t>XH03043V</t>
  </si>
  <si>
    <t>35400426-J</t>
  </si>
  <si>
    <t>UA73827M</t>
  </si>
  <si>
    <t>030724976D</t>
  </si>
  <si>
    <t>053-76-8599</t>
  </si>
  <si>
    <t>549-67-2518</t>
  </si>
  <si>
    <t>095-56-4407</t>
  </si>
  <si>
    <t>118-80-9281</t>
  </si>
  <si>
    <t>078-72-7247</t>
  </si>
  <si>
    <t>117-98-3984</t>
  </si>
  <si>
    <t>121-68-1502</t>
  </si>
  <si>
    <t>091-68-3928</t>
  </si>
  <si>
    <t>107-68-4992</t>
  </si>
  <si>
    <t>099-40-6385</t>
  </si>
  <si>
    <t>079-48-6414</t>
  </si>
  <si>
    <t>112-82-5405</t>
  </si>
  <si>
    <t>096-56-1639</t>
  </si>
  <si>
    <t>082-58-5986</t>
  </si>
  <si>
    <t>770-76-8486</t>
  </si>
  <si>
    <t>138-66-1359</t>
  </si>
  <si>
    <t>062-58-8933</t>
  </si>
  <si>
    <t>121-46-0695</t>
  </si>
  <si>
    <t>072-64-3600</t>
  </si>
  <si>
    <t>065-58-4567</t>
  </si>
  <si>
    <t>064-82-0688</t>
  </si>
  <si>
    <t>088-74-0973</t>
  </si>
  <si>
    <t>127-58-7981</t>
  </si>
  <si>
    <t>088-34-7461</t>
  </si>
  <si>
    <t>145-72-5351</t>
  </si>
  <si>
    <t>102-52-9241</t>
  </si>
  <si>
    <t>102-02-1963</t>
  </si>
  <si>
    <t>111-60-5721</t>
  </si>
  <si>
    <t>119-74-9856</t>
  </si>
  <si>
    <t>115-56-6706</t>
  </si>
  <si>
    <t>000-00-9058</t>
  </si>
  <si>
    <t>068-68-1905</t>
  </si>
  <si>
    <t>613-46-9819</t>
  </si>
  <si>
    <t>065-50-3590</t>
  </si>
  <si>
    <t>095-64-0827</t>
  </si>
  <si>
    <t>067-64-4422</t>
  </si>
  <si>
    <t>085-68-8665</t>
  </si>
  <si>
    <t>115-50-6767</t>
  </si>
  <si>
    <t>097-46-7591</t>
  </si>
  <si>
    <t>115-60-2939</t>
  </si>
  <si>
    <t>075-64-5722</t>
  </si>
  <si>
    <t>063-94-7063</t>
  </si>
  <si>
    <t>067-46-7000</t>
  </si>
  <si>
    <t>056-60-0699</t>
  </si>
  <si>
    <t>074-72-9219</t>
  </si>
  <si>
    <t>Rent Stabilized</t>
  </si>
  <si>
    <t>Public Housing</t>
  </si>
  <si>
    <t>Public Housing/NYCHA</t>
  </si>
  <si>
    <t>Unregulated</t>
  </si>
  <si>
    <t>Project-based Sec. 8</t>
  </si>
  <si>
    <t>10/19/2018</t>
  </si>
  <si>
    <t>07/17/2018</t>
  </si>
  <si>
    <t>Childless Household</t>
  </si>
  <si>
    <t>Household with Minors with Eligible Benefit (Cash Assistance and/or SNAP)</t>
  </si>
  <si>
    <t>Household with Minors with No Eligible Benefit</t>
  </si>
  <si>
    <t>None</t>
  </si>
  <si>
    <t>SEPS</t>
  </si>
  <si>
    <t>LINC</t>
  </si>
  <si>
    <t>DRIE/SCRIE</t>
  </si>
  <si>
    <t>Section 8</t>
  </si>
  <si>
    <t>English</t>
  </si>
  <si>
    <t>Spanish</t>
  </si>
  <si>
    <t>Creole</t>
  </si>
  <si>
    <t>Arabic</t>
  </si>
  <si>
    <t>client not found on database</t>
  </si>
  <si>
    <t>pa po (pending)</t>
  </si>
  <si>
    <t>yes</t>
  </si>
  <si>
    <t>pa po (AP)</t>
  </si>
  <si>
    <t>pa po</t>
  </si>
  <si>
    <t>PA printout</t>
  </si>
  <si>
    <t>case comp.</t>
  </si>
  <si>
    <t>PA printout  1/25/18</t>
  </si>
  <si>
    <t>Income verfication and HRA release not in L/S</t>
  </si>
  <si>
    <t>Dong, Sean</t>
  </si>
  <si>
    <t>Frias De Sosa, Yajaira</t>
  </si>
  <si>
    <t>Amponsah, Oheneba</t>
  </si>
  <si>
    <t>Djourab, Atteib</t>
  </si>
  <si>
    <t>Telson, Sarah</t>
  </si>
  <si>
    <t>Tello, Victor</t>
  </si>
  <si>
    <t>Baldova, Maria</t>
  </si>
  <si>
    <t>Moss, Julieta</t>
  </si>
  <si>
    <t>Hernandez, Marisol</t>
  </si>
  <si>
    <t>Escobar, Sarah</t>
  </si>
  <si>
    <t>Wong, Angela</t>
  </si>
  <si>
    <t>Morales-Robinson, Ana</t>
  </si>
  <si>
    <t>St. Marie, Monique</t>
  </si>
  <si>
    <t>Filed for an Emergency Order to Show Cause</t>
  </si>
  <si>
    <t>Filed/Argued/Supplemented Dispositive or other Substantive Motion</t>
  </si>
  <si>
    <t>Case Resolved without Judgment of Eviction Against Client</t>
  </si>
  <si>
    <t>Employment</t>
  </si>
  <si>
    <t>Food Stamps (SNAP), Welfare</t>
  </si>
  <si>
    <t>Food Stamps (SNAP), SSI, TANF</t>
  </si>
  <si>
    <t>Employment, Food Stamps (SNAP)</t>
  </si>
  <si>
    <t>Food Stamps (SNAP), SSI, Welfare</t>
  </si>
  <si>
    <t>Welfare - Fam. Assis.</t>
  </si>
  <si>
    <t>Food Stamps (SNAP), SSI</t>
  </si>
  <si>
    <t>No Income</t>
  </si>
  <si>
    <t>SSI</t>
  </si>
  <si>
    <t>Child Support, Employment, Food Stamps (SNAP)</t>
  </si>
  <si>
    <t>Pension/Retirement (Not Soc. Sec.)</t>
  </si>
  <si>
    <t>Food Stamps (SNAP), Social Security Disability</t>
  </si>
  <si>
    <t>Food Stamps (SNAP), Welfare, Welfare - Fam. Assis.</t>
  </si>
  <si>
    <t>Employment (Self-Employed)</t>
  </si>
  <si>
    <t>Food Stamps (SNAP), Other, SSI</t>
  </si>
  <si>
    <t>Disability</t>
  </si>
  <si>
    <t>Food Stamps (SNAP), SSI, Worker's Compensation</t>
  </si>
  <si>
    <t>Social Security Disability</t>
  </si>
  <si>
    <t>Employment (Self-Employed), Medicaid (MA)</t>
  </si>
  <si>
    <t>Food Stamps (SNAP), Medicaid (MA), Social Security</t>
  </si>
  <si>
    <t>Employment, Food Stamps (SNAP), Social Security Retirement</t>
  </si>
  <si>
    <t>Employment, Food Stamps (SNAP), Pension/Retirement (Not Soc. Sec.), Social Security</t>
  </si>
  <si>
    <t>08/06/2019</t>
  </si>
  <si>
    <t>10/18/2019</t>
  </si>
  <si>
    <t>11/01/2019</t>
  </si>
  <si>
    <t>07/03/2018</t>
  </si>
  <si>
    <t>02/15/2019</t>
  </si>
  <si>
    <t>06/21/2019</t>
  </si>
  <si>
    <t>05/23/2019</t>
  </si>
  <si>
    <t>03/28/2018</t>
  </si>
  <si>
    <t>09/30/2019</t>
  </si>
  <si>
    <t>10/10/2019</t>
  </si>
  <si>
    <t>09/21/2018</t>
  </si>
  <si>
    <t>11/16/2018</t>
  </si>
  <si>
    <t>06/13/2019</t>
  </si>
  <si>
    <t>10/30/2019</t>
  </si>
  <si>
    <t>06/27/2018</t>
  </si>
  <si>
    <t>09/13/2018</t>
  </si>
  <si>
    <t>05/20/2018</t>
  </si>
  <si>
    <t>11/04/2019</t>
  </si>
  <si>
    <t>09/16/2019</t>
  </si>
  <si>
    <t>04/20/2019</t>
  </si>
  <si>
    <t>08/07/2018</t>
  </si>
  <si>
    <t>07/12/2019</t>
  </si>
  <si>
    <t>10/03/2019</t>
  </si>
  <si>
    <t>10/28/2019</t>
  </si>
  <si>
    <t>04/01/2019</t>
  </si>
  <si>
    <t>01/30/2019</t>
  </si>
  <si>
    <t>09/20/2019</t>
  </si>
  <si>
    <t>10/11/2019</t>
  </si>
  <si>
    <t>06/28/2019</t>
  </si>
  <si>
    <t>04/18/2019</t>
  </si>
  <si>
    <t>05/21/2019</t>
  </si>
  <si>
    <t>10/25/2019</t>
  </si>
  <si>
    <t>10/22/2019</t>
  </si>
  <si>
    <t>05/31/2019</t>
  </si>
  <si>
    <t>07/19/2019</t>
  </si>
  <si>
    <t>09/23/2019</t>
  </si>
  <si>
    <t>09/06/2019</t>
  </si>
  <si>
    <t>09/27/2018</t>
  </si>
  <si>
    <t>08/23/2019</t>
  </si>
  <si>
    <t>03/16/2019</t>
  </si>
  <si>
    <t>05/15/2019</t>
  </si>
  <si>
    <t>DHCI Form</t>
  </si>
  <si>
    <t>Active CA/SNAP</t>
  </si>
  <si>
    <t>Unnamed: 0</t>
  </si>
  <si>
    <t>Unnamed: 1</t>
  </si>
  <si>
    <t>Row Labels</t>
  </si>
  <si>
    <t>6001-Prevented eviction from public housing</t>
  </si>
  <si>
    <t>6002-Prevented eviction from private housing</t>
  </si>
  <si>
    <t>6003-Delayed eviction providing time to seek alternative housing</t>
  </si>
  <si>
    <t>6004-Obtained access to housing</t>
  </si>
  <si>
    <t>6010-Preserved or restored access to personal property</t>
  </si>
  <si>
    <t>6014-Obtained advice and counsel on a Housing matter</t>
  </si>
  <si>
    <t>6017-Obtained other benefit on a Housing matter</t>
  </si>
  <si>
    <t>6021-Provided full representation in a Housing matter, but no legal benefit achieved for the client</t>
  </si>
  <si>
    <t>(blank)</t>
  </si>
  <si>
    <t>Grand Total</t>
  </si>
  <si>
    <t>Count of Matter/Case ID#</t>
  </si>
  <si>
    <t>Month and Day</t>
  </si>
  <si>
    <t>2018-11-02</t>
  </si>
  <si>
    <t>Gathing, Vance</t>
  </si>
  <si>
    <t>Jackson, Chavette</t>
  </si>
  <si>
    <t>Samuel, Somalia</t>
  </si>
  <si>
    <t>Vujica, Visnja</t>
  </si>
  <si>
    <t>Kramer, Kramer</t>
  </si>
  <si>
    <t>James, Natalie</t>
  </si>
  <si>
    <t>Isaias, Bianca</t>
  </si>
  <si>
    <t>Deolarte, Stephanie</t>
  </si>
  <si>
    <t>Joly, Coco</t>
  </si>
  <si>
    <t>Barrow, Jennifer</t>
  </si>
  <si>
    <t>Johnson, Chantal</t>
  </si>
  <si>
    <t>Cepeda, Jeanette</t>
  </si>
  <si>
    <t>Bailey, Michael</t>
  </si>
  <si>
    <t>Fitzgerald, Mario</t>
  </si>
  <si>
    <t>Sandoval, Sandra</t>
  </si>
  <si>
    <t>Frizell, Catherine</t>
  </si>
  <si>
    <t>Krishnaswamy, Pavita</t>
  </si>
  <si>
    <t>Ortiz, Andrew</t>
  </si>
  <si>
    <t>Closed</t>
  </si>
  <si>
    <t>12/05/2018</t>
  </si>
  <si>
    <t>03/25/2019</t>
  </si>
  <si>
    <t>04/22/2019</t>
  </si>
  <si>
    <t>09/04/2018</t>
  </si>
  <si>
    <t>11/30/2018</t>
  </si>
  <si>
    <t>09/26/2018</t>
  </si>
  <si>
    <t>11/19/2018</t>
  </si>
  <si>
    <t>10/22/2018</t>
  </si>
  <si>
    <t>11/21/2018</t>
  </si>
  <si>
    <t>10/05/2018</t>
  </si>
  <si>
    <t>09/10/2018</t>
  </si>
  <si>
    <t>01/09/2019</t>
  </si>
  <si>
    <t>12/21/2018</t>
  </si>
  <si>
    <t>12/26/2018</t>
  </si>
  <si>
    <t>01/23/2019</t>
  </si>
  <si>
    <t>01/26/2019</t>
  </si>
  <si>
    <t>01/08/2019</t>
  </si>
  <si>
    <t>02/11/2019</t>
  </si>
  <si>
    <t>01/02/2019</t>
  </si>
  <si>
    <t>01/14/2019</t>
  </si>
  <si>
    <t>01/04/2019</t>
  </si>
  <si>
    <t>07/20/2018</t>
  </si>
  <si>
    <t>01/07/2019</t>
  </si>
  <si>
    <t>02/08/2019</t>
  </si>
  <si>
    <t>03/02/2019</t>
  </si>
  <si>
    <t>03/18/2019</t>
  </si>
  <si>
    <t>02/25/2019</t>
  </si>
  <si>
    <t>03/15/2019</t>
  </si>
  <si>
    <t>03/06/2019</t>
  </si>
  <si>
    <t>03/08/2019</t>
  </si>
  <si>
    <t>03/29/2019</t>
  </si>
  <si>
    <t>03/27/2019</t>
  </si>
  <si>
    <t>03/21/2019</t>
  </si>
  <si>
    <t>04/04/2019</t>
  </si>
  <si>
    <t>04/09/2019</t>
  </si>
  <si>
    <t>04/15/2019</t>
  </si>
  <si>
    <t>04/26/2019</t>
  </si>
  <si>
    <t>04/08/2019</t>
  </si>
  <si>
    <t>04/16/2019</t>
  </si>
  <si>
    <t>05/01/2019</t>
  </si>
  <si>
    <t>04/17/2019</t>
  </si>
  <si>
    <t>05/02/2019</t>
  </si>
  <si>
    <t>06/07/2019</t>
  </si>
  <si>
    <t>05/24/2019</t>
  </si>
  <si>
    <t>06/10/2019</t>
  </si>
  <si>
    <t>06/29/2018</t>
  </si>
  <si>
    <t>09/11/2018</t>
  </si>
  <si>
    <t>10/11/2018</t>
  </si>
  <si>
    <t>11/05/2018</t>
  </si>
  <si>
    <t>11/20/2018</t>
  </si>
  <si>
    <t>10/04/2018</t>
  </si>
  <si>
    <t>07/06/2018</t>
  </si>
  <si>
    <t>09/07/2018</t>
  </si>
  <si>
    <t>10/29/2018</t>
  </si>
  <si>
    <t>01/19/2019</t>
  </si>
  <si>
    <t>02/20/2019</t>
  </si>
  <si>
    <t>04/05/2019</t>
  </si>
  <si>
    <t>08/21/2018</t>
  </si>
  <si>
    <t>06/21/2018</t>
  </si>
  <si>
    <t>03/20/2019</t>
  </si>
  <si>
    <t>10/09/2018</t>
  </si>
  <si>
    <t>08/17/2018</t>
  </si>
  <si>
    <t>08/24/2018</t>
  </si>
  <si>
    <t>07/10/2018</t>
  </si>
  <si>
    <t>07/13/2018</t>
  </si>
  <si>
    <t>07/26/2018</t>
  </si>
  <si>
    <t>08/06/2018</t>
  </si>
  <si>
    <t>08/28/2018</t>
  </si>
  <si>
    <t>08/22/2018</t>
  </si>
  <si>
    <t>08/03/2018</t>
  </si>
  <si>
    <t>08/10/2018</t>
  </si>
  <si>
    <t>08/13/2018</t>
  </si>
  <si>
    <t>08/20/2018</t>
  </si>
  <si>
    <t>08/01/2018</t>
  </si>
  <si>
    <t>06/26/2018</t>
  </si>
  <si>
    <t>10/02/2018</t>
  </si>
  <si>
    <t>10/01/2018</t>
  </si>
  <si>
    <t>08/04/2017</t>
  </si>
  <si>
    <t>03/29/2018</t>
  </si>
  <si>
    <t>09/28/2018</t>
  </si>
  <si>
    <t>10/15/2018</t>
  </si>
  <si>
    <t>10/31/2018</t>
  </si>
  <si>
    <t>11/01/2018</t>
  </si>
  <si>
    <t>11/07/2018</t>
  </si>
  <si>
    <t>11/28/2018</t>
  </si>
  <si>
    <t>07/31/2018</t>
  </si>
  <si>
    <t>10/03/2018</t>
  </si>
  <si>
    <t>08/08/2018</t>
  </si>
  <si>
    <t>10/23/2018</t>
  </si>
  <si>
    <t>11/13/2018</t>
  </si>
  <si>
    <t>11/02/2018</t>
  </si>
  <si>
    <t>10/30/2018</t>
  </si>
  <si>
    <t>09/12/2018</t>
  </si>
  <si>
    <t>09/17/2018</t>
  </si>
  <si>
    <t>12/07/2018</t>
  </si>
  <si>
    <t>12/11/2018</t>
  </si>
  <si>
    <t>12/19/2018</t>
  </si>
  <si>
    <t>01/22/2019</t>
  </si>
  <si>
    <t>07/09/2018</t>
  </si>
  <si>
    <t>10/10/2018</t>
  </si>
  <si>
    <t>11/09/2018</t>
  </si>
  <si>
    <t>12/14/2018</t>
  </si>
  <si>
    <t>11/14/2018</t>
  </si>
  <si>
    <t>12/17/2018</t>
  </si>
  <si>
    <t>12/18/2018</t>
  </si>
  <si>
    <t>01/18/2019</t>
  </si>
  <si>
    <t>09/05/2018</t>
  </si>
  <si>
    <t>12/04/2018</t>
  </si>
  <si>
    <t>12/10/2018</t>
  </si>
  <si>
    <t>07/18/2018</t>
  </si>
  <si>
    <t>12/06/2018</t>
  </si>
  <si>
    <t>10/26/2018</t>
  </si>
  <si>
    <t>10/25/2018</t>
  </si>
  <si>
    <t>01/15/2019</t>
  </si>
  <si>
    <t>01/11/2019</t>
  </si>
  <si>
    <t>01/24/2019</t>
  </si>
  <si>
    <t>01/29/2019</t>
  </si>
  <si>
    <t>12/31/2018</t>
  </si>
  <si>
    <t>01/25/2019</t>
  </si>
  <si>
    <t>01/28/2019</t>
  </si>
  <si>
    <t>02/05/2019</t>
  </si>
  <si>
    <t>02/01/2019</t>
  </si>
  <si>
    <t>02/13/2019</t>
  </si>
  <si>
    <t>09/14/2018</t>
  </si>
  <si>
    <t>02/04/2019</t>
  </si>
  <si>
    <t>09/24/2018</t>
  </si>
  <si>
    <t>02/06/2019</t>
  </si>
  <si>
    <t>02/19/2019</t>
  </si>
  <si>
    <t>02/21/2019</t>
  </si>
  <si>
    <t>03/26/2019</t>
  </si>
  <si>
    <t>02/22/2019</t>
  </si>
  <si>
    <t>03/01/2019</t>
  </si>
  <si>
    <t>02/26/2019</t>
  </si>
  <si>
    <t>02/27/2019</t>
  </si>
  <si>
    <t>03/22/2019</t>
  </si>
  <si>
    <t>03/04/2019</t>
  </si>
  <si>
    <t>03/11/2019</t>
  </si>
  <si>
    <t>03/19/2019</t>
  </si>
  <si>
    <t>01/17/2019</t>
  </si>
  <si>
    <t>02/28/2019</t>
  </si>
  <si>
    <t>03/07/2019</t>
  </si>
  <si>
    <t>04/03/2019</t>
  </si>
  <si>
    <t>04/29/2019</t>
  </si>
  <si>
    <t>07/25/2018</t>
  </si>
  <si>
    <t>05/03/2019</t>
  </si>
  <si>
    <t>04/02/2019</t>
  </si>
  <si>
    <t>04/12/2019</t>
  </si>
  <si>
    <t>04/24/2019</t>
  </si>
  <si>
    <t>04/23/2019</t>
  </si>
  <si>
    <t>04/30/2019</t>
  </si>
  <si>
    <t>04/19/2019</t>
  </si>
  <si>
    <t>06/03/2019</t>
  </si>
  <si>
    <t>05/06/2019</t>
  </si>
  <si>
    <t>05/30/2019</t>
  </si>
  <si>
    <t>05/16/2019</t>
  </si>
  <si>
    <t>06/14/2019</t>
  </si>
  <si>
    <t>05/10/2019</t>
  </si>
  <si>
    <t>05/28/2019</t>
  </si>
  <si>
    <t>05/29/2019</t>
  </si>
  <si>
    <t>06/05/2019</t>
  </si>
  <si>
    <t>05/13/2019</t>
  </si>
  <si>
    <t>06/06/2019</t>
  </si>
  <si>
    <t>05/17/2019</t>
  </si>
  <si>
    <t>05/08/2019</t>
  </si>
  <si>
    <t>05/14/2019</t>
  </si>
  <si>
    <t>05/20/2019</t>
  </si>
  <si>
    <t>05/22/2019</t>
  </si>
  <si>
    <t>06/04/2019</t>
  </si>
  <si>
    <t>06/19/2019</t>
  </si>
  <si>
    <t>10/31/2019</t>
  </si>
  <si>
    <t>10/29/2019</t>
  </si>
  <si>
    <t>10/01/2019</t>
  </si>
  <si>
    <t>07/16/2019</t>
  </si>
  <si>
    <t>08/01/2019</t>
  </si>
  <si>
    <t>07/09/2019</t>
  </si>
  <si>
    <t>08/09/2019</t>
  </si>
  <si>
    <t>10/24/2019</t>
  </si>
  <si>
    <t>07/22/2019</t>
  </si>
  <si>
    <t>07/02/2019</t>
  </si>
  <si>
    <t>08/02/2019</t>
  </si>
  <si>
    <t>10/23/2019</t>
  </si>
  <si>
    <t>07/15/2019</t>
  </si>
  <si>
    <t>09/29/2019</t>
  </si>
  <si>
    <t>09/04/2019</t>
  </si>
  <si>
    <t>07/08/2019</t>
  </si>
  <si>
    <t>06/24/2019</t>
  </si>
  <si>
    <t>01/31/2019</t>
  </si>
  <si>
    <t>08/21/2019</t>
  </si>
  <si>
    <t>10/15/2019</t>
  </si>
  <si>
    <t>07/25/2019</t>
  </si>
  <si>
    <t>05/18/2019</t>
  </si>
  <si>
    <t>Kammiel</t>
  </si>
  <si>
    <t>Samonia</t>
  </si>
  <si>
    <t>Osbaldo</t>
  </si>
  <si>
    <t>Norma</t>
  </si>
  <si>
    <t>Devon</t>
  </si>
  <si>
    <t>Ronda</t>
  </si>
  <si>
    <t>Aizhanae</t>
  </si>
  <si>
    <t>Barbara</t>
  </si>
  <si>
    <t>Brenton</t>
  </si>
  <si>
    <t>Anthony</t>
  </si>
  <si>
    <t>Melissa</t>
  </si>
  <si>
    <t>Tressia</t>
  </si>
  <si>
    <t>Fabiola</t>
  </si>
  <si>
    <t>Dorothy</t>
  </si>
  <si>
    <t>Linwood</t>
  </si>
  <si>
    <t>Lucita</t>
  </si>
  <si>
    <t>Stephen</t>
  </si>
  <si>
    <t>Audrey</t>
  </si>
  <si>
    <t>Erica</t>
  </si>
  <si>
    <t>Viola</t>
  </si>
  <si>
    <t>Tylen</t>
  </si>
  <si>
    <t>Lukisha</t>
  </si>
  <si>
    <t>Adjei</t>
  </si>
  <si>
    <t>Miguel</t>
  </si>
  <si>
    <t>Lloyd</t>
  </si>
  <si>
    <t>Sonia</t>
  </si>
  <si>
    <t>Carmella</t>
  </si>
  <si>
    <t>Kaili</t>
  </si>
  <si>
    <t>Faiza</t>
  </si>
  <si>
    <t>Kasara</t>
  </si>
  <si>
    <t>Christopher</t>
  </si>
  <si>
    <t>Valarie</t>
  </si>
  <si>
    <t>Carol</t>
  </si>
  <si>
    <t>Wasim</t>
  </si>
  <si>
    <t>Tia</t>
  </si>
  <si>
    <t>Emily</t>
  </si>
  <si>
    <t>Doris</t>
  </si>
  <si>
    <t>Ashley</t>
  </si>
  <si>
    <t>Christine</t>
  </si>
  <si>
    <t>Yaritza</t>
  </si>
  <si>
    <t>Marisol</t>
  </si>
  <si>
    <t>Justina</t>
  </si>
  <si>
    <t>Paul</t>
  </si>
  <si>
    <t>Mable</t>
  </si>
  <si>
    <t>Jocelyn</t>
  </si>
  <si>
    <t>Adrian</t>
  </si>
  <si>
    <t>Pedine</t>
  </si>
  <si>
    <t>Timothy</t>
  </si>
  <si>
    <t>Rolinda</t>
  </si>
  <si>
    <t>Dena</t>
  </si>
  <si>
    <t>Stephanie</t>
  </si>
  <si>
    <t>German</t>
  </si>
  <si>
    <t>Joel</t>
  </si>
  <si>
    <t>Jon</t>
  </si>
  <si>
    <t>Olga</t>
  </si>
  <si>
    <t>Cristina</t>
  </si>
  <si>
    <t>Elston</t>
  </si>
  <si>
    <t>Eddy</t>
  </si>
  <si>
    <t>Melyssandre</t>
  </si>
  <si>
    <t>Lewis</t>
  </si>
  <si>
    <t>Tenine</t>
  </si>
  <si>
    <t>Chastity</t>
  </si>
  <si>
    <t>Prince</t>
  </si>
  <si>
    <t>Lorenzo</t>
  </si>
  <si>
    <t>James</t>
  </si>
  <si>
    <t>Isaiah</t>
  </si>
  <si>
    <t>Margarita</t>
  </si>
  <si>
    <t>Jonah</t>
  </si>
  <si>
    <t>Darlene</t>
  </si>
  <si>
    <t>Julialine</t>
  </si>
  <si>
    <t>Patricia</t>
  </si>
  <si>
    <t>Ramon</t>
  </si>
  <si>
    <t>Sumon</t>
  </si>
  <si>
    <t>Jodi</t>
  </si>
  <si>
    <t>Tenika</t>
  </si>
  <si>
    <t>Sherneil</t>
  </si>
  <si>
    <t>Lynette</t>
  </si>
  <si>
    <t>Dashiel</t>
  </si>
  <si>
    <t>Laron</t>
  </si>
  <si>
    <t>Olivia</t>
  </si>
  <si>
    <t>Glen</t>
  </si>
  <si>
    <t>Madeline</t>
  </si>
  <si>
    <t>Deborah</t>
  </si>
  <si>
    <t>Widlyne</t>
  </si>
  <si>
    <t>Liesa</t>
  </si>
  <si>
    <t>Ruth</t>
  </si>
  <si>
    <t>Cheryl</t>
  </si>
  <si>
    <t>Richard</t>
  </si>
  <si>
    <t>Joan</t>
  </si>
  <si>
    <t>Latoya</t>
  </si>
  <si>
    <t>Wilfredo</t>
  </si>
  <si>
    <t>Jakub</t>
  </si>
  <si>
    <t>Kerine</t>
  </si>
  <si>
    <t>Alexandria</t>
  </si>
  <si>
    <t>Marlon</t>
  </si>
  <si>
    <t>Tiffany</t>
  </si>
  <si>
    <t>Aaron</t>
  </si>
  <si>
    <t>Cassie</t>
  </si>
  <si>
    <t>Noelsine</t>
  </si>
  <si>
    <t>Marian</t>
  </si>
  <si>
    <t>Daniel</t>
  </si>
  <si>
    <t>Monique</t>
  </si>
  <si>
    <t>Nicole</t>
  </si>
  <si>
    <t>Brette</t>
  </si>
  <si>
    <t>John</t>
  </si>
  <si>
    <t>Rufino</t>
  </si>
  <si>
    <t>Miriam</t>
  </si>
  <si>
    <t>Theresa</t>
  </si>
  <si>
    <t>Ray</t>
  </si>
  <si>
    <t>Lookman</t>
  </si>
  <si>
    <t>Stanfield</t>
  </si>
  <si>
    <t>Borngod</t>
  </si>
  <si>
    <t>Trevor</t>
  </si>
  <si>
    <t>Shellyann</t>
  </si>
  <si>
    <t>Leandra</t>
  </si>
  <si>
    <t>Lionel</t>
  </si>
  <si>
    <t>Daphne</t>
  </si>
  <si>
    <t>Michelle</t>
  </si>
  <si>
    <t>Donza</t>
  </si>
  <si>
    <t>Johnny</t>
  </si>
  <si>
    <t>Darren</t>
  </si>
  <si>
    <t>Tarnita</t>
  </si>
  <si>
    <t>Joseph</t>
  </si>
  <si>
    <t>Gratiana</t>
  </si>
  <si>
    <t>Gleny</t>
  </si>
  <si>
    <t>Elvena</t>
  </si>
  <si>
    <t>Paulette</t>
  </si>
  <si>
    <t>Fintan</t>
  </si>
  <si>
    <t>Clyde</t>
  </si>
  <si>
    <t>Genesi</t>
  </si>
  <si>
    <t>Rachel</t>
  </si>
  <si>
    <t>Jude</t>
  </si>
  <si>
    <t>Krystal</t>
  </si>
  <si>
    <t>Rony</t>
  </si>
  <si>
    <t>Coleen</t>
  </si>
  <si>
    <t>Graciela</t>
  </si>
  <si>
    <t>Jacqueline</t>
  </si>
  <si>
    <t>Jermaine</t>
  </si>
  <si>
    <t>Delano</t>
  </si>
  <si>
    <t>Wayne</t>
  </si>
  <si>
    <t>Jackson</t>
  </si>
  <si>
    <t>Natasha</t>
  </si>
  <si>
    <t>Lanna</t>
  </si>
  <si>
    <t>Queenaisha</t>
  </si>
  <si>
    <t>Claribel</t>
  </si>
  <si>
    <t>Brian</t>
  </si>
  <si>
    <t>Yvonne</t>
  </si>
  <si>
    <t>Diego</t>
  </si>
  <si>
    <t>Zinnat</t>
  </si>
  <si>
    <t>Elaine</t>
  </si>
  <si>
    <t>Charrise</t>
  </si>
  <si>
    <t>Winston</t>
  </si>
  <si>
    <t>Claudia</t>
  </si>
  <si>
    <t>Kimberly</t>
  </si>
  <si>
    <t>Lakisha</t>
  </si>
  <si>
    <t>Sheena</t>
  </si>
  <si>
    <t>Shelly</t>
  </si>
  <si>
    <t>Sabrina</t>
  </si>
  <si>
    <t>Kathleen</t>
  </si>
  <si>
    <t>Sarah</t>
  </si>
  <si>
    <t>Letaya</t>
  </si>
  <si>
    <t>Nokomis</t>
  </si>
  <si>
    <t>Kadeidra</t>
  </si>
  <si>
    <t>Isatou</t>
  </si>
  <si>
    <t>Jean</t>
  </si>
  <si>
    <t>Karlene</t>
  </si>
  <si>
    <t>Esperanza</t>
  </si>
  <si>
    <t>Yolanda</t>
  </si>
  <si>
    <t>Jamie</t>
  </si>
  <si>
    <t>Maureen</t>
  </si>
  <si>
    <t>Jamiyla</t>
  </si>
  <si>
    <t>Athalia</t>
  </si>
  <si>
    <t>Bernadette</t>
  </si>
  <si>
    <t>Leonard</t>
  </si>
  <si>
    <t>Ilana</t>
  </si>
  <si>
    <t>Yuliya</t>
  </si>
  <si>
    <t>Ahmed</t>
  </si>
  <si>
    <t>Howard</t>
  </si>
  <si>
    <t>Mary</t>
  </si>
  <si>
    <t>Koren</t>
  </si>
  <si>
    <t>Megan</t>
  </si>
  <si>
    <t>Dulce</t>
  </si>
  <si>
    <t>Corey</t>
  </si>
  <si>
    <t>Marina</t>
  </si>
  <si>
    <t>Imane</t>
  </si>
  <si>
    <t>Nadja</t>
  </si>
  <si>
    <t>Andrea</t>
  </si>
  <si>
    <t>Madonna</t>
  </si>
  <si>
    <t>Kizzy</t>
  </si>
  <si>
    <t>Lillian</t>
  </si>
  <si>
    <t>Jan</t>
  </si>
  <si>
    <t>Laticha</t>
  </si>
  <si>
    <t>Terrence</t>
  </si>
  <si>
    <t>Muriel</t>
  </si>
  <si>
    <t>Kofi</t>
  </si>
  <si>
    <t>Mercedes</t>
  </si>
  <si>
    <t>Wonetta</t>
  </si>
  <si>
    <t>Melonie</t>
  </si>
  <si>
    <t>Diana</t>
  </si>
  <si>
    <t>Mustafa</t>
  </si>
  <si>
    <t>Md</t>
  </si>
  <si>
    <t>Lyudmila</t>
  </si>
  <si>
    <t>Alric</t>
  </si>
  <si>
    <t>Margalie</t>
  </si>
  <si>
    <t>Elsa</t>
  </si>
  <si>
    <t>Rosemarie</t>
  </si>
  <si>
    <t>Trevlyn</t>
  </si>
  <si>
    <t>Marcellus</t>
  </si>
  <si>
    <t>Aishah</t>
  </si>
  <si>
    <t>Traci</t>
  </si>
  <si>
    <t>Louis</t>
  </si>
  <si>
    <t>Charles</t>
  </si>
  <si>
    <t>Juanita</t>
  </si>
  <si>
    <t>Damaris</t>
  </si>
  <si>
    <t>Freddie</t>
  </si>
  <si>
    <t>Carolyn</t>
  </si>
  <si>
    <t>Juan</t>
  </si>
  <si>
    <t>Lisa</t>
  </si>
  <si>
    <t>Regina</t>
  </si>
  <si>
    <t>Zaquanee</t>
  </si>
  <si>
    <t>Mohammed</t>
  </si>
  <si>
    <t>Leanne</t>
  </si>
  <si>
    <t>Raymond</t>
  </si>
  <si>
    <t>Shalevia</t>
  </si>
  <si>
    <t>Evelyn</t>
  </si>
  <si>
    <t>Elizabeth</t>
  </si>
  <si>
    <t>Tara</t>
  </si>
  <si>
    <t>Bryanna</t>
  </si>
  <si>
    <t>Shontae</t>
  </si>
  <si>
    <t>Lydia</t>
  </si>
  <si>
    <t>Rasaan</t>
  </si>
  <si>
    <t>Charlene</t>
  </si>
  <si>
    <t>Latricia</t>
  </si>
  <si>
    <t>Rene</t>
  </si>
  <si>
    <t>Gary</t>
  </si>
  <si>
    <t>Veronica</t>
  </si>
  <si>
    <t>Nube</t>
  </si>
  <si>
    <t>Alexander</t>
  </si>
  <si>
    <t>Yoel</t>
  </si>
  <si>
    <t>Doreen</t>
  </si>
  <si>
    <t>Hazel</t>
  </si>
  <si>
    <t>Laura</t>
  </si>
  <si>
    <t>Fanny</t>
  </si>
  <si>
    <t>Judy</t>
  </si>
  <si>
    <t>Andy</t>
  </si>
  <si>
    <t>Fernando</t>
  </si>
  <si>
    <t>Iverson</t>
  </si>
  <si>
    <t>Shameca</t>
  </si>
  <si>
    <t>Louisa</t>
  </si>
  <si>
    <t>Cora</t>
  </si>
  <si>
    <t>Youba</t>
  </si>
  <si>
    <t>Janelle</t>
  </si>
  <si>
    <t>Serita</t>
  </si>
  <si>
    <t>Justin</t>
  </si>
  <si>
    <t>Virginia</t>
  </si>
  <si>
    <t>Shantel</t>
  </si>
  <si>
    <t>Helen</t>
  </si>
  <si>
    <t>Nancy</t>
  </si>
  <si>
    <t>Edmund</t>
  </si>
  <si>
    <t>Jeanette</t>
  </si>
  <si>
    <t>Ganna</t>
  </si>
  <si>
    <t>Samuel</t>
  </si>
  <si>
    <t>Jessica</t>
  </si>
  <si>
    <t>Marco</t>
  </si>
  <si>
    <t>Lucille</t>
  </si>
  <si>
    <t>Charisma</t>
  </si>
  <si>
    <t>Lakia</t>
  </si>
  <si>
    <t>Larissa</t>
  </si>
  <si>
    <t>Rahiem</t>
  </si>
  <si>
    <t>Destinie</t>
  </si>
  <si>
    <t>Daminique</t>
  </si>
  <si>
    <t>Keys</t>
  </si>
  <si>
    <t>Reean</t>
  </si>
  <si>
    <t>Leonardo</t>
  </si>
  <si>
    <t>Asli</t>
  </si>
  <si>
    <t>Guerlyne</t>
  </si>
  <si>
    <t>Eric</t>
  </si>
  <si>
    <t>Shashanah</t>
  </si>
  <si>
    <t>Joann</t>
  </si>
  <si>
    <t>Tanisha</t>
  </si>
  <si>
    <t>Shahram</t>
  </si>
  <si>
    <t>Pascual</t>
  </si>
  <si>
    <t>Monette</t>
  </si>
  <si>
    <t>Murielle</t>
  </si>
  <si>
    <t>Olufunmilayo</t>
  </si>
  <si>
    <t>Rajib</t>
  </si>
  <si>
    <t>Kathy</t>
  </si>
  <si>
    <t>Clair</t>
  </si>
  <si>
    <t>Orville</t>
  </si>
  <si>
    <t>Nidia</t>
  </si>
  <si>
    <t>Franklyn</t>
  </si>
  <si>
    <t>Arlette</t>
  </si>
  <si>
    <t>Keisha</t>
  </si>
  <si>
    <t>Irene</t>
  </si>
  <si>
    <t>Seniqua</t>
  </si>
  <si>
    <t>Nigeria</t>
  </si>
  <si>
    <t>Tariq</t>
  </si>
  <si>
    <t>Juliana</t>
  </si>
  <si>
    <t>Susan</t>
  </si>
  <si>
    <t>Takia</t>
  </si>
  <si>
    <t>Shirley</t>
  </si>
  <si>
    <t>Tricia</t>
  </si>
  <si>
    <t>Bilizie</t>
  </si>
  <si>
    <t>Corinthia</t>
  </si>
  <si>
    <t>Eddie</t>
  </si>
  <si>
    <t>Sharnet</t>
  </si>
  <si>
    <t>Fany</t>
  </si>
  <si>
    <t>Naila</t>
  </si>
  <si>
    <t>Ulysses</t>
  </si>
  <si>
    <t>Parish</t>
  </si>
  <si>
    <t>Omari</t>
  </si>
  <si>
    <t>Arlene</t>
  </si>
  <si>
    <t>Laclesha</t>
  </si>
  <si>
    <t>Alvin</t>
  </si>
  <si>
    <t>Robert</t>
  </si>
  <si>
    <t>Claudette</t>
  </si>
  <si>
    <t>Kay</t>
  </si>
  <si>
    <t>Kettely</t>
  </si>
  <si>
    <t>Brenda</t>
  </si>
  <si>
    <t>Malloy</t>
  </si>
  <si>
    <t>Rodriguez</t>
  </si>
  <si>
    <t>Gordon</t>
  </si>
  <si>
    <t>Taylor</t>
  </si>
  <si>
    <t>Rivers</t>
  </si>
  <si>
    <t>Daniels</t>
  </si>
  <si>
    <t>Collier</t>
  </si>
  <si>
    <t>Mosley</t>
  </si>
  <si>
    <t>Hodgson</t>
  </si>
  <si>
    <t>Wilkins</t>
  </si>
  <si>
    <t>Carranza</t>
  </si>
  <si>
    <t>Williams</t>
  </si>
  <si>
    <t>White</t>
  </si>
  <si>
    <t>Ramos</t>
  </si>
  <si>
    <t>Griffith</t>
  </si>
  <si>
    <t>Mauro</t>
  </si>
  <si>
    <t>Morillo</t>
  </si>
  <si>
    <t>David</t>
  </si>
  <si>
    <t>Thomas</t>
  </si>
  <si>
    <t>Harvey Pearsal</t>
  </si>
  <si>
    <t>Grant</t>
  </si>
  <si>
    <t>Dial</t>
  </si>
  <si>
    <t>Washington</t>
  </si>
  <si>
    <t>Cofield</t>
  </si>
  <si>
    <t>Opoku</t>
  </si>
  <si>
    <t>Barker</t>
  </si>
  <si>
    <t>Austin</t>
  </si>
  <si>
    <t>Herb</t>
  </si>
  <si>
    <t>Selby</t>
  </si>
  <si>
    <t>Turner</t>
  </si>
  <si>
    <t>Frederick</t>
  </si>
  <si>
    <t>Naqvi</t>
  </si>
  <si>
    <t>Glanville</t>
  </si>
  <si>
    <t>Mangal</t>
  </si>
  <si>
    <t>Wilkins-Laurent</t>
  </si>
  <si>
    <t>Francis-George</t>
  </si>
  <si>
    <t>Kozlowski</t>
  </si>
  <si>
    <t>Davidson</t>
  </si>
  <si>
    <t>Leitch</t>
  </si>
  <si>
    <t>Bolt</t>
  </si>
  <si>
    <t>Guadagno</t>
  </si>
  <si>
    <t>Luna</t>
  </si>
  <si>
    <t>Augustin</t>
  </si>
  <si>
    <t>Morgan</t>
  </si>
  <si>
    <t>Samaroo</t>
  </si>
  <si>
    <t>Occident</t>
  </si>
  <si>
    <t>Hill</t>
  </si>
  <si>
    <t>Nazaire</t>
  </si>
  <si>
    <t>Canty</t>
  </si>
  <si>
    <t>Brown</t>
  </si>
  <si>
    <t>Martinez</t>
  </si>
  <si>
    <t>Scott-Daity</t>
  </si>
  <si>
    <t>Wilson</t>
  </si>
  <si>
    <t>Zavala</t>
  </si>
  <si>
    <t>Ungar</t>
  </si>
  <si>
    <t>West</t>
  </si>
  <si>
    <t>McFarlane</t>
  </si>
  <si>
    <t>Torres</t>
  </si>
  <si>
    <t>Powell</t>
  </si>
  <si>
    <t>Gonzalez</t>
  </si>
  <si>
    <t>Pierre</t>
  </si>
  <si>
    <t>Sims</t>
  </si>
  <si>
    <t>Picart-Delfin</t>
  </si>
  <si>
    <t>Fisher</t>
  </si>
  <si>
    <t>Glenton</t>
  </si>
  <si>
    <t>Keitt</t>
  </si>
  <si>
    <t>Rawls</t>
  </si>
  <si>
    <t>Ravelo</t>
  </si>
  <si>
    <t>Calimee</t>
  </si>
  <si>
    <t>Aquino</t>
  </si>
  <si>
    <t>Lawrence</t>
  </si>
  <si>
    <t>Morales</t>
  </si>
  <si>
    <t>Gaston</t>
  </si>
  <si>
    <t>Rivera</t>
  </si>
  <si>
    <t>Miah</t>
  </si>
  <si>
    <t>Ferreira</t>
  </si>
  <si>
    <t>Asante</t>
  </si>
  <si>
    <t>Smith</t>
  </si>
  <si>
    <t>Craig-Hernandez</t>
  </si>
  <si>
    <t>Gables</t>
  </si>
  <si>
    <t>Francis</t>
  </si>
  <si>
    <t>McKenny</t>
  </si>
  <si>
    <t>Watkins</t>
  </si>
  <si>
    <t>Townes</t>
  </si>
  <si>
    <t>Carrillo</t>
  </si>
  <si>
    <t>Brignole</t>
  </si>
  <si>
    <t>Murray</t>
  </si>
  <si>
    <t>Fernanders</t>
  </si>
  <si>
    <t>Warren</t>
  </si>
  <si>
    <t>Antoine</t>
  </si>
  <si>
    <t>Panos</t>
  </si>
  <si>
    <t>Stewart</t>
  </si>
  <si>
    <t>Mejlich</t>
  </si>
  <si>
    <t>Van Rassan</t>
  </si>
  <si>
    <t>Cerami</t>
  </si>
  <si>
    <t>Curry</t>
  </si>
  <si>
    <t>Prescod</t>
  </si>
  <si>
    <t>Ramirez</t>
  </si>
  <si>
    <t>Petersohn</t>
  </si>
  <si>
    <t>Sutton</t>
  </si>
  <si>
    <t>Cherisma</t>
  </si>
  <si>
    <t>Cartagena</t>
  </si>
  <si>
    <t>Despinosse</t>
  </si>
  <si>
    <t>Morningstar</t>
  </si>
  <si>
    <t>Berry</t>
  </si>
  <si>
    <t>Cardona</t>
  </si>
  <si>
    <t>Landau</t>
  </si>
  <si>
    <t>Elvy</t>
  </si>
  <si>
    <t>Toussaint</t>
  </si>
  <si>
    <t>Sulaimon</t>
  </si>
  <si>
    <t>Heras</t>
  </si>
  <si>
    <t>Pinder</t>
  </si>
  <si>
    <t>Allah</t>
  </si>
  <si>
    <t>Donovan</t>
  </si>
  <si>
    <t>Mcnichols</t>
  </si>
  <si>
    <t>Hackshaw</t>
  </si>
  <si>
    <t>Whidbee</t>
  </si>
  <si>
    <t>Benjamin</t>
  </si>
  <si>
    <t>Clemons</t>
  </si>
  <si>
    <t>Cokley</t>
  </si>
  <si>
    <t>Jacobs</t>
  </si>
  <si>
    <t>Hippolyte</t>
  </si>
  <si>
    <t>Eugene</t>
  </si>
  <si>
    <t>Espinal</t>
  </si>
  <si>
    <t>Coke</t>
  </si>
  <si>
    <t>Hayes</t>
  </si>
  <si>
    <t>Martin</t>
  </si>
  <si>
    <t>Maylor</t>
  </si>
  <si>
    <t>Hester</t>
  </si>
  <si>
    <t>Medina</t>
  </si>
  <si>
    <t>Edrei</t>
  </si>
  <si>
    <t>Hercules</t>
  </si>
  <si>
    <t>Moore</t>
  </si>
  <si>
    <t>Andre</t>
  </si>
  <si>
    <t>Giles</t>
  </si>
  <si>
    <t>Des Vignes</t>
  </si>
  <si>
    <t>Ortega</t>
  </si>
  <si>
    <t>Nunez</t>
  </si>
  <si>
    <t>Franklin</t>
  </si>
  <si>
    <t>Murph</t>
  </si>
  <si>
    <t>Cox</t>
  </si>
  <si>
    <t>Jefferson</t>
  </si>
  <si>
    <t>Wright</t>
  </si>
  <si>
    <t>Boyd</t>
  </si>
  <si>
    <t>Brathwaite</t>
  </si>
  <si>
    <t>Rondon</t>
  </si>
  <si>
    <t>Fuller</t>
  </si>
  <si>
    <t>Wiggins</t>
  </si>
  <si>
    <t>Encarnacion</t>
  </si>
  <si>
    <t>Lane</t>
  </si>
  <si>
    <t>Encalada</t>
  </si>
  <si>
    <t>Hossain</t>
  </si>
  <si>
    <t>Hugee</t>
  </si>
  <si>
    <t>Vega</t>
  </si>
  <si>
    <t>Green</t>
  </si>
  <si>
    <t>Goldstein</t>
  </si>
  <si>
    <t>Ellis</t>
  </si>
  <si>
    <t>Chambers</t>
  </si>
  <si>
    <t>Mayo</t>
  </si>
  <si>
    <t>Townsend</t>
  </si>
  <si>
    <t>Woodard</t>
  </si>
  <si>
    <t>Barahona</t>
  </si>
  <si>
    <t>Hannah</t>
  </si>
  <si>
    <t>DuSauzay</t>
  </si>
  <si>
    <t>Consoro</t>
  </si>
  <si>
    <t>Lyons</t>
  </si>
  <si>
    <t>Bailey</t>
  </si>
  <si>
    <t>Drammeh</t>
  </si>
  <si>
    <t>Rawle</t>
  </si>
  <si>
    <t>Evens</t>
  </si>
  <si>
    <t>Gill</t>
  </si>
  <si>
    <t>Monde</t>
  </si>
  <si>
    <t>Ross</t>
  </si>
  <si>
    <t>Roberts</t>
  </si>
  <si>
    <t>Lopez</t>
  </si>
  <si>
    <t>Coller-stringer</t>
  </si>
  <si>
    <t>Goodridge</t>
  </si>
  <si>
    <t>Stroud-Garrett</t>
  </si>
  <si>
    <t>Ruiz</t>
  </si>
  <si>
    <t>Goldberg</t>
  </si>
  <si>
    <t>Korzun</t>
  </si>
  <si>
    <t>Elkount</t>
  </si>
  <si>
    <t>Shaw</t>
  </si>
  <si>
    <t>Davis</t>
  </si>
  <si>
    <t>Branch</t>
  </si>
  <si>
    <t>Clerveaux</t>
  </si>
  <si>
    <t>Lugo</t>
  </si>
  <si>
    <t>Baptiste</t>
  </si>
  <si>
    <t>Subervi</t>
  </si>
  <si>
    <t>Zari</t>
  </si>
  <si>
    <t>Murrell-Byrd</t>
  </si>
  <si>
    <t>Drummond</t>
  </si>
  <si>
    <t>Bryant</t>
  </si>
  <si>
    <t>Hampton</t>
  </si>
  <si>
    <t>Hernandez</t>
  </si>
  <si>
    <t>Vaughn</t>
  </si>
  <si>
    <t>Floyd</t>
  </si>
  <si>
    <t>Cenatus</t>
  </si>
  <si>
    <t>Delille</t>
  </si>
  <si>
    <t>Graham</t>
  </si>
  <si>
    <t>Small</t>
  </si>
  <si>
    <t>Timmons</t>
  </si>
  <si>
    <t>Danquah</t>
  </si>
  <si>
    <t>Duran</t>
  </si>
  <si>
    <t>Hubbard</t>
  </si>
  <si>
    <t>Petillo</t>
  </si>
  <si>
    <t>Fils</t>
  </si>
  <si>
    <t>Muhammad</t>
  </si>
  <si>
    <t>Uddin</t>
  </si>
  <si>
    <t>Kolker</t>
  </si>
  <si>
    <t>McKenzie</t>
  </si>
  <si>
    <t>Blain</t>
  </si>
  <si>
    <t>Faulknor</t>
  </si>
  <si>
    <t>Jones</t>
  </si>
  <si>
    <t>Robertson</t>
  </si>
  <si>
    <t>Chester</t>
  </si>
  <si>
    <t>Stovall</t>
  </si>
  <si>
    <t>Sumter</t>
  </si>
  <si>
    <t>Colbert</t>
  </si>
  <si>
    <t>Ritchens</t>
  </si>
  <si>
    <t>Meglio</t>
  </si>
  <si>
    <t>Ortiz</t>
  </si>
  <si>
    <t>Hickson</t>
  </si>
  <si>
    <t>Barrow</t>
  </si>
  <si>
    <t>Vargas</t>
  </si>
  <si>
    <t>Ginyard</t>
  </si>
  <si>
    <t>Polk</t>
  </si>
  <si>
    <t>Colon</t>
  </si>
  <si>
    <t>Rahman</t>
  </si>
  <si>
    <t>Woodley</t>
  </si>
  <si>
    <t>George</t>
  </si>
  <si>
    <t>Noyan</t>
  </si>
  <si>
    <t>McCullough</t>
  </si>
  <si>
    <t>Feliciano</t>
  </si>
  <si>
    <t>Thomas-Dy</t>
  </si>
  <si>
    <t>Engervil</t>
  </si>
  <si>
    <t>Rios</t>
  </si>
  <si>
    <t>Garcia</t>
  </si>
  <si>
    <t>Savage</t>
  </si>
  <si>
    <t>Ashton</t>
  </si>
  <si>
    <t>Kellam</t>
  </si>
  <si>
    <t>Merritt</t>
  </si>
  <si>
    <t>Casimir</t>
  </si>
  <si>
    <t>Valvo</t>
  </si>
  <si>
    <t>Cardile</t>
  </si>
  <si>
    <t>Tito</t>
  </si>
  <si>
    <t>Weiss</t>
  </si>
  <si>
    <t>Ash-Flanders</t>
  </si>
  <si>
    <t>Phillip</t>
  </si>
  <si>
    <t>Piron Tevar</t>
  </si>
  <si>
    <t>Brazley</t>
  </si>
  <si>
    <t>Peters</t>
  </si>
  <si>
    <t>McCants</t>
  </si>
  <si>
    <t>Desilva</t>
  </si>
  <si>
    <t>Thadal</t>
  </si>
  <si>
    <t>Goodman</t>
  </si>
  <si>
    <t>Abbott</t>
  </si>
  <si>
    <t>St. Ellien</t>
  </si>
  <si>
    <t>Haidara</t>
  </si>
  <si>
    <t>Murdaugh</t>
  </si>
  <si>
    <t>SuBryan</t>
  </si>
  <si>
    <t>Schwartz</t>
  </si>
  <si>
    <t>Harewood</t>
  </si>
  <si>
    <t>Fernandez</t>
  </si>
  <si>
    <t>McCallop</t>
  </si>
  <si>
    <t>Iglesias</t>
  </si>
  <si>
    <t>Quiroz</t>
  </si>
  <si>
    <t>Pieters</t>
  </si>
  <si>
    <t>Mulwa</t>
  </si>
  <si>
    <t>DeLuCa</t>
  </si>
  <si>
    <t>Alers</t>
  </si>
  <si>
    <t>Weinstock</t>
  </si>
  <si>
    <t>Seda</t>
  </si>
  <si>
    <t>Bonner</t>
  </si>
  <si>
    <t>Pettaford</t>
  </si>
  <si>
    <t>Patel</t>
  </si>
  <si>
    <t>Bernard</t>
  </si>
  <si>
    <t>Reaves</t>
  </si>
  <si>
    <t>Keeling</t>
  </si>
  <si>
    <t>Planas</t>
  </si>
  <si>
    <t>Cavlak</t>
  </si>
  <si>
    <t>Finch</t>
  </si>
  <si>
    <t>Batey</t>
  </si>
  <si>
    <t>Tommy</t>
  </si>
  <si>
    <t>Forris</t>
  </si>
  <si>
    <t>Usman</t>
  </si>
  <si>
    <t>Noble</t>
  </si>
  <si>
    <t>Calixte</t>
  </si>
  <si>
    <t>Valcin</t>
  </si>
  <si>
    <t>Mondesier</t>
  </si>
  <si>
    <t>Okusi</t>
  </si>
  <si>
    <t>Das</t>
  </si>
  <si>
    <t>Draggin</t>
  </si>
  <si>
    <t>Grier</t>
  </si>
  <si>
    <t>Coates</t>
  </si>
  <si>
    <t>Guillaume</t>
  </si>
  <si>
    <t>Sandy</t>
  </si>
  <si>
    <t>Kene</t>
  </si>
  <si>
    <t>Figaro</t>
  </si>
  <si>
    <t>Clark</t>
  </si>
  <si>
    <t>Laraque</t>
  </si>
  <si>
    <t>Scott</t>
  </si>
  <si>
    <t>Melikhov</t>
  </si>
  <si>
    <t>Worsley</t>
  </si>
  <si>
    <t>Redmond</t>
  </si>
  <si>
    <t>Purifoy</t>
  </si>
  <si>
    <t>Fermenal</t>
  </si>
  <si>
    <t>Adger</t>
  </si>
  <si>
    <t>Meroe</t>
  </si>
  <si>
    <t>Tra</t>
  </si>
  <si>
    <t>Floran</t>
  </si>
  <si>
    <t>McNeil</t>
  </si>
  <si>
    <t>Hilton</t>
  </si>
  <si>
    <t>Escobar</t>
  </si>
  <si>
    <t>Bibi</t>
  </si>
  <si>
    <t>Cooley</t>
  </si>
  <si>
    <t>Norwood</t>
  </si>
  <si>
    <t>Collins</t>
  </si>
  <si>
    <t>Folks</t>
  </si>
  <si>
    <t>Costa</t>
  </si>
  <si>
    <t>Tribble</t>
  </si>
  <si>
    <t>Alleyne</t>
  </si>
  <si>
    <t>Goren</t>
  </si>
  <si>
    <t>Grimes</t>
  </si>
  <si>
    <t>McQuay</t>
  </si>
  <si>
    <t>Wade</t>
  </si>
  <si>
    <t>Thompson</t>
  </si>
  <si>
    <t>361 Livonia ave</t>
  </si>
  <si>
    <t>1191 Park Pl</t>
  </si>
  <si>
    <t>112 Stagg St</t>
  </si>
  <si>
    <t>47 Mckeever Pl</t>
  </si>
  <si>
    <t>1815 Church Ave</t>
  </si>
  <si>
    <t>580 Flatbush Ave</t>
  </si>
  <si>
    <t>701 Gates Ave</t>
  </si>
  <si>
    <t>260 Herkimer St</t>
  </si>
  <si>
    <t>940 Gates Ave</t>
  </si>
  <si>
    <t>150 Crown St</t>
  </si>
  <si>
    <t>438 Madison St</t>
  </si>
  <si>
    <t>540 Ocean Ave</t>
  </si>
  <si>
    <t>500 Montgomery St</t>
  </si>
  <si>
    <t>375 64th St</t>
  </si>
  <si>
    <t>903 Lenox Rd</t>
  </si>
  <si>
    <t>32 Lenox Rd</t>
  </si>
  <si>
    <t>1225 Tabor Ct</t>
  </si>
  <si>
    <t>7 Albany Ave</t>
  </si>
  <si>
    <t>131 E 21st St</t>
  </si>
  <si>
    <t>290 Empire Blvd</t>
  </si>
  <si>
    <t>680 Monroe St</t>
  </si>
  <si>
    <t>3201 Glenwood Rd</t>
  </si>
  <si>
    <t>4701 Church Ave</t>
  </si>
  <si>
    <t>1782 Nostrand Ave</t>
  </si>
  <si>
    <t>690 Gates Ave</t>
  </si>
  <si>
    <t>760 Rogers Ave</t>
  </si>
  <si>
    <t>1174 Saint Johns Pl</t>
  </si>
  <si>
    <t>510 Ocean Ave</t>
  </si>
  <si>
    <t>161 Woodruff Ave</t>
  </si>
  <si>
    <t>348 Maple St</t>
  </si>
  <si>
    <t>2970 W 27th St</t>
  </si>
  <si>
    <t>1082 Bedford Ave</t>
  </si>
  <si>
    <t>210 Hart St</t>
  </si>
  <si>
    <t>60 Water St</t>
  </si>
  <si>
    <t>1322 Avenue M</t>
  </si>
  <si>
    <t>1381 Sterling Pl</t>
  </si>
  <si>
    <t>1589 President St</t>
  </si>
  <si>
    <t>181 Lenox Rd</t>
  </si>
  <si>
    <t>225 Parkside Ave</t>
  </si>
  <si>
    <t>902 Avenue C</t>
  </si>
  <si>
    <t>79 Monitor St</t>
  </si>
  <si>
    <t>22 Stuyvesant Ave</t>
  </si>
  <si>
    <t>160 Harman St</t>
  </si>
  <si>
    <t>1506 Ocean Ave</t>
  </si>
  <si>
    <t>209 Sullivan Pl</t>
  </si>
  <si>
    <t>598 Monroe St</t>
  </si>
  <si>
    <t>456 Nostrand Ave</t>
  </si>
  <si>
    <t>922 E 15th St</t>
  </si>
  <si>
    <t>1776 Union St</t>
  </si>
  <si>
    <t>2121 Westbury Ct</t>
  </si>
  <si>
    <t>31-39 Van Buren St</t>
  </si>
  <si>
    <t>1402 Brookyn Ave</t>
  </si>
  <si>
    <t>336 Marcus Garvey Blvd</t>
  </si>
  <si>
    <t>400 Tompkins Ave</t>
  </si>
  <si>
    <t>1528 Mermaid Ave</t>
  </si>
  <si>
    <t>1139 E 99th St</t>
  </si>
  <si>
    <t>1400 E New York Ave</t>
  </si>
  <si>
    <t>445 Autumn Ave</t>
  </si>
  <si>
    <t>1839 58th St</t>
  </si>
  <si>
    <t>58 Sterling St</t>
  </si>
  <si>
    <t>115 Lincoln Rd</t>
  </si>
  <si>
    <t>829 Bushwick Ave</t>
  </si>
  <si>
    <t>151 Weirfield St</t>
  </si>
  <si>
    <t>1145 Greene Ave</t>
  </si>
  <si>
    <t>114 E 31st St</t>
  </si>
  <si>
    <t>255 E 18th St</t>
  </si>
  <si>
    <t>555a Putnam Ave</t>
  </si>
  <si>
    <t>114 Van Siclen Ave</t>
  </si>
  <si>
    <t>2465 Bedford Ave</t>
  </si>
  <si>
    <t>187 Lefferts Ave</t>
  </si>
  <si>
    <t>1179 Jefferson Ave</t>
  </si>
  <si>
    <t>832 Dekalb Ave</t>
  </si>
  <si>
    <t>5404 4th Ave</t>
  </si>
  <si>
    <t>368 E 32nd St</t>
  </si>
  <si>
    <t>738 Albany Ave</t>
  </si>
  <si>
    <t>181 Hawthorne St</t>
  </si>
  <si>
    <t>902 44th St</t>
  </si>
  <si>
    <t>780 E 2nd St</t>
  </si>
  <si>
    <t>327 Monroe St</t>
  </si>
  <si>
    <t>190 Palmetto St</t>
  </si>
  <si>
    <t>135 Ocean Ave</t>
  </si>
  <si>
    <t>691 Linden Blvd</t>
  </si>
  <si>
    <t>1412 Brooklyn Ave</t>
  </si>
  <si>
    <t>9 Rose St</t>
  </si>
  <si>
    <t>315 Nostrand Ave</t>
  </si>
  <si>
    <t>1 Metrotech Ctr N</t>
  </si>
  <si>
    <t>564 Evergreen Ave</t>
  </si>
  <si>
    <t>639 Union St</t>
  </si>
  <si>
    <t>639 Eastern Pkwy</t>
  </si>
  <si>
    <t>1243 36th St</t>
  </si>
  <si>
    <t>1225 E 72nd St</t>
  </si>
  <si>
    <t>346 Montgomery St</t>
  </si>
  <si>
    <t>115 Ocean Ave</t>
  </si>
  <si>
    <t>399 Kosciuszko St</t>
  </si>
  <si>
    <t>1400 Jefferson Ave</t>
  </si>
  <si>
    <t>954 E 104th St</t>
  </si>
  <si>
    <t>1570 E 102nd St</t>
  </si>
  <si>
    <t>324 Bainbridge St</t>
  </si>
  <si>
    <t>1014 Avenue J</t>
  </si>
  <si>
    <t>30 Avenue V</t>
  </si>
  <si>
    <t>128 Park Pl</t>
  </si>
  <si>
    <t>185 Nevins St</t>
  </si>
  <si>
    <t>777 Saint Marks Ave</t>
  </si>
  <si>
    <t>125 Stagg St</t>
  </si>
  <si>
    <t>153 Marcus Garvey Blvd</t>
  </si>
  <si>
    <t>250 Washington Ave</t>
  </si>
  <si>
    <t>901 Washington Ave</t>
  </si>
  <si>
    <t>2980 W 28th St</t>
  </si>
  <si>
    <t>571 58th St</t>
  </si>
  <si>
    <t>579 Grand Ave</t>
  </si>
  <si>
    <t>284 Eastern Pkwy</t>
  </si>
  <si>
    <t>1030 Carroll St</t>
  </si>
  <si>
    <t>611 Flatbush Ave</t>
  </si>
  <si>
    <t>910 Dekalb Ave</t>
  </si>
  <si>
    <t>70 Ross St</t>
  </si>
  <si>
    <t>295 Clinton Ave</t>
  </si>
  <si>
    <t>8 Rutland Rd</t>
  </si>
  <si>
    <t>1302 Newkirk Ave</t>
  </si>
  <si>
    <t>1307 Loring Ave</t>
  </si>
  <si>
    <t>26 Paerdegat 9th st</t>
  </si>
  <si>
    <t>95 Woodruff Ave</t>
  </si>
  <si>
    <t>941 Washington Ave</t>
  </si>
  <si>
    <t>1082 President St</t>
  </si>
  <si>
    <t>355 Lefferts Ave</t>
  </si>
  <si>
    <t>2767 W 15th St</t>
  </si>
  <si>
    <t>128 Lewis Ave</t>
  </si>
  <si>
    <t>969 Putnam Ave</t>
  </si>
  <si>
    <t>715 Gates Ave</t>
  </si>
  <si>
    <t>461 Dean St</t>
  </si>
  <si>
    <t>107 Brooklyn Ave</t>
  </si>
  <si>
    <t>28 MacDonough St</t>
  </si>
  <si>
    <t>1430 Bedford Ave</t>
  </si>
  <si>
    <t>1004 Eastern Pkwy</t>
  </si>
  <si>
    <t>275 Blake Ave</t>
  </si>
  <si>
    <t>974 Williams Ave</t>
  </si>
  <si>
    <t>1258 Loring Ave</t>
  </si>
  <si>
    <t>436 New York Ave</t>
  </si>
  <si>
    <t>832 Midwood St</t>
  </si>
  <si>
    <t>480 E 23rd St</t>
  </si>
  <si>
    <t>10702 Farragut Rd</t>
  </si>
  <si>
    <t>1022 E 96th St</t>
  </si>
  <si>
    <t>1014 Avenue L</t>
  </si>
  <si>
    <t>287 Clarkson Ave</t>
  </si>
  <si>
    <t>880 Nostrand Ave</t>
  </si>
  <si>
    <t>286 Eastern Pkwy</t>
  </si>
  <si>
    <t>295 Maple St</t>
  </si>
  <si>
    <t>307 Sterling St</t>
  </si>
  <si>
    <t>173 Bleecker St</t>
  </si>
  <si>
    <t>757 Bushwick Ave</t>
  </si>
  <si>
    <t>335 51st St</t>
  </si>
  <si>
    <t>31 Van Buren St</t>
  </si>
  <si>
    <t>621 E 105th St</t>
  </si>
  <si>
    <t>150 Hawthorne St</t>
  </si>
  <si>
    <t>451 Kingston Ave</t>
  </si>
  <si>
    <t>390 Eastern Pkwy</t>
  </si>
  <si>
    <t>1000 President St</t>
  </si>
  <si>
    <t>612 Flatbush Ave</t>
  </si>
  <si>
    <t>288 Crown St</t>
  </si>
  <si>
    <t>29 Avenue W</t>
  </si>
  <si>
    <t>494 Jefferson Ave</t>
  </si>
  <si>
    <t>17 Goodwin Pl</t>
  </si>
  <si>
    <t>953 Dekalb Ave</t>
  </si>
  <si>
    <t>997 Dekalb Ave</t>
  </si>
  <si>
    <t>865 Gates Ave</t>
  </si>
  <si>
    <t>559 50th St</t>
  </si>
  <si>
    <t>47 Dahill Rd</t>
  </si>
  <si>
    <t>1443 Pacific St</t>
  </si>
  <si>
    <t>727 6th Ave</t>
  </si>
  <si>
    <t>1522 Bergen St</t>
  </si>
  <si>
    <t>888 Montgomery St</t>
  </si>
  <si>
    <t>1040 Park Pl</t>
  </si>
  <si>
    <t>1803 Union St</t>
  </si>
  <si>
    <t>826 Crown St</t>
  </si>
  <si>
    <t>2069 Nostrand Ave</t>
  </si>
  <si>
    <t>456 Schenectady Ave</t>
  </si>
  <si>
    <t>170 Hawthorne St</t>
  </si>
  <si>
    <t>533 Madison St</t>
  </si>
  <si>
    <t>1370 66th St</t>
  </si>
  <si>
    <t>574 Greene Ave</t>
  </si>
  <si>
    <t>363 Grand Ave</t>
  </si>
  <si>
    <t>1035 Wahington Avenue</t>
  </si>
  <si>
    <t>26 Butler Pl</t>
  </si>
  <si>
    <t>1147 E 98th St</t>
  </si>
  <si>
    <t>567 E 108th St</t>
  </si>
  <si>
    <t>201 E 18th St</t>
  </si>
  <si>
    <t>49 Clarkson Ave</t>
  </si>
  <si>
    <t>2491 Bedford Ave</t>
  </si>
  <si>
    <t>1012 Ocean Ave</t>
  </si>
  <si>
    <t>65 Lenox Rd</t>
  </si>
  <si>
    <t>682 Ocean Ave</t>
  </si>
  <si>
    <t>2114 Albemarle Rd</t>
  </si>
  <si>
    <t>1030 President St</t>
  </si>
  <si>
    <t>279 Ocean Ave</t>
  </si>
  <si>
    <t>961 Washington Ave</t>
  </si>
  <si>
    <t>220 Montgomery St</t>
  </si>
  <si>
    <t>2111 Beekman Pl</t>
  </si>
  <si>
    <t>2930 W 30th St</t>
  </si>
  <si>
    <t>525 Neptune Ave</t>
  </si>
  <si>
    <t>2828 W 28th St</t>
  </si>
  <si>
    <t>1717 W 6th St</t>
  </si>
  <si>
    <t>553 Quincy St</t>
  </si>
  <si>
    <t>65 Stuyvesant Ave</t>
  </si>
  <si>
    <t>28 Van Buren St</t>
  </si>
  <si>
    <t>452 Madison St</t>
  </si>
  <si>
    <t>1267 Broadway</t>
  </si>
  <si>
    <t>1255 Dean St</t>
  </si>
  <si>
    <t>331 Lexington Ave</t>
  </si>
  <si>
    <t>1170 Fulton St</t>
  </si>
  <si>
    <t>806 Park Pl</t>
  </si>
  <si>
    <t>473B Gates Ave</t>
  </si>
  <si>
    <t>775 Marcy Ave</t>
  </si>
  <si>
    <t>1507 Saint Johns Pl</t>
  </si>
  <si>
    <t>1338 Bergen St</t>
  </si>
  <si>
    <t>11 Kingston Ave</t>
  </si>
  <si>
    <t>745 E 31st St</t>
  </si>
  <si>
    <t>1418 Brooklyn Ave</t>
  </si>
  <si>
    <t>130 Moore St</t>
  </si>
  <si>
    <t>2574 Bedford Ave</t>
  </si>
  <si>
    <t>1354 New York Ave</t>
  </si>
  <si>
    <t>4912 7th Ave</t>
  </si>
  <si>
    <t>268 Buffalo Ave</t>
  </si>
  <si>
    <t>2105 Rockaway Pkwy</t>
  </si>
  <si>
    <t>234 Ralph Ave</t>
  </si>
  <si>
    <t>342 Kingsborough 3rd Walk</t>
  </si>
  <si>
    <t>644 Ocean Pkwy</t>
  </si>
  <si>
    <t>2281 E 26th St</t>
  </si>
  <si>
    <t>167 Lenox Rd</t>
  </si>
  <si>
    <t>2328 Newkirk Ave</t>
  </si>
  <si>
    <t>1420 Nostrand Ave</t>
  </si>
  <si>
    <t>149 E 31st St</t>
  </si>
  <si>
    <t>155 Linden Blvd</t>
  </si>
  <si>
    <t>20 Saint Pauls Ct</t>
  </si>
  <si>
    <t>141 E 21st St</t>
  </si>
  <si>
    <t>181Hawthrone Street</t>
  </si>
  <si>
    <t>532 Lefferts Ave</t>
  </si>
  <si>
    <t>131 Sterling St</t>
  </si>
  <si>
    <t>1185 Carroll St</t>
  </si>
  <si>
    <t>49 Crown St</t>
  </si>
  <si>
    <t>55 Ocean Ave</t>
  </si>
  <si>
    <t>2955 W 29th St</t>
  </si>
  <si>
    <t>791 Lexington Ave</t>
  </si>
  <si>
    <t>153 Bleecker St</t>
  </si>
  <si>
    <t>1094 Dekalb Ave</t>
  </si>
  <si>
    <t>864 Gates Ave</t>
  </si>
  <si>
    <t>1041 Bushwick Ave</t>
  </si>
  <si>
    <t>600 Gates Ave</t>
  </si>
  <si>
    <t>911 Lafayette Ave</t>
  </si>
  <si>
    <t>444 Lexington Ave</t>
  </si>
  <si>
    <t>1299 Dean St</t>
  </si>
  <si>
    <t>1223 Fulton St</t>
  </si>
  <si>
    <t>1225 Bedford Ave</t>
  </si>
  <si>
    <t>1047 Bedford Ave</t>
  </si>
  <si>
    <t>721 Dekalb Ave</t>
  </si>
  <si>
    <t>1760 Union St</t>
  </si>
  <si>
    <t>80 Schenectady Ave</t>
  </si>
  <si>
    <t>122 Thatford Ave</t>
  </si>
  <si>
    <t>2389 Nostrand Ave</t>
  </si>
  <si>
    <t>4211 Avenue K</t>
  </si>
  <si>
    <t>8500 4th Ave</t>
  </si>
  <si>
    <t>231 Throop Ave</t>
  </si>
  <si>
    <t>295 Washington Ave</t>
  </si>
  <si>
    <t>459 E 52nd St</t>
  </si>
  <si>
    <t>3500 Snyder Ave</t>
  </si>
  <si>
    <t>253 Washington Ave</t>
  </si>
  <si>
    <t>107 Van Buren St</t>
  </si>
  <si>
    <t>360 Hancock St</t>
  </si>
  <si>
    <t>280 Herkimer St</t>
  </si>
  <si>
    <t>189 E 34th St</t>
  </si>
  <si>
    <t>3022 Brighton 5th St</t>
  </si>
  <si>
    <t>4023 Avenue T</t>
  </si>
  <si>
    <t>94 Chauncey St</t>
  </si>
  <si>
    <t>4123 9th Ave</t>
  </si>
  <si>
    <t>1360 Ocean Ave</t>
  </si>
  <si>
    <t>2922 Nostrand Ave</t>
  </si>
  <si>
    <t>518 E 22nd St</t>
  </si>
  <si>
    <t>238 E 26th St</t>
  </si>
  <si>
    <t>2728 Church Ave</t>
  </si>
  <si>
    <t>1705 Dorchester Rd</t>
  </si>
  <si>
    <t>2522 Newkirk Ave</t>
  </si>
  <si>
    <t>755 Ocean Ave</t>
  </si>
  <si>
    <t>2101 Westbury Ct</t>
  </si>
  <si>
    <t>1680 Bedford Ave</t>
  </si>
  <si>
    <t>2110 Westbury Ct</t>
  </si>
  <si>
    <t>1066 President St</t>
  </si>
  <si>
    <t>300 Sullivan Pl</t>
  </si>
  <si>
    <t>100 Lefferts Ave</t>
  </si>
  <si>
    <t>474 Brooklyn Ave</t>
  </si>
  <si>
    <t>228 Stuyvesant Ave</t>
  </si>
  <si>
    <t>663 Knickerbocker Aveue</t>
  </si>
  <si>
    <t>685 Gates Ave</t>
  </si>
  <si>
    <t>995 Gates Ave</t>
  </si>
  <si>
    <t>110 Grove St</t>
  </si>
  <si>
    <t>165 Himrod St</t>
  </si>
  <si>
    <t>1023 Broadway</t>
  </si>
  <si>
    <t>1260 Broadway</t>
  </si>
  <si>
    <t>350 65th St</t>
  </si>
  <si>
    <t>337 49th St</t>
  </si>
  <si>
    <t>4520 12th Ave</t>
  </si>
  <si>
    <t>803 Beverley Rd</t>
  </si>
  <si>
    <t>333 Schermerhorn St</t>
  </si>
  <si>
    <t>468 Gates Ave</t>
  </si>
  <si>
    <t>721 Sterling Pl</t>
  </si>
  <si>
    <t>189 Kosciuszko St</t>
  </si>
  <si>
    <t>738 Saint Marks Ave</t>
  </si>
  <si>
    <t>137 Albany Ave</t>
  </si>
  <si>
    <t>439A Blake ave</t>
  </si>
  <si>
    <t>620 E 29th St</t>
  </si>
  <si>
    <t>320 Miller Ave</t>
  </si>
  <si>
    <t>607 Willoughby Ave</t>
  </si>
  <si>
    <t>36 Saint Edwards St</t>
  </si>
  <si>
    <t>1949 72nd St</t>
  </si>
  <si>
    <t>76 E 51st St</t>
  </si>
  <si>
    <t>402 85th St</t>
  </si>
  <si>
    <t>485 Ocean Ave</t>
  </si>
  <si>
    <t>939 Putnam Ave</t>
  </si>
  <si>
    <t>193 Martense St</t>
  </si>
  <si>
    <t>135 Hawthorne St</t>
  </si>
  <si>
    <t>418 E 52nd St</t>
  </si>
  <si>
    <t>2075 Bedford Ave</t>
  </si>
  <si>
    <t>9311 Foster Ave</t>
  </si>
  <si>
    <t>2966 Brighton 5th Pl</t>
  </si>
  <si>
    <t>600 E 18th St</t>
  </si>
  <si>
    <t>618 E 21st St</t>
  </si>
  <si>
    <t>31 E 31st St</t>
  </si>
  <si>
    <t>2709 Clarendon Rd</t>
  </si>
  <si>
    <t>58 Linden Blvd</t>
  </si>
  <si>
    <t>613 E 16th St</t>
  </si>
  <si>
    <t>111 E 21st St</t>
  </si>
  <si>
    <t>205 E 17th St</t>
  </si>
  <si>
    <t>1247 Flatbush Ave</t>
  </si>
  <si>
    <t>63 Fenimore St</t>
  </si>
  <si>
    <t>245 Midwood St</t>
  </si>
  <si>
    <t>860 Nostrand Ave</t>
  </si>
  <si>
    <t>265 Hawthorne St</t>
  </si>
  <si>
    <t>292 Midwood St</t>
  </si>
  <si>
    <t>75 Hawthorne St</t>
  </si>
  <si>
    <t>2750 W 33rd St</t>
  </si>
  <si>
    <t>2925 W 5th St</t>
  </si>
  <si>
    <t>2742 W 15th St</t>
  </si>
  <si>
    <t>290 Frost St</t>
  </si>
  <si>
    <t>461 Quincy St</t>
  </si>
  <si>
    <t>522 Quincy St</t>
  </si>
  <si>
    <t>208 Lewis Ave</t>
  </si>
  <si>
    <t>15 Kossuth Pl</t>
  </si>
  <si>
    <t>525A Quincy St</t>
  </si>
  <si>
    <t>745 Lafayette Ave</t>
  </si>
  <si>
    <t>470 Kosciuszko St</t>
  </si>
  <si>
    <t>555 Gates Ave</t>
  </si>
  <si>
    <t>233 Stuyvesant Ave</t>
  </si>
  <si>
    <t>254 Marcus Garvey Blvd</t>
  </si>
  <si>
    <t>88 Grove St</t>
  </si>
  <si>
    <t>104 Palmetto St</t>
  </si>
  <si>
    <t>6816 Owls Head Ct</t>
  </si>
  <si>
    <t>1403 Fulton St</t>
  </si>
  <si>
    <t>1228-30 Pacific St</t>
  </si>
  <si>
    <t>135 Rogers Ave</t>
  </si>
  <si>
    <t>785 Marcy Ave</t>
  </si>
  <si>
    <t>515 Gates Ave</t>
  </si>
  <si>
    <t>99-105 Herkimer St</t>
  </si>
  <si>
    <t>28 Macdonough St</t>
  </si>
  <si>
    <t>275 Hancock St</t>
  </si>
  <si>
    <t>316 Devoe St</t>
  </si>
  <si>
    <t>854 Myrtle Ave</t>
  </si>
  <si>
    <t>667 E 34th St</t>
  </si>
  <si>
    <t>175 Willoughby St</t>
  </si>
  <si>
    <t>585 E 16th St</t>
  </si>
  <si>
    <t>1617 Fulton St</t>
  </si>
  <si>
    <t>10C</t>
  </si>
  <si>
    <t>13-K</t>
  </si>
  <si>
    <t>2A</t>
  </si>
  <si>
    <t>20E</t>
  </si>
  <si>
    <t>3N</t>
  </si>
  <si>
    <t>1B</t>
  </si>
  <si>
    <t>2D</t>
  </si>
  <si>
    <t>3E</t>
  </si>
  <si>
    <t>B15</t>
  </si>
  <si>
    <t>B2</t>
  </si>
  <si>
    <t>C11</t>
  </si>
  <si>
    <t>B9</t>
  </si>
  <si>
    <t>2nd Floor</t>
  </si>
  <si>
    <t>5J</t>
  </si>
  <si>
    <t>3-B</t>
  </si>
  <si>
    <t>7D</t>
  </si>
  <si>
    <t>3R</t>
  </si>
  <si>
    <t>4C</t>
  </si>
  <si>
    <t>#4P</t>
  </si>
  <si>
    <t>5A</t>
  </si>
  <si>
    <t>1E</t>
  </si>
  <si>
    <t>5C</t>
  </si>
  <si>
    <t>3B</t>
  </si>
  <si>
    <t>2R</t>
  </si>
  <si>
    <t>A19</t>
  </si>
  <si>
    <t>D9</t>
  </si>
  <si>
    <t>1-H</t>
  </si>
  <si>
    <t>#2</t>
  </si>
  <si>
    <t>#4R</t>
  </si>
  <si>
    <t>#2A</t>
  </si>
  <si>
    <t>C10</t>
  </si>
  <si>
    <t>4B</t>
  </si>
  <si>
    <t>5-D</t>
  </si>
  <si>
    <t>#6J</t>
  </si>
  <si>
    <t>#2C</t>
  </si>
  <si>
    <t>#1R</t>
  </si>
  <si>
    <t>#4B</t>
  </si>
  <si>
    <t>1st Floor</t>
  </si>
  <si>
    <t>13-G</t>
  </si>
  <si>
    <t>3A</t>
  </si>
  <si>
    <t>2L</t>
  </si>
  <si>
    <t>Basement</t>
  </si>
  <si>
    <t>4-A</t>
  </si>
  <si>
    <t>#1</t>
  </si>
  <si>
    <t>Apt 7</t>
  </si>
  <si>
    <t>5H</t>
  </si>
  <si>
    <t>5Q</t>
  </si>
  <si>
    <t>#1A</t>
  </si>
  <si>
    <t>B-14</t>
  </si>
  <si>
    <t>1J</t>
  </si>
  <si>
    <t>#5G</t>
  </si>
  <si>
    <t>#3A</t>
  </si>
  <si>
    <t>4F</t>
  </si>
  <si>
    <t>4-D</t>
  </si>
  <si>
    <t>Backroom</t>
  </si>
  <si>
    <t>#1-B</t>
  </si>
  <si>
    <t>3-R</t>
  </si>
  <si>
    <t>D3</t>
  </si>
  <si>
    <t>C15</t>
  </si>
  <si>
    <t>basement</t>
  </si>
  <si>
    <t>2 R4</t>
  </si>
  <si>
    <t>01B</t>
  </si>
  <si>
    <t>3H</t>
  </si>
  <si>
    <t>8E</t>
  </si>
  <si>
    <t>4-F</t>
  </si>
  <si>
    <t>3L</t>
  </si>
  <si>
    <t>1D</t>
  </si>
  <si>
    <t>9B</t>
  </si>
  <si>
    <t>C4</t>
  </si>
  <si>
    <t>4H</t>
  </si>
  <si>
    <t>C</t>
  </si>
  <si>
    <t>F-7</t>
  </si>
  <si>
    <t>4-L</t>
  </si>
  <si>
    <t>7C</t>
  </si>
  <si>
    <t>2 room 2</t>
  </si>
  <si>
    <t>4K</t>
  </si>
  <si>
    <t>5B</t>
  </si>
  <si>
    <t>16G</t>
  </si>
  <si>
    <t>A3</t>
  </si>
  <si>
    <t>6H</t>
  </si>
  <si>
    <t>3c</t>
  </si>
  <si>
    <t>1-Room 1</t>
  </si>
  <si>
    <t>F11</t>
  </si>
  <si>
    <t>1L</t>
  </si>
  <si>
    <t>#1C</t>
  </si>
  <si>
    <t>5P</t>
  </si>
  <si>
    <t>E3</t>
  </si>
  <si>
    <t>5AA</t>
  </si>
  <si>
    <t>C2</t>
  </si>
  <si>
    <t>5O</t>
  </si>
  <si>
    <t>2E</t>
  </si>
  <si>
    <t>1A</t>
  </si>
  <si>
    <t>12C</t>
  </si>
  <si>
    <t>11F</t>
  </si>
  <si>
    <t>A16</t>
  </si>
  <si>
    <t>C6</t>
  </si>
  <si>
    <t>D6</t>
  </si>
  <si>
    <t>E5</t>
  </si>
  <si>
    <t>Pvt</t>
  </si>
  <si>
    <t>5L</t>
  </si>
  <si>
    <t>GR3</t>
  </si>
  <si>
    <t>7-B</t>
  </si>
  <si>
    <t>#3C</t>
  </si>
  <si>
    <t>3I</t>
  </si>
  <si>
    <t>5G</t>
  </si>
  <si>
    <t>22C</t>
  </si>
  <si>
    <t>1H</t>
  </si>
  <si>
    <t>1F2</t>
  </si>
  <si>
    <t>3Fl</t>
  </si>
  <si>
    <t>1C</t>
  </si>
  <si>
    <t>A5</t>
  </si>
  <si>
    <t>4A</t>
  </si>
  <si>
    <t>B3</t>
  </si>
  <si>
    <t>2G</t>
  </si>
  <si>
    <t>4J</t>
  </si>
  <si>
    <t>D5</t>
  </si>
  <si>
    <t>#B1</t>
  </si>
  <si>
    <t>3F</t>
  </si>
  <si>
    <t>#4D</t>
  </si>
  <si>
    <t>5M</t>
  </si>
  <si>
    <t>#2H</t>
  </si>
  <si>
    <t>12L</t>
  </si>
  <si>
    <t>24J</t>
  </si>
  <si>
    <t>#14J</t>
  </si>
  <si>
    <t>3rd Floor</t>
  </si>
  <si>
    <t>4M</t>
  </si>
  <si>
    <t>#6G</t>
  </si>
  <si>
    <t>F</t>
  </si>
  <si>
    <t>A7</t>
  </si>
  <si>
    <t>Apt. 1A</t>
  </si>
  <si>
    <t>#7E</t>
  </si>
  <si>
    <t>#6A</t>
  </si>
  <si>
    <t>A4</t>
  </si>
  <si>
    <t>#C10</t>
  </si>
  <si>
    <t>#6</t>
  </si>
  <si>
    <t>Private House</t>
  </si>
  <si>
    <t>6R</t>
  </si>
  <si>
    <t>16-A</t>
  </si>
  <si>
    <t>#5</t>
  </si>
  <si>
    <t>#B24</t>
  </si>
  <si>
    <t>#3D</t>
  </si>
  <si>
    <t>#1-I</t>
  </si>
  <si>
    <t>6G</t>
  </si>
  <si>
    <t>#4</t>
  </si>
  <si>
    <t>5F</t>
  </si>
  <si>
    <t>E8</t>
  </si>
  <si>
    <t>12D</t>
  </si>
  <si>
    <t>3p</t>
  </si>
  <si>
    <t>6E</t>
  </si>
  <si>
    <t>C3</t>
  </si>
  <si>
    <t>C9</t>
  </si>
  <si>
    <t>5E</t>
  </si>
  <si>
    <t>#L</t>
  </si>
  <si>
    <t>6F</t>
  </si>
  <si>
    <t>2Q</t>
  </si>
  <si>
    <t>22H</t>
  </si>
  <si>
    <t>2-R</t>
  </si>
  <si>
    <t>#B6</t>
  </si>
  <si>
    <t>14M</t>
  </si>
  <si>
    <t>#1F</t>
  </si>
  <si>
    <t>#6B</t>
  </si>
  <si>
    <t>#3-B</t>
  </si>
  <si>
    <t>#7BG</t>
  </si>
  <si>
    <t>#2F</t>
  </si>
  <si>
    <t>#1J</t>
  </si>
  <si>
    <t>#5T</t>
  </si>
  <si>
    <t>2nd Fl</t>
  </si>
  <si>
    <t>D11</t>
  </si>
  <si>
    <t>Apt 1G</t>
  </si>
  <si>
    <t>3D</t>
  </si>
  <si>
    <t>#2L</t>
  </si>
  <si>
    <t>1F</t>
  </si>
  <si>
    <t>C8</t>
  </si>
  <si>
    <t>#7D</t>
  </si>
  <si>
    <t>#2E</t>
  </si>
  <si>
    <t>#20B</t>
  </si>
  <si>
    <t>2I</t>
  </si>
  <si>
    <t>3 room 1</t>
  </si>
  <si>
    <t>Apt 5</t>
  </si>
  <si>
    <t>#3B</t>
  </si>
  <si>
    <t>#1B</t>
  </si>
  <si>
    <t>#4A</t>
  </si>
  <si>
    <t>#2B</t>
  </si>
  <si>
    <t>3K</t>
  </si>
  <si>
    <t>#7</t>
  </si>
  <si>
    <t>2P</t>
  </si>
  <si>
    <t>14A</t>
  </si>
  <si>
    <t>B103</t>
  </si>
  <si>
    <t>Friends/Family</t>
  </si>
  <si>
    <t>Court Referral-NON HRA</t>
  </si>
  <si>
    <t>In-House</t>
  </si>
  <si>
    <t>Outreach</t>
  </si>
  <si>
    <t>Elected Official</t>
  </si>
  <si>
    <t>Word of mouth</t>
  </si>
  <si>
    <t>LT-020123-18/KI</t>
  </si>
  <si>
    <t>LT-020690-18/KI</t>
  </si>
  <si>
    <t>LT-023678-18/KI</t>
  </si>
  <si>
    <t>LT-079986-18/KI</t>
  </si>
  <si>
    <t>LT-084746-18/KI</t>
  </si>
  <si>
    <t>LT-082285-18/KI</t>
  </si>
  <si>
    <t>LT-080326-18/KI</t>
  </si>
  <si>
    <t>LT-085523-18/KI</t>
  </si>
  <si>
    <t>LT-090220-18/KI</t>
  </si>
  <si>
    <t>LT-080046-18/KI</t>
  </si>
  <si>
    <t>LT-077919-18/KI</t>
  </si>
  <si>
    <t>LT-093139-18/KI</t>
  </si>
  <si>
    <t>LT-079836-18/KI</t>
  </si>
  <si>
    <t>LT-086922-18/KI</t>
  </si>
  <si>
    <t>LT-089128-18/KI</t>
  </si>
  <si>
    <t>LT-096229-18/KI</t>
  </si>
  <si>
    <t>LT-052563-19/KI</t>
  </si>
  <si>
    <t>LT-095477-18/KI</t>
  </si>
  <si>
    <t>LT-094421-18/KI</t>
  </si>
  <si>
    <t>LT-095125-18/KI</t>
  </si>
  <si>
    <t>LT-050017-19/KI</t>
  </si>
  <si>
    <t>LT-094787-17/KI</t>
  </si>
  <si>
    <t>LT-074895-18/KI</t>
  </si>
  <si>
    <t>LT-095322-18/KI</t>
  </si>
  <si>
    <t>LT-053898-19/KI</t>
  </si>
  <si>
    <t>LT-096201-18/KI</t>
  </si>
  <si>
    <t>LT-057568-19/KI</t>
  </si>
  <si>
    <t>LT-092024-18/KI</t>
  </si>
  <si>
    <t>LT-079759-18/KI</t>
  </si>
  <si>
    <t>LT-055424-19/KI</t>
  </si>
  <si>
    <t>LT-053441-19/KI</t>
  </si>
  <si>
    <t>LT-053574-19/KI</t>
  </si>
  <si>
    <t>LT-053575-19/KI</t>
  </si>
  <si>
    <t>LT-081622-18/KI</t>
  </si>
  <si>
    <t>LT-051845-19/KI</t>
  </si>
  <si>
    <t>LT-066856-18/KI</t>
  </si>
  <si>
    <t>LT-59664-19/KI</t>
  </si>
  <si>
    <t>LT-056653-19/KI</t>
  </si>
  <si>
    <t>LT-061924-19/KI</t>
  </si>
  <si>
    <t>LT-063042-19/KI</t>
  </si>
  <si>
    <t>LT-097389-18/KI</t>
  </si>
  <si>
    <t>LT-059282-19/KI</t>
  </si>
  <si>
    <t>LT-060922-19/KI</t>
  </si>
  <si>
    <t>LT-003404-18/KI</t>
  </si>
  <si>
    <t>LT-063574-19/KI</t>
  </si>
  <si>
    <t>LT-058728-19/KI</t>
  </si>
  <si>
    <t>LT-061878-19/KI</t>
  </si>
  <si>
    <t>002748/2019</t>
  </si>
  <si>
    <t>LT-054296-19/KI</t>
  </si>
  <si>
    <t>LT-064056-19/KI</t>
  </si>
  <si>
    <t>LT-059889-19/KI</t>
  </si>
  <si>
    <t>LT-067625-19/KI</t>
  </si>
  <si>
    <t>LT-066108-19/KI</t>
  </si>
  <si>
    <t>LT-057627-19/KI</t>
  </si>
  <si>
    <t>LT-060943-19/KI</t>
  </si>
  <si>
    <t>LT-089675-18/KI</t>
  </si>
  <si>
    <t>LT-068495-18/KI</t>
  </si>
  <si>
    <t>LT-073880-18/KI</t>
  </si>
  <si>
    <t>LT-101292-18/KI</t>
  </si>
  <si>
    <t>LT-065954-18/KI</t>
  </si>
  <si>
    <t>LT-086869-18/KI</t>
  </si>
  <si>
    <t>LT-082953-18/KI</t>
  </si>
  <si>
    <t>LT-075930-18/KI</t>
  </si>
  <si>
    <t>LT-070407-18/KI</t>
  </si>
  <si>
    <t>LT-080580-18/KI</t>
  </si>
  <si>
    <t>LT-084116-18/KI</t>
  </si>
  <si>
    <t>LT-082773-18/KI</t>
  </si>
  <si>
    <t>LT-096055-18/KI</t>
  </si>
  <si>
    <t>LT-097415-18/KI</t>
  </si>
  <si>
    <t>LT-094773-18/KI</t>
  </si>
  <si>
    <t>LT-054253-19/KI</t>
  </si>
  <si>
    <t>LT-054254-19/KI</t>
  </si>
  <si>
    <t>LT-051118-19/NY</t>
  </si>
  <si>
    <t>LT-053977-19/KI</t>
  </si>
  <si>
    <t>LT-062261-19/KI</t>
  </si>
  <si>
    <t>LT-060971-19/KI</t>
  </si>
  <si>
    <t>LT-068059-18/KI</t>
  </si>
  <si>
    <t>LT-096068-17/KI</t>
  </si>
  <si>
    <t>LT-088098-17/KI</t>
  </si>
  <si>
    <t>LT-086460-18/KI</t>
  </si>
  <si>
    <t>LT-082304-18/KI</t>
  </si>
  <si>
    <t>LT-058385-19/KI</t>
  </si>
  <si>
    <t>LT-012434-19/KI</t>
  </si>
  <si>
    <t>LT-075587-18/KI</t>
  </si>
  <si>
    <t>LT-077671-18/KI</t>
  </si>
  <si>
    <t>902738-TD-2018</t>
  </si>
  <si>
    <t>LT-002925-18/KI</t>
  </si>
  <si>
    <t>LT-088706-18/KI</t>
  </si>
  <si>
    <t>LT-014558-19/KI</t>
  </si>
  <si>
    <t>LT-072115-18/KI</t>
  </si>
  <si>
    <t>LT-072211-18/KI</t>
  </si>
  <si>
    <t>LT-071723-18/KI</t>
  </si>
  <si>
    <t>LT-081194-17/KI</t>
  </si>
  <si>
    <t>LT-002465-18/KI</t>
  </si>
  <si>
    <t>LT-075568-18/KI</t>
  </si>
  <si>
    <t>LT-078449-18/KI</t>
  </si>
  <si>
    <t>LT-074820-18/KI</t>
  </si>
  <si>
    <t>LT-010059-18/KI</t>
  </si>
  <si>
    <t>LT-076527-18/KI</t>
  </si>
  <si>
    <t>LT-065993-18/KI</t>
  </si>
  <si>
    <t>LT-013048-18/KI</t>
  </si>
  <si>
    <t>LT-017548-18/KI</t>
  </si>
  <si>
    <t>LT-075615-18/KI</t>
  </si>
  <si>
    <t>LT-013756-18/KI</t>
  </si>
  <si>
    <t>LT-077936-18/KI</t>
  </si>
  <si>
    <t>LT-897633-18/KI</t>
  </si>
  <si>
    <t>LT-071172-18/KI</t>
  </si>
  <si>
    <t>LT-014199-18/KI</t>
  </si>
  <si>
    <t>LT-015136-18/KI</t>
  </si>
  <si>
    <t>LT-074132-18/KI</t>
  </si>
  <si>
    <t>LT-082442-18/KI</t>
  </si>
  <si>
    <t>LT-070767-18/KI</t>
  </si>
  <si>
    <t>LT-074683-18/KI</t>
  </si>
  <si>
    <t>LT-077645-18/KI</t>
  </si>
  <si>
    <t>LT-078178-18/KI</t>
  </si>
  <si>
    <t>LT-096781-14/KI</t>
  </si>
  <si>
    <t>LT-082701-18/KI</t>
  </si>
  <si>
    <t>LT-080769-18/KI</t>
  </si>
  <si>
    <t>LT-079633-18/KI</t>
  </si>
  <si>
    <t>LT-002998-18/KI</t>
  </si>
  <si>
    <t>LT-016284-18/KI</t>
  </si>
  <si>
    <t>LT-065995-18/KI</t>
  </si>
  <si>
    <t>LT-083185-18/KI</t>
  </si>
  <si>
    <t>LT-087916-18/KI</t>
  </si>
  <si>
    <t>LT-084490-18/KI</t>
  </si>
  <si>
    <t>LT-078707-18/KI</t>
  </si>
  <si>
    <t>LT-089207-18/KI</t>
  </si>
  <si>
    <t>LT-082136-18/KI</t>
  </si>
  <si>
    <t>LT-022575-18/KI</t>
  </si>
  <si>
    <t>LT-2599-18/KI</t>
  </si>
  <si>
    <t>LT-081767-18/KI</t>
  </si>
  <si>
    <t>LT-087786-18/KI</t>
  </si>
  <si>
    <t>LT-085595-18/KI</t>
  </si>
  <si>
    <t>LT-082791-18/KI</t>
  </si>
  <si>
    <t>LT-085932-18/KI</t>
  </si>
  <si>
    <t>LT-082019-18/KI</t>
  </si>
  <si>
    <t>LT-086193-18/KI</t>
  </si>
  <si>
    <t>LT-019219-18/KI</t>
  </si>
  <si>
    <t>LT-017794-18/KI</t>
  </si>
  <si>
    <t>2022/2018</t>
  </si>
  <si>
    <t>LT-089754-18/KI</t>
  </si>
  <si>
    <t>LT-092430-18/KI</t>
  </si>
  <si>
    <t>LT-095122-18/KI</t>
  </si>
  <si>
    <t>LT-095152-18/KI</t>
  </si>
  <si>
    <t>LT-015568-18/KI</t>
  </si>
  <si>
    <t>LT-082851-18/KI</t>
  </si>
  <si>
    <t>LT-085124-18/KI</t>
  </si>
  <si>
    <t>LT-083912-18/KI</t>
  </si>
  <si>
    <t>LT-081137-18/KI</t>
  </si>
  <si>
    <t>LT-087717-18/KI</t>
  </si>
  <si>
    <t>LT-090258-18/KI</t>
  </si>
  <si>
    <t>LT-093159-18/KI</t>
  </si>
  <si>
    <t>LT-088979-18/KI</t>
  </si>
  <si>
    <t>LT-072096-18/KI</t>
  </si>
  <si>
    <t>LT-089439-18/KI</t>
  </si>
  <si>
    <t>LT-017830-18/KI</t>
  </si>
  <si>
    <t>LT-080581-18/KI</t>
  </si>
  <si>
    <t>LT-094906-18/KI</t>
  </si>
  <si>
    <t>LT-081140-18/KI</t>
  </si>
  <si>
    <t>LT-092699-18/KI</t>
  </si>
  <si>
    <t>LT-093688-18/KI</t>
  </si>
  <si>
    <t>LT-093081-18/KI</t>
  </si>
  <si>
    <t>LT-023180-18/KI</t>
  </si>
  <si>
    <t>LT-087536-18/KI</t>
  </si>
  <si>
    <t>LT-093849-18/KI</t>
  </si>
  <si>
    <t>LT-017040-18/KI</t>
  </si>
  <si>
    <t>LT-022304-18/KI</t>
  </si>
  <si>
    <t>LT-024532-18/KI</t>
  </si>
  <si>
    <t>LT-068254-17/KI</t>
  </si>
  <si>
    <t>LT-091040-18/KI</t>
  </si>
  <si>
    <t>LT-074044-18/KI</t>
  </si>
  <si>
    <t>LT-060758-18/KI</t>
  </si>
  <si>
    <t>LT-059409-18/KI</t>
  </si>
  <si>
    <t>LT-081955-18/KI</t>
  </si>
  <si>
    <t>LT-078384-18/KI</t>
  </si>
  <si>
    <t>LT-065350-18/KI</t>
  </si>
  <si>
    <t>LT-089464-18/KI</t>
  </si>
  <si>
    <t>LT-079944-18/KI</t>
  </si>
  <si>
    <t>LT-085692-18/KI</t>
  </si>
  <si>
    <t>LT-077193-18/KI</t>
  </si>
  <si>
    <t>LT-295597-18/KI</t>
  </si>
  <si>
    <t>LT-088195-18/KI</t>
  </si>
  <si>
    <t>LT-094378-18/KI</t>
  </si>
  <si>
    <t>LT-050267-19/KI</t>
  </si>
  <si>
    <t>LT-051171-19/KI</t>
  </si>
  <si>
    <t>LT-071709-17/KI</t>
  </si>
  <si>
    <t>LT-094490-18/KI</t>
  </si>
  <si>
    <t>001956/2018</t>
  </si>
  <si>
    <t>002396/2018</t>
  </si>
  <si>
    <t>LT-080629-18/KI</t>
  </si>
  <si>
    <t>LT-081128-18/KI</t>
  </si>
  <si>
    <t>LT-097462-18/KI</t>
  </si>
  <si>
    <t>LT-066894-18/KI</t>
  </si>
  <si>
    <t>LT-094883-18/KI</t>
  </si>
  <si>
    <t>LT-095533-18/KI</t>
  </si>
  <si>
    <t>LT-081316-18/KI</t>
  </si>
  <si>
    <t>LT-096735-18/KI</t>
  </si>
  <si>
    <t>LT-094427-18/KI</t>
  </si>
  <si>
    <t>LT-051977-19/KI</t>
  </si>
  <si>
    <t>LT-088968-18/KI</t>
  </si>
  <si>
    <t>LT-080005-18/KI</t>
  </si>
  <si>
    <t>LT-052754-19/KI</t>
  </si>
  <si>
    <t>LT-084547-18/KI</t>
  </si>
  <si>
    <t>LT-070352-18/KI</t>
  </si>
  <si>
    <t>LT-053445-19/KI</t>
  </si>
  <si>
    <t>LT-051325-19/KI</t>
  </si>
  <si>
    <t>LT-082892-18/KI</t>
  </si>
  <si>
    <t>LT-089409-18/KI</t>
  </si>
  <si>
    <t>LT-051442-19/KI</t>
  </si>
  <si>
    <t>LT-050474-19/KI</t>
  </si>
  <si>
    <t>LT-097413-18/KI</t>
  </si>
  <si>
    <t>LT-092847-18/KI</t>
  </si>
  <si>
    <t>LT-092846-18/KI</t>
  </si>
  <si>
    <t>LT-024078-18/KI</t>
  </si>
  <si>
    <t>LT-086651-18/KI</t>
  </si>
  <si>
    <t>LT-050139-19/KI</t>
  </si>
  <si>
    <t>LT-051275-19/KI</t>
  </si>
  <si>
    <t>LT-010269-19/KI</t>
  </si>
  <si>
    <t>LT-010263-19/KI</t>
  </si>
  <si>
    <t>LT-075834-18/KI</t>
  </si>
  <si>
    <t>LT-092567-18/KI</t>
  </si>
  <si>
    <t>LT-095975-18/KI</t>
  </si>
  <si>
    <t>LT-094951-18/KI</t>
  </si>
  <si>
    <t>LT-081303-18/KI</t>
  </si>
  <si>
    <t>LT-021934-18/KI</t>
  </si>
  <si>
    <t>LT-085538-18/KI</t>
  </si>
  <si>
    <t>LT-050872-19/KI</t>
  </si>
  <si>
    <t>LT-078301-18/KI</t>
  </si>
  <si>
    <t>LT-096366-18/KI</t>
  </si>
  <si>
    <t>LT-075425-18/KI</t>
  </si>
  <si>
    <t>LT-019997-18/KI</t>
  </si>
  <si>
    <t>LT-011553-19/KI</t>
  </si>
  <si>
    <t>LT-014409-18/KI</t>
  </si>
  <si>
    <t>LT-058196-19/KI</t>
  </si>
  <si>
    <t>LT-058199-19/KI</t>
  </si>
  <si>
    <t>LT-058139-19/KI</t>
  </si>
  <si>
    <t>LT-055015-19/KI</t>
  </si>
  <si>
    <t>LT-054456-19/KI</t>
  </si>
  <si>
    <t>LT-055868-19/KI</t>
  </si>
  <si>
    <t>LT-057921-19/KI</t>
  </si>
  <si>
    <t>LT-058153-19/KI</t>
  </si>
  <si>
    <t>LT-057822-19/KI</t>
  </si>
  <si>
    <t>LT-058292-19/KI</t>
  </si>
  <si>
    <t>LT-076842-19/KI</t>
  </si>
  <si>
    <t>LT-054766-19/KI</t>
  </si>
  <si>
    <t>LT-092676-18/KI</t>
  </si>
  <si>
    <t>LT-054164-19/KI</t>
  </si>
  <si>
    <t>LT-057975-19/KI</t>
  </si>
  <si>
    <t>LT-058549-19/KI</t>
  </si>
  <si>
    <t>LT-094332-18/KI</t>
  </si>
  <si>
    <t>LT-092815-18/KI</t>
  </si>
  <si>
    <t>LT-096695-18/KI</t>
  </si>
  <si>
    <t>LT-092831-18/KI</t>
  </si>
  <si>
    <t>LT-051892-19/KI</t>
  </si>
  <si>
    <t>LT-054673-19/KI</t>
  </si>
  <si>
    <t>LT-056901-19/KI</t>
  </si>
  <si>
    <t>LT-058373-19/KI</t>
  </si>
  <si>
    <t>LT-054884-19/KI</t>
  </si>
  <si>
    <t>LT-088300-18/KI</t>
  </si>
  <si>
    <t>LT-057613-19/KI</t>
  </si>
  <si>
    <t>LT-058562-19/KI</t>
  </si>
  <si>
    <t>LT-095890-18/KI</t>
  </si>
  <si>
    <t>LT-093010-18/KI</t>
  </si>
  <si>
    <t>LT-056628-19/KI</t>
  </si>
  <si>
    <t>LT-055509-19/KI</t>
  </si>
  <si>
    <t>LT-022405-18/KI</t>
  </si>
  <si>
    <t>LT-092594-18/KI</t>
  </si>
  <si>
    <t>LT-055391-19/KI</t>
  </si>
  <si>
    <t>LT-056052-19/KI</t>
  </si>
  <si>
    <t>LT-092139-17/KI</t>
  </si>
  <si>
    <t>LT-011104-19/KI</t>
  </si>
  <si>
    <t>LT-055473-19/KI</t>
  </si>
  <si>
    <t>LT-051909-19/KI</t>
  </si>
  <si>
    <t>LT-055452-19/KI</t>
  </si>
  <si>
    <t>LT-086459-18/KI</t>
  </si>
  <si>
    <t>LT-057880-19/KI</t>
  </si>
  <si>
    <t>LT-083379-18/KI</t>
  </si>
  <si>
    <t>LT-055447-19/KI</t>
  </si>
  <si>
    <t>LT-055921-19/KI</t>
  </si>
  <si>
    <t>LT-057516-19/KI</t>
  </si>
  <si>
    <t>LT-063790-19/KI</t>
  </si>
  <si>
    <t>LT-095018-18/KI</t>
  </si>
  <si>
    <t>LT-083282-18/KI</t>
  </si>
  <si>
    <t>LT-059066-19/KI</t>
  </si>
  <si>
    <t>LT-059944-19/KI</t>
  </si>
  <si>
    <t>LT-057668-19/KI</t>
  </si>
  <si>
    <t>LT-061137-19/KI</t>
  </si>
  <si>
    <t>LT-055467-19/KI</t>
  </si>
  <si>
    <t>LT-063071-19/KI</t>
  </si>
  <si>
    <t>LT-084129-18/KI</t>
  </si>
  <si>
    <t>LT-059374-19/KI</t>
  </si>
  <si>
    <t>LT-086103-18/KI</t>
  </si>
  <si>
    <t>LT-060523-19/KI</t>
  </si>
  <si>
    <t>LT-061355-19/KI</t>
  </si>
  <si>
    <t>LT-063391-19/KI</t>
  </si>
  <si>
    <t>LT-060028-19/KI</t>
  </si>
  <si>
    <t>LT-094103-18/KI</t>
  </si>
  <si>
    <t>LT-063609-19/KI</t>
  </si>
  <si>
    <t>LT-057142-19/KI</t>
  </si>
  <si>
    <t>LT-053991-19/KI</t>
  </si>
  <si>
    <t>LT-061817-19/KI</t>
  </si>
  <si>
    <t>LT-060533-19/KI</t>
  </si>
  <si>
    <t>LT-063575-19/KI</t>
  </si>
  <si>
    <t>LT-056745-19/KI</t>
  </si>
  <si>
    <t>LT-069974-18/KI</t>
  </si>
  <si>
    <t>LT-062205-19/KI</t>
  </si>
  <si>
    <t>LT-063990-19/KI</t>
  </si>
  <si>
    <t>LT-060735-19/KI</t>
  </si>
  <si>
    <t>LT-061805-19/KI</t>
  </si>
  <si>
    <t>LT-069604-18/KI</t>
  </si>
  <si>
    <t>LT-059433-19/KI</t>
  </si>
  <si>
    <t>LT-050075-19/KI</t>
  </si>
  <si>
    <t>LT-063698-19/KI</t>
  </si>
  <si>
    <t>002188/2018</t>
  </si>
  <si>
    <t>LT-056045-19/KI</t>
  </si>
  <si>
    <t>LT-062969-19/KI</t>
  </si>
  <si>
    <t>LT-057855-19/KI</t>
  </si>
  <si>
    <t>LT-056631-19/KI</t>
  </si>
  <si>
    <t>LT-083031-18/KI</t>
  </si>
  <si>
    <t>LT-055972-19/KI</t>
  </si>
  <si>
    <t>LT-063619-19/KI</t>
  </si>
  <si>
    <t>LT-062501-19/KI</t>
  </si>
  <si>
    <t>LT-056639-19/KI</t>
  </si>
  <si>
    <t>LT-096615-18/KI</t>
  </si>
  <si>
    <t>LT-062218-19/KI</t>
  </si>
  <si>
    <t>LT-014575-19/KI</t>
  </si>
  <si>
    <t>LT-059258-19/KI</t>
  </si>
  <si>
    <t>LT-012777-19/KI</t>
  </si>
  <si>
    <t>LT-000889-19/KI</t>
  </si>
  <si>
    <t>LT-059183-19/KI</t>
  </si>
  <si>
    <t>LT-059359-19/KI</t>
  </si>
  <si>
    <t>LT-057898-19/KI</t>
  </si>
  <si>
    <t>LT-058482-19/KI</t>
  </si>
  <si>
    <t>LT-066151-19/KI</t>
  </si>
  <si>
    <t>LT-063941-19/KI</t>
  </si>
  <si>
    <t>LT-067344-19/KI</t>
  </si>
  <si>
    <t>LT--066395-19/KI</t>
  </si>
  <si>
    <t>LT-050152-19/KI</t>
  </si>
  <si>
    <t>LT-062072-19/KI</t>
  </si>
  <si>
    <t>LT-074976-19/KI</t>
  </si>
  <si>
    <t>LT-061292-19/KI</t>
  </si>
  <si>
    <t>LT-065223-19/KI</t>
  </si>
  <si>
    <t>LT-064393-19/KI</t>
  </si>
  <si>
    <t>LT-090688-18/KI</t>
  </si>
  <si>
    <t>LT-064426-19/KI</t>
  </si>
  <si>
    <t>LT-065542-19/KI</t>
  </si>
  <si>
    <t>LT-066401-19/KI</t>
  </si>
  <si>
    <t>LT-064611-19/KI</t>
  </si>
  <si>
    <t>LT-090285-18/KI</t>
  </si>
  <si>
    <t>LT-062075-19/KI</t>
  </si>
  <si>
    <t>LT-617719-19/KI</t>
  </si>
  <si>
    <t>LT-063237-19/KI</t>
  </si>
  <si>
    <t>LT-063972-19/KI</t>
  </si>
  <si>
    <t>LT-094536-18/KI</t>
  </si>
  <si>
    <t>LT-065718-19/KI</t>
  </si>
  <si>
    <t>LT-067278-19/KI</t>
  </si>
  <si>
    <t>LT-064678-19/KI</t>
  </si>
  <si>
    <t>LT-067274-19/KI</t>
  </si>
  <si>
    <t>LT-055924-19/KI</t>
  </si>
  <si>
    <t>LT-066190-19/KI</t>
  </si>
  <si>
    <t>LT-096171-18/KI</t>
  </si>
  <si>
    <t>LT-067030-19/KI</t>
  </si>
  <si>
    <t>LT-014748-19/KI</t>
  </si>
  <si>
    <t>LT-064819-19/KI</t>
  </si>
  <si>
    <t>LT-064394-19/KI</t>
  </si>
  <si>
    <t>LT-064340-19/KI</t>
  </si>
  <si>
    <t>LT-066153-19/KI</t>
  </si>
  <si>
    <t>LT-067421-19/KI</t>
  </si>
  <si>
    <t>LT-067002-19/KI</t>
  </si>
  <si>
    <t>LT-062668-19/KI</t>
  </si>
  <si>
    <t>LT-063923-19/KI</t>
  </si>
  <si>
    <t>LT-064094-19/KI</t>
  </si>
  <si>
    <t>LT-015027-19/KI</t>
  </si>
  <si>
    <t>LT-064102-19/KI</t>
  </si>
  <si>
    <t>LT-064565-19/KI</t>
  </si>
  <si>
    <t>LT-065851-19/KI</t>
  </si>
  <si>
    <t>LT-067628-19/KI</t>
  </si>
  <si>
    <t>LT-067862-19/KI</t>
  </si>
  <si>
    <t>LT-000842-19/KI</t>
  </si>
  <si>
    <t>LT-066103-19/KI</t>
  </si>
  <si>
    <t>LT-066207-19/KI</t>
  </si>
  <si>
    <t>LT-059524-19/KI</t>
  </si>
  <si>
    <t>LT-014752-19/KI</t>
  </si>
  <si>
    <t>LT-014753-19/KI</t>
  </si>
  <si>
    <t>LT-010272-19/KI</t>
  </si>
  <si>
    <t>LT-065714-19/KI</t>
  </si>
  <si>
    <t>LT-066174-19/KI</t>
  </si>
  <si>
    <t>LT-066028-19/KI</t>
  </si>
  <si>
    <t>LT-066292-19/KI</t>
  </si>
  <si>
    <t>LT-064849-19/KI</t>
  </si>
  <si>
    <t>LT-064007-19/KI</t>
  </si>
  <si>
    <t>LT-061555-19/KI</t>
  </si>
  <si>
    <t>LT-063321-19/KI</t>
  </si>
  <si>
    <t>L&amp;T-51800-19/KI</t>
  </si>
  <si>
    <t>LT-68486-19/KI</t>
  </si>
  <si>
    <t>Appeal-Appellate Division</t>
  </si>
  <si>
    <t>Sec. 8 Termination</t>
  </si>
  <si>
    <t>Illegal Lockout</t>
  </si>
  <si>
    <t>Affirmative Litigation Supreme</t>
  </si>
  <si>
    <t>Appeal-Appellate Term</t>
  </si>
  <si>
    <t>DHCR Administrative Action</t>
  </si>
  <si>
    <t>No Case</t>
  </si>
  <si>
    <t>Hold For Review</t>
  </si>
  <si>
    <t>G - Negotiated Settlement with Litigation</t>
  </si>
  <si>
    <t>F - Negotiated Settlement w/out Litigation</t>
  </si>
  <si>
    <t>L - Extensive Service (not resulting in Settlement of Court or Administrative Action)</t>
  </si>
  <si>
    <t>IB - Contested Court Decision</t>
  </si>
  <si>
    <t>69 Other Housing</t>
  </si>
  <si>
    <t>Post-Stipulation, No Judgment</t>
  </si>
  <si>
    <t>On for Trial</t>
  </si>
  <si>
    <t>Post-Judgment, Tenant in Possession-Judgment Due to Default</t>
  </si>
  <si>
    <t>Post-Judgment, Tenant Out of Possession</t>
  </si>
  <si>
    <t>01/02/</t>
  </si>
  <si>
    <t>09/04/</t>
  </si>
  <si>
    <t>01/01/</t>
  </si>
  <si>
    <t>01/17/</t>
  </si>
  <si>
    <t>01/24/</t>
  </si>
  <si>
    <t>02/08/</t>
  </si>
  <si>
    <t>03/21/</t>
  </si>
  <si>
    <t>04/03/</t>
  </si>
  <si>
    <t>04/25/</t>
  </si>
  <si>
    <t>05/02/</t>
  </si>
  <si>
    <t>09/01/</t>
  </si>
  <si>
    <t>09/11/</t>
  </si>
  <si>
    <t>10/11/</t>
  </si>
  <si>
    <t>11/05/</t>
  </si>
  <si>
    <t>02/20/</t>
  </si>
  <si>
    <t>09/21/</t>
  </si>
  <si>
    <t>01/07/</t>
  </si>
  <si>
    <t>03/14/</t>
  </si>
  <si>
    <t>12/18/</t>
  </si>
  <si>
    <t>04/18/</t>
  </si>
  <si>
    <t>07/06/</t>
  </si>
  <si>
    <t>07/10/</t>
  </si>
  <si>
    <t>07/13/</t>
  </si>
  <si>
    <t>07/26/</t>
  </si>
  <si>
    <t>08/06/</t>
  </si>
  <si>
    <t>08/07/</t>
  </si>
  <si>
    <t>08/10/</t>
  </si>
  <si>
    <t>08/20/</t>
  </si>
  <si>
    <t>08/22/</t>
  </si>
  <si>
    <t>09/02/</t>
  </si>
  <si>
    <t>09/05/</t>
  </si>
  <si>
    <t>09/24/</t>
  </si>
  <si>
    <t>09/26/</t>
  </si>
  <si>
    <t>10/12/</t>
  </si>
  <si>
    <t>10/15/</t>
  </si>
  <si>
    <t>10/18/</t>
  </si>
  <si>
    <t>10/31/</t>
  </si>
  <si>
    <t>11/01/</t>
  </si>
  <si>
    <t>11/07/</t>
  </si>
  <si>
    <t>12/06/</t>
  </si>
  <si>
    <t>12/11/</t>
  </si>
  <si>
    <t>12/19/</t>
  </si>
  <si>
    <t>12/21/</t>
  </si>
  <si>
    <t>01/03/</t>
  </si>
  <si>
    <t>01/10/</t>
  </si>
  <si>
    <t>01/11/</t>
  </si>
  <si>
    <t>02/05/</t>
  </si>
  <si>
    <t>02/21/</t>
  </si>
  <si>
    <t>03/07/</t>
  </si>
  <si>
    <t>03/18/</t>
  </si>
  <si>
    <t>03/20/</t>
  </si>
  <si>
    <t>04/29/</t>
  </si>
  <si>
    <t>05/03/</t>
  </si>
  <si>
    <t>05/06/</t>
  </si>
  <si>
    <t>05/23/</t>
  </si>
  <si>
    <t>05/30/</t>
  </si>
  <si>
    <t>05/31/</t>
  </si>
  <si>
    <t>06/07/</t>
  </si>
  <si>
    <t>06/26/</t>
  </si>
  <si>
    <t>08/05/1990</t>
  </si>
  <si>
    <t>10/01/1982</t>
  </si>
  <si>
    <t>05/09/1955</t>
  </si>
  <si>
    <t>11/17/1967</t>
  </si>
  <si>
    <t>10/31/1973</t>
  </si>
  <si>
    <t>01/20/1970</t>
  </si>
  <si>
    <t>04/15/1994</t>
  </si>
  <si>
    <t>10/27/1959</t>
  </si>
  <si>
    <t>01/20/1947</t>
  </si>
  <si>
    <t>08/10/1960</t>
  </si>
  <si>
    <t>02/10/1959</t>
  </si>
  <si>
    <t>08/22/1986</t>
  </si>
  <si>
    <t>12/16/1974</t>
  </si>
  <si>
    <t>02/28/1966</t>
  </si>
  <si>
    <t>05/02/1930</t>
  </si>
  <si>
    <t>11/09/1951</t>
  </si>
  <si>
    <t>05/11/1960</t>
  </si>
  <si>
    <t>12/13/1963</t>
  </si>
  <si>
    <t>08/04/1957</t>
  </si>
  <si>
    <t>12/03/1968</t>
  </si>
  <si>
    <t>10/08/1960</t>
  </si>
  <si>
    <t>04/21/1959</t>
  </si>
  <si>
    <t>05/15/1985</t>
  </si>
  <si>
    <t>05/07/1983</t>
  </si>
  <si>
    <t>01/02/1954</t>
  </si>
  <si>
    <t>12/07/1985</t>
  </si>
  <si>
    <t>01/13/1977</t>
  </si>
  <si>
    <t>05/22/1960</t>
  </si>
  <si>
    <t>02/11/1949</t>
  </si>
  <si>
    <t>01/24/1966</t>
  </si>
  <si>
    <t>03/22/1968</t>
  </si>
  <si>
    <t>11/04/1962</t>
  </si>
  <si>
    <t>07/27/1979</t>
  </si>
  <si>
    <t>06/26/1958</t>
  </si>
  <si>
    <t>12/12/1990</t>
  </si>
  <si>
    <t>04/18/1985</t>
  </si>
  <si>
    <t>09/25/1973</t>
  </si>
  <si>
    <t>12/11/1961</t>
  </si>
  <si>
    <t>09/18/1960</t>
  </si>
  <si>
    <t>12/06/1984</t>
  </si>
  <si>
    <t>08/24/1964</t>
  </si>
  <si>
    <t>05/23/1987</t>
  </si>
  <si>
    <t>03/28/1983</t>
  </si>
  <si>
    <t>07/08/1943</t>
  </si>
  <si>
    <t>04/27/1991</t>
  </si>
  <si>
    <t>11/30/1983</t>
  </si>
  <si>
    <t>05/04/1983</t>
  </si>
  <si>
    <t>12/04/1985</t>
  </si>
  <si>
    <t>09/26/1964</t>
  </si>
  <si>
    <t>07/13/1963</t>
  </si>
  <si>
    <t>05/05/1958</t>
  </si>
  <si>
    <t>10/28/1960</t>
  </si>
  <si>
    <t>02/15/1944</t>
  </si>
  <si>
    <t>04/21/1967</t>
  </si>
  <si>
    <t>03/11/1969</t>
  </si>
  <si>
    <t>08/13/1969</t>
  </si>
  <si>
    <t>10/10/1975</t>
  </si>
  <si>
    <t>10/16/1965</t>
  </si>
  <si>
    <t>09/09/1985</t>
  </si>
  <si>
    <t>05/11/1951</t>
  </si>
  <si>
    <t>07/19/1981</t>
  </si>
  <si>
    <t>07/13/1990</t>
  </si>
  <si>
    <t>01/31/1948</t>
  </si>
  <si>
    <t>01/23/1964</t>
  </si>
  <si>
    <t>03/11/1967</t>
  </si>
  <si>
    <t>11/16/1993</t>
  </si>
  <si>
    <t>12/31/1984</t>
  </si>
  <si>
    <t>06/06/1956</t>
  </si>
  <si>
    <t>03/19/1997</t>
  </si>
  <si>
    <t>04/02/1965</t>
  </si>
  <si>
    <t>11/20/1968</t>
  </si>
  <si>
    <t>02/14/1958</t>
  </si>
  <si>
    <t>01/01/1956</t>
  </si>
  <si>
    <t>05/15/1971</t>
  </si>
  <si>
    <t>10/15/1991</t>
  </si>
  <si>
    <t>08/11/1955</t>
  </si>
  <si>
    <t>09/14/1990</t>
  </si>
  <si>
    <t>10/21/1990</t>
  </si>
  <si>
    <t>03/13/1977</t>
  </si>
  <si>
    <t>04/09/1986</t>
  </si>
  <si>
    <t>11/25/1980</t>
  </si>
  <si>
    <t>05/10/1982</t>
  </si>
  <si>
    <t>09/20/1991</t>
  </si>
  <si>
    <t>08/21/1975</t>
  </si>
  <si>
    <t>10/12/1981</t>
  </si>
  <si>
    <t>12/17/1963</t>
  </si>
  <si>
    <t>09/04/1965</t>
  </si>
  <si>
    <t>02/24/1974</t>
  </si>
  <si>
    <t>02/16/1980</t>
  </si>
  <si>
    <t>05/06/1988</t>
  </si>
  <si>
    <t>07/23/1958</t>
  </si>
  <si>
    <t>10/07/1960</t>
  </si>
  <si>
    <t>05/22/1961</t>
  </si>
  <si>
    <t>10/27/1991</t>
  </si>
  <si>
    <t>07/29/1988</t>
  </si>
  <si>
    <t>01/15/1974</t>
  </si>
  <si>
    <t>07/16/1933</t>
  </si>
  <si>
    <t>07/11/1961</t>
  </si>
  <si>
    <t>04/03/1952</t>
  </si>
  <si>
    <t>06/14/1979</t>
  </si>
  <si>
    <t>08/19/1981</t>
  </si>
  <si>
    <t>11/25/1970</t>
  </si>
  <si>
    <t>01/16/1957</t>
  </si>
  <si>
    <t>09/12/1972</t>
  </si>
  <si>
    <t>06/25/1955</t>
  </si>
  <si>
    <t>12/31/1970</t>
  </si>
  <si>
    <t>01/27/1960</t>
  </si>
  <si>
    <t>07/27/1950</t>
  </si>
  <si>
    <t>04/13/1983</t>
  </si>
  <si>
    <t>01/20/1981</t>
  </si>
  <si>
    <t>10/09/1959</t>
  </si>
  <si>
    <t>12/18/1964</t>
  </si>
  <si>
    <t>02/03/1963</t>
  </si>
  <si>
    <t>03/08/1974</t>
  </si>
  <si>
    <t>07/19/1969</t>
  </si>
  <si>
    <t>10/17/1961</t>
  </si>
  <si>
    <t>11/10/1988</t>
  </si>
  <si>
    <t>08/20/1957</t>
  </si>
  <si>
    <t>10/13/1956</t>
  </si>
  <si>
    <t>10/27/1949</t>
  </si>
  <si>
    <t>01/17/1953</t>
  </si>
  <si>
    <t>02/03/1964</t>
  </si>
  <si>
    <t>09/12/1987</t>
  </si>
  <si>
    <t>01/03/1958</t>
  </si>
  <si>
    <t>06/26/1981</t>
  </si>
  <si>
    <t>09/14/1950</t>
  </si>
  <si>
    <t>06/26/1971</t>
  </si>
  <si>
    <t>07/26/1961</t>
  </si>
  <si>
    <t>05/14/1968</t>
  </si>
  <si>
    <t>11/19/1968</t>
  </si>
  <si>
    <t>01/29/1969</t>
  </si>
  <si>
    <t>07/27/1963</t>
  </si>
  <si>
    <t>07/12/1967</t>
  </si>
  <si>
    <t>07/25/1979</t>
  </si>
  <si>
    <t>08/08/1958</t>
  </si>
  <si>
    <t>02/12/1966</t>
  </si>
  <si>
    <t>07/21/1979</t>
  </si>
  <si>
    <t>07/10/1955</t>
  </si>
  <si>
    <t>12/18/1959</t>
  </si>
  <si>
    <t>06/20/1986</t>
  </si>
  <si>
    <t>03/27/1953</t>
  </si>
  <si>
    <t>01/07/1956</t>
  </si>
  <si>
    <t>09/09/1972</t>
  </si>
  <si>
    <t>11/14/1976</t>
  </si>
  <si>
    <t>09/09/1960</t>
  </si>
  <si>
    <t>11/01/1966</t>
  </si>
  <si>
    <t>06/16/1961</t>
  </si>
  <si>
    <t>06/20/1967</t>
  </si>
  <si>
    <t>04/25/1963</t>
  </si>
  <si>
    <t>01/19/1969</t>
  </si>
  <si>
    <t>06/13/1963</t>
  </si>
  <si>
    <t>02/03/1976</t>
  </si>
  <si>
    <t>11/29/1971</t>
  </si>
  <si>
    <t>01/31/1971</t>
  </si>
  <si>
    <t>12/05/1979</t>
  </si>
  <si>
    <t>08/21/1973</t>
  </si>
  <si>
    <t>05/06/1986</t>
  </si>
  <si>
    <t>02/26/1965</t>
  </si>
  <si>
    <t>02/13/1944</t>
  </si>
  <si>
    <t>05/18/1980</t>
  </si>
  <si>
    <t>07/06/1985</t>
  </si>
  <si>
    <t>02/24/1958</t>
  </si>
  <si>
    <t>07/21/1973</t>
  </si>
  <si>
    <t>07/15/1971</t>
  </si>
  <si>
    <t>12/11/1991</t>
  </si>
  <si>
    <t>12/15/1989</t>
  </si>
  <si>
    <t>01/01/1973</t>
  </si>
  <si>
    <t>02/03/1986</t>
  </si>
  <si>
    <t>07/02/1955</t>
  </si>
  <si>
    <t>02/16/1964</t>
  </si>
  <si>
    <t>11/25/1971</t>
  </si>
  <si>
    <t>06/21/1964</t>
  </si>
  <si>
    <t>09/08/1974</t>
  </si>
  <si>
    <t>11/12/1961</t>
  </si>
  <si>
    <t>02/14/1974</t>
  </si>
  <si>
    <t>10/04/1943</t>
  </si>
  <si>
    <t>04/24/1943</t>
  </si>
  <si>
    <t>11/18/1956</t>
  </si>
  <si>
    <t>12/17/1984</t>
  </si>
  <si>
    <t>02/20/1975</t>
  </si>
  <si>
    <t>10/16/1978</t>
  </si>
  <si>
    <t>07/17/1936</t>
  </si>
  <si>
    <t>12/09/1966</t>
  </si>
  <si>
    <t>05/06/1977</t>
  </si>
  <si>
    <t>06/28/1994</t>
  </si>
  <si>
    <t>10/27/1965</t>
  </si>
  <si>
    <t>08/31/1977</t>
  </si>
  <si>
    <t>10/11/2000</t>
  </si>
  <si>
    <t>06/20/1976</t>
  </si>
  <si>
    <t>06/17/1986</t>
  </si>
  <si>
    <t>02/18/1979</t>
  </si>
  <si>
    <t>05/05/1953</t>
  </si>
  <si>
    <t>04/24/1959</t>
  </si>
  <si>
    <t>11/27/1974</t>
  </si>
  <si>
    <t>05/01/1956</t>
  </si>
  <si>
    <t>10/18/1966</t>
  </si>
  <si>
    <t>06/16/1962</t>
  </si>
  <si>
    <t>05/14/1965</t>
  </si>
  <si>
    <t>03/22/1970</t>
  </si>
  <si>
    <t>09/02/1953</t>
  </si>
  <si>
    <t>12/22/1979</t>
  </si>
  <si>
    <t>03/31/1977</t>
  </si>
  <si>
    <t>02/19/1945</t>
  </si>
  <si>
    <t>03/20/1974</t>
  </si>
  <si>
    <t>02/18/1981</t>
  </si>
  <si>
    <t>12/03/1973</t>
  </si>
  <si>
    <t>06/18/1971</t>
  </si>
  <si>
    <t>07/27/1957</t>
  </si>
  <si>
    <t>03/30/1961</t>
  </si>
  <si>
    <t>11/02/2000</t>
  </si>
  <si>
    <t>07/24/1986</t>
  </si>
  <si>
    <t>11/12/1973</t>
  </si>
  <si>
    <t>12/28/1989</t>
  </si>
  <si>
    <t>11/13/1977</t>
  </si>
  <si>
    <t>01/08/1962</t>
  </si>
  <si>
    <t>09/09/1982</t>
  </si>
  <si>
    <t>09/22/1962</t>
  </si>
  <si>
    <t>11/29/1957</t>
  </si>
  <si>
    <t>04/23/1989</t>
  </si>
  <si>
    <t>03/27/1977</t>
  </si>
  <si>
    <t>09/19/1964</t>
  </si>
  <si>
    <t>12/30/1964</t>
  </si>
  <si>
    <t>09/02/1972</t>
  </si>
  <si>
    <t>09/20/1952</t>
  </si>
  <si>
    <t>08/10/1974</t>
  </si>
  <si>
    <t>10/21/1972</t>
  </si>
  <si>
    <t>05/10/1972</t>
  </si>
  <si>
    <t>07/07/1960</t>
  </si>
  <si>
    <t>10/10/1967</t>
  </si>
  <si>
    <t>09/30/1955</t>
  </si>
  <si>
    <t>01/30/1986</t>
  </si>
  <si>
    <t>10/07/1981</t>
  </si>
  <si>
    <t>09/28/1989</t>
  </si>
  <si>
    <t>09/22/1984</t>
  </si>
  <si>
    <t>05/16/1967</t>
  </si>
  <si>
    <t>06/21/1955</t>
  </si>
  <si>
    <t>11/30/1966</t>
  </si>
  <si>
    <t>10/15/1954</t>
  </si>
  <si>
    <t>06/15/1973</t>
  </si>
  <si>
    <t>03/03/1958</t>
  </si>
  <si>
    <t>11/01/1980</t>
  </si>
  <si>
    <t>04/01/1942</t>
  </si>
  <si>
    <t>03/10/1973</t>
  </si>
  <si>
    <t>10/02/1974</t>
  </si>
  <si>
    <t>12/27/1957</t>
  </si>
  <si>
    <t>09/01/1971</t>
  </si>
  <si>
    <t>11/20/1964</t>
  </si>
  <si>
    <t>10/11/1952</t>
  </si>
  <si>
    <t>08/17/1954</t>
  </si>
  <si>
    <t>07/20/1970</t>
  </si>
  <si>
    <t>02/08/1936</t>
  </si>
  <si>
    <t>12/29/1973</t>
  </si>
  <si>
    <t>04/14/1945</t>
  </si>
  <si>
    <t>01/14/1968</t>
  </si>
  <si>
    <t>06/01/1967</t>
  </si>
  <si>
    <t>03/16/1964</t>
  </si>
  <si>
    <t>10/27/1967</t>
  </si>
  <si>
    <t>12/12/1988</t>
  </si>
  <si>
    <t>08/25/1976</t>
  </si>
  <si>
    <t>04/20/1977</t>
  </si>
  <si>
    <t>11/20/1983</t>
  </si>
  <si>
    <t>05/19/1983</t>
  </si>
  <si>
    <t>07/07/1981</t>
  </si>
  <si>
    <t>07/02/1945</t>
  </si>
  <si>
    <t>07/02/1990</t>
  </si>
  <si>
    <t>06/04/1963</t>
  </si>
  <si>
    <t>06/02/1968</t>
  </si>
  <si>
    <t>10/04/1959</t>
  </si>
  <si>
    <t>07/08/1973</t>
  </si>
  <si>
    <t>05/14/1991</t>
  </si>
  <si>
    <t>01/03/1980</t>
  </si>
  <si>
    <t>09/14/1963</t>
  </si>
  <si>
    <t>12/10/1952</t>
  </si>
  <si>
    <t>03/18/1976</t>
  </si>
  <si>
    <t>10/03/1970</t>
  </si>
  <si>
    <t>02/08/1988</t>
  </si>
  <si>
    <t>12/04/1944</t>
  </si>
  <si>
    <t>09/13/1958</t>
  </si>
  <si>
    <t>02/04/1959</t>
  </si>
  <si>
    <t>04/30/1961</t>
  </si>
  <si>
    <t>11/03/1935</t>
  </si>
  <si>
    <t>10/24/1977</t>
  </si>
  <si>
    <t>08/26/1996</t>
  </si>
  <si>
    <t>05/10/1964</t>
  </si>
  <si>
    <t>11/01/1981</t>
  </si>
  <si>
    <t>09/22/1968</t>
  </si>
  <si>
    <t>01/04/1973</t>
  </si>
  <si>
    <t>09/05/1970</t>
  </si>
  <si>
    <t>02/24/1992</t>
  </si>
  <si>
    <t>08/01/1953</t>
  </si>
  <si>
    <t>01/02/1970</t>
  </si>
  <si>
    <t>08/20/1936</t>
  </si>
  <si>
    <t>01/01/1964</t>
  </si>
  <si>
    <t>08/02/1963</t>
  </si>
  <si>
    <t>08/21/1966</t>
  </si>
  <si>
    <t>08/26/1981</t>
  </si>
  <si>
    <t>11/09/1935</t>
  </si>
  <si>
    <t>08/20/1949</t>
  </si>
  <si>
    <t>05/22/1989</t>
  </si>
  <si>
    <t>01/18/1981</t>
  </si>
  <si>
    <t>08/25/1980</t>
  </si>
  <si>
    <t>01/18/1989</t>
  </si>
  <si>
    <t>06/17/1939</t>
  </si>
  <si>
    <t>06/16/1985</t>
  </si>
  <si>
    <t>04/15/1998</t>
  </si>
  <si>
    <t>06/20/1982</t>
  </si>
  <si>
    <t>09/20/1974</t>
  </si>
  <si>
    <t>06/21/1976</t>
  </si>
  <si>
    <t>07/13/1953</t>
  </si>
  <si>
    <t>07/28/1964</t>
  </si>
  <si>
    <t>01/14/1991</t>
  </si>
  <si>
    <t>03/15/1958</t>
  </si>
  <si>
    <t>12/20/1958</t>
  </si>
  <si>
    <t>10/22/1992</t>
  </si>
  <si>
    <t>07/23/1974</t>
  </si>
  <si>
    <t>07/29/1993</t>
  </si>
  <si>
    <t>05/25/1969</t>
  </si>
  <si>
    <t>03/17/1940</t>
  </si>
  <si>
    <t>06/11/1990</t>
  </si>
  <si>
    <t>07/09/1965</t>
  </si>
  <si>
    <t>12/04/1974</t>
  </si>
  <si>
    <t>08/03/1978</t>
  </si>
  <si>
    <t>01/20/1980</t>
  </si>
  <si>
    <t>07/06/1968</t>
  </si>
  <si>
    <t>01/14/1995</t>
  </si>
  <si>
    <t>11/16/1991</t>
  </si>
  <si>
    <t>06/11/1969</t>
  </si>
  <si>
    <t>12/18/1968</t>
  </si>
  <si>
    <t>08/09/1994</t>
  </si>
  <si>
    <t>06/16/1979</t>
  </si>
  <si>
    <t>09/04/1957</t>
  </si>
  <si>
    <t>02/18/1974</t>
  </si>
  <si>
    <t>07/16/1965</t>
  </si>
  <si>
    <t>09/05/1985</t>
  </si>
  <si>
    <t>11/20/1991</t>
  </si>
  <si>
    <t>05/05/1979</t>
  </si>
  <si>
    <t>04/21/1947</t>
  </si>
  <si>
    <t>01/14/1997</t>
  </si>
  <si>
    <t>10/17/1984</t>
  </si>
  <si>
    <t>05/04/1964</t>
  </si>
  <si>
    <t>02/02/1969</t>
  </si>
  <si>
    <t>01/22/1967</t>
  </si>
  <si>
    <t>07/17/1973</t>
  </si>
  <si>
    <t>07/07/1986</t>
  </si>
  <si>
    <t>01/01/1985</t>
  </si>
  <si>
    <t>09/13/1979</t>
  </si>
  <si>
    <t>12/21/1939</t>
  </si>
  <si>
    <t>06/25/1965</t>
  </si>
  <si>
    <t>12/08/1955</t>
  </si>
  <si>
    <t>12/28/1950</t>
  </si>
  <si>
    <t>12/18/1957</t>
  </si>
  <si>
    <t>08/14/1952</t>
  </si>
  <si>
    <t>10/28/1987</t>
  </si>
  <si>
    <t>04/18/1972</t>
  </si>
  <si>
    <t>08/01/1975</t>
  </si>
  <si>
    <t>01/18/1938</t>
  </si>
  <si>
    <t>03/06/1958</t>
  </si>
  <si>
    <t>03/30/1954</t>
  </si>
  <si>
    <t>11/06/1971</t>
  </si>
  <si>
    <t>01/14/1955</t>
  </si>
  <si>
    <t>10/10/1978</t>
  </si>
  <si>
    <t>08/21/1983</t>
  </si>
  <si>
    <t>11/06/1982</t>
  </si>
  <si>
    <t>06/21/1946</t>
  </si>
  <si>
    <t>08/31/1962</t>
  </si>
  <si>
    <t>10/19/1993</t>
  </si>
  <si>
    <t>09/07/1979</t>
  </si>
  <si>
    <t>04/14/1958</t>
  </si>
  <si>
    <t>04/18/1975</t>
  </si>
  <si>
    <t>01/01/1970</t>
  </si>
  <si>
    <t>09/13/1968</t>
  </si>
  <si>
    <t>11/15/1968</t>
  </si>
  <si>
    <t>09/06/1984</t>
  </si>
  <si>
    <t>10/26/1980</t>
  </si>
  <si>
    <t>08/11/1974</t>
  </si>
  <si>
    <t>02/22/1983</t>
  </si>
  <si>
    <t>05/16/1985</t>
  </si>
  <si>
    <t>05/04/1944</t>
  </si>
  <si>
    <t>10/25/1963</t>
  </si>
  <si>
    <t>04/16/1987</t>
  </si>
  <si>
    <t>07/10/1981</t>
  </si>
  <si>
    <t>11/27/1970</t>
  </si>
  <si>
    <t>09/19/1949</t>
  </si>
  <si>
    <t>05/25/1955</t>
  </si>
  <si>
    <t>02/17/1976</t>
  </si>
  <si>
    <t>05/01/1941</t>
  </si>
  <si>
    <t>02/03/1956</t>
  </si>
  <si>
    <t>01/10/1976</t>
  </si>
  <si>
    <t>06/24/1961</t>
  </si>
  <si>
    <t>09/20/1954</t>
  </si>
  <si>
    <t>10/18/1936</t>
  </si>
  <si>
    <t>11/27/1973</t>
  </si>
  <si>
    <t>01/28/1986</t>
  </si>
  <si>
    <t>035093991E</t>
  </si>
  <si>
    <t>031452257E</t>
  </si>
  <si>
    <t>37212538F</t>
  </si>
  <si>
    <t>37885961F</t>
  </si>
  <si>
    <t>003035086C</t>
  </si>
  <si>
    <t>0</t>
  </si>
  <si>
    <t>167217050-A</t>
  </si>
  <si>
    <t>N/a</t>
  </si>
  <si>
    <t>0024600846F</t>
  </si>
  <si>
    <t>1280458-C</t>
  </si>
  <si>
    <t>036737334H</t>
  </si>
  <si>
    <t>04563338F</t>
  </si>
  <si>
    <t>18224600J</t>
  </si>
  <si>
    <t>037366268D</t>
  </si>
  <si>
    <t>016668027C</t>
  </si>
  <si>
    <t>12996403H</t>
  </si>
  <si>
    <t>5385780B</t>
  </si>
  <si>
    <t>01776794E</t>
  </si>
  <si>
    <t>017759496H</t>
  </si>
  <si>
    <t>012703437J</t>
  </si>
  <si>
    <t>0003738033H</t>
  </si>
  <si>
    <t>03559919a</t>
  </si>
  <si>
    <t>036914022D</t>
  </si>
  <si>
    <t>009419223E</t>
  </si>
  <si>
    <t>017727055A</t>
  </si>
  <si>
    <t>17607402-J</t>
  </si>
  <si>
    <t>none</t>
  </si>
  <si>
    <t>02924132A</t>
  </si>
  <si>
    <t>003173945B</t>
  </si>
  <si>
    <t>018608667E</t>
  </si>
  <si>
    <t>012078013F</t>
  </si>
  <si>
    <t>037165447G</t>
  </si>
  <si>
    <t>016965769J</t>
  </si>
  <si>
    <t>010804336F</t>
  </si>
  <si>
    <t>002044446J</t>
  </si>
  <si>
    <t>015715325F</t>
  </si>
  <si>
    <t>018582046B</t>
  </si>
  <si>
    <t>013040755E</t>
  </si>
  <si>
    <t>5413932-E</t>
  </si>
  <si>
    <t>013087710D</t>
  </si>
  <si>
    <t>06285659G</t>
  </si>
  <si>
    <t>018636404I</t>
  </si>
  <si>
    <t>037498373C</t>
  </si>
  <si>
    <t>006358690D</t>
  </si>
  <si>
    <t>018618373H</t>
  </si>
  <si>
    <t>037689494F</t>
  </si>
  <si>
    <t>017781484F</t>
  </si>
  <si>
    <t>037420736D</t>
  </si>
  <si>
    <t>005446365I</t>
  </si>
  <si>
    <t>009694028D</t>
  </si>
  <si>
    <t>9127762E</t>
  </si>
  <si>
    <t>018688600AI</t>
  </si>
  <si>
    <t>010806851B</t>
  </si>
  <si>
    <t>037431063J</t>
  </si>
  <si>
    <t>009127762E</t>
  </si>
  <si>
    <t>011540955J</t>
  </si>
  <si>
    <t>17165827B</t>
  </si>
  <si>
    <t>161-13-7642</t>
  </si>
  <si>
    <t>098-66-5138</t>
  </si>
  <si>
    <t>087-46-4951</t>
  </si>
  <si>
    <t>110-78-6086</t>
  </si>
  <si>
    <t>097-56-4301</t>
  </si>
  <si>
    <t>063-58-2249</t>
  </si>
  <si>
    <t>123-82-3083</t>
  </si>
  <si>
    <t>093-40-7948</t>
  </si>
  <si>
    <t>103-64-7682</t>
  </si>
  <si>
    <t>090-74-0141</t>
  </si>
  <si>
    <t>054-72-1462</t>
  </si>
  <si>
    <t>246-27-0373</t>
  </si>
  <si>
    <t>078-58-7677</t>
  </si>
  <si>
    <t>060-44-9861</t>
  </si>
  <si>
    <t>051-54-7323</t>
  </si>
  <si>
    <t>116-52-6568</t>
  </si>
  <si>
    <t>599-52-4485</t>
  </si>
  <si>
    <t>090-52-4962</t>
  </si>
  <si>
    <t>082-54-2441</t>
  </si>
  <si>
    <t>062-70-9022</t>
  </si>
  <si>
    <t>112-86-8173</t>
  </si>
  <si>
    <t>106-44-7291</t>
  </si>
  <si>
    <t>116-76-6766</t>
  </si>
  <si>
    <t>098-60-9022</t>
  </si>
  <si>
    <t>051-86-8160</t>
  </si>
  <si>
    <t>094-72-2523</t>
  </si>
  <si>
    <t>130-96-6122</t>
  </si>
  <si>
    <t>058-58-7191</t>
  </si>
  <si>
    <t>019-56-3160</t>
  </si>
  <si>
    <t>016-60-2361</t>
  </si>
  <si>
    <t>103-74-5013</t>
  </si>
  <si>
    <t>887-11-5689</t>
  </si>
  <si>
    <t>095-70-5863</t>
  </si>
  <si>
    <t>056-58-2757</t>
  </si>
  <si>
    <t>000-00-3582</t>
  </si>
  <si>
    <t>000-00-4055</t>
  </si>
  <si>
    <t>077-72-7688</t>
  </si>
  <si>
    <t>000-00-7356</t>
  </si>
  <si>
    <t>124-32-9618</t>
  </si>
  <si>
    <t>000-00-0445</t>
  </si>
  <si>
    <t>086-68-4919</t>
  </si>
  <si>
    <t>000-00-3459</t>
  </si>
  <si>
    <t>091-70-6770</t>
  </si>
  <si>
    <t>121-86-9056</t>
  </si>
  <si>
    <t>000-00-7259</t>
  </si>
  <si>
    <t>000-00-6112</t>
  </si>
  <si>
    <t>000-00-1455</t>
  </si>
  <si>
    <t>000-00-5314</t>
  </si>
  <si>
    <t>000-00-8916</t>
  </si>
  <si>
    <t>000-00-3191</t>
  </si>
  <si>
    <t>000-00-6119</t>
  </si>
  <si>
    <t>081-58-8986</t>
  </si>
  <si>
    <t>064-58-1436</t>
  </si>
  <si>
    <t>132-70-8942</t>
  </si>
  <si>
    <t>122-74-9158</t>
  </si>
  <si>
    <t>060-66-5365</t>
  </si>
  <si>
    <t>000-00-3124</t>
  </si>
  <si>
    <t>111-50-9846</t>
  </si>
  <si>
    <t>114-90-3586</t>
  </si>
  <si>
    <t>000-00-9141</t>
  </si>
  <si>
    <t>074-94-4927</t>
  </si>
  <si>
    <t>097-46-6021</t>
  </si>
  <si>
    <t>080-68-7673</t>
  </si>
  <si>
    <t>061-88-9029</t>
  </si>
  <si>
    <t>078-82-1583</t>
  </si>
  <si>
    <t>064-48-9581</t>
  </si>
  <si>
    <t>128-46-0569</t>
  </si>
  <si>
    <t>000-00-6779</t>
  </si>
  <si>
    <t>124-48-5681</t>
  </si>
  <si>
    <t>000-00-3238</t>
  </si>
  <si>
    <t>092-78-2894</t>
  </si>
  <si>
    <t>088-72-7360</t>
  </si>
  <si>
    <t>116-70-9095</t>
  </si>
  <si>
    <t>089-94-0555</t>
  </si>
  <si>
    <t>076-90-1006</t>
  </si>
  <si>
    <t>132-78-7953</t>
  </si>
  <si>
    <t>114-56-6534</t>
  </si>
  <si>
    <t>055-64-7556</t>
  </si>
  <si>
    <t>124-56-7394</t>
  </si>
  <si>
    <t>078-68-1579</t>
  </si>
  <si>
    <t>098-66-9649</t>
  </si>
  <si>
    <t>000-00-9299</t>
  </si>
  <si>
    <t>084-52-4874</t>
  </si>
  <si>
    <t>117-56-8522</t>
  </si>
  <si>
    <t>104-54-5701</t>
  </si>
  <si>
    <t>156-92-2312</t>
  </si>
  <si>
    <t>054-84-7515</t>
  </si>
  <si>
    <t>247-52-3269</t>
  </si>
  <si>
    <t>069-56-1544</t>
  </si>
  <si>
    <t>114-64-5423</t>
  </si>
  <si>
    <t>132-62-0631</t>
  </si>
  <si>
    <t>057-66-1829</t>
  </si>
  <si>
    <t>121-56-9555</t>
  </si>
  <si>
    <t>105-54-5485</t>
  </si>
  <si>
    <t>108-62-7200</t>
  </si>
  <si>
    <t>104-38-4424</t>
  </si>
  <si>
    <t>058-58-4238</t>
  </si>
  <si>
    <t>089-54-1669</t>
  </si>
  <si>
    <t>584-28-9845</t>
  </si>
  <si>
    <t>128-66-9438</t>
  </si>
  <si>
    <t>187-64-5748</t>
  </si>
  <si>
    <t>068-54-3092</t>
  </si>
  <si>
    <t>120-88-7388</t>
  </si>
  <si>
    <t>583-27-2540</t>
  </si>
  <si>
    <t>074-60-4768</t>
  </si>
  <si>
    <t>060-66-5360</t>
  </si>
  <si>
    <t>072-54-9330</t>
  </si>
  <si>
    <t>074-78-2751</t>
  </si>
  <si>
    <t>103-50-6230</t>
  </si>
  <si>
    <t>055-48-9986</t>
  </si>
  <si>
    <t>121-46-4394</t>
  </si>
  <si>
    <t>050-44-4276</t>
  </si>
  <si>
    <t>127-72-3469</t>
  </si>
  <si>
    <t>095-74-5808</t>
  </si>
  <si>
    <t>090-66-0787</t>
  </si>
  <si>
    <t>066-58-1506</t>
  </si>
  <si>
    <t>070-70-4249</t>
  </si>
  <si>
    <t>103-68-6099</t>
  </si>
  <si>
    <t>059-72-3495</t>
  </si>
  <si>
    <t>093-02-1337</t>
  </si>
  <si>
    <t>108-58-4105</t>
  </si>
  <si>
    <t>113-58-3134</t>
  </si>
  <si>
    <t>124-60-8351</t>
  </si>
  <si>
    <t>067-64-5583</t>
  </si>
  <si>
    <t>056-56-2668</t>
  </si>
  <si>
    <t>132-60-7849</t>
  </si>
  <si>
    <t>055-66-0947</t>
  </si>
  <si>
    <t>086-86-7881</t>
  </si>
  <si>
    <t>130-74-0257</t>
  </si>
  <si>
    <t>729-05-2715</t>
  </si>
  <si>
    <t>097-46-8892</t>
  </si>
  <si>
    <t>087-46-9845</t>
  </si>
  <si>
    <t>075-86-3167</t>
  </si>
  <si>
    <t>130-72-2990</t>
  </si>
  <si>
    <t>102-80-0133</t>
  </si>
  <si>
    <t>000-00-0000</t>
  </si>
  <si>
    <t>109-82-0707</t>
  </si>
  <si>
    <t>060-64-6975</t>
  </si>
  <si>
    <t>102-76-7646</t>
  </si>
  <si>
    <t>089-74-7069</t>
  </si>
  <si>
    <t>100-92-9989</t>
  </si>
  <si>
    <t>130-90-8279</t>
  </si>
  <si>
    <t>083-96-8173</t>
  </si>
  <si>
    <t>074-60-4753</t>
  </si>
  <si>
    <t>243-53-5638</t>
  </si>
  <si>
    <t>087-58-5339</t>
  </si>
  <si>
    <t>075-72-1569</t>
  </si>
  <si>
    <t>108-74-1284</t>
  </si>
  <si>
    <t>050-36-6103</t>
  </si>
  <si>
    <t>093-66-3746</t>
  </si>
  <si>
    <t>084-50-2079</t>
  </si>
  <si>
    <t>131-76-8014</t>
  </si>
  <si>
    <t>088-58-7803</t>
  </si>
  <si>
    <t>074-78-3720</t>
  </si>
  <si>
    <t>122-78-5911</t>
  </si>
  <si>
    <t>107-70-5389</t>
  </si>
  <si>
    <t>126-46-2645</t>
  </si>
  <si>
    <t>100-74-9662</t>
  </si>
  <si>
    <t>105-84-9026</t>
  </si>
  <si>
    <t>073-58-5711</t>
  </si>
  <si>
    <t>583-31-5312</t>
  </si>
  <si>
    <t>084-60-2779</t>
  </si>
  <si>
    <t>131-58-0370</t>
  </si>
  <si>
    <t>121-48-5149</t>
  </si>
  <si>
    <t>104-76-4774</t>
  </si>
  <si>
    <t>125-62-8765</t>
  </si>
  <si>
    <t>864-42-2212</t>
  </si>
  <si>
    <t>230-06-5102</t>
  </si>
  <si>
    <t>068-64-8893</t>
  </si>
  <si>
    <t>163-28-1134</t>
  </si>
  <si>
    <t>127-64-3951</t>
  </si>
  <si>
    <t>104-80-5629</t>
  </si>
  <si>
    <t>121-82-2112</t>
  </si>
  <si>
    <t>075-64-9600</t>
  </si>
  <si>
    <t>112-60-6262</t>
  </si>
  <si>
    <t>078-90-2039</t>
  </si>
  <si>
    <t>065-60-0357</t>
  </si>
  <si>
    <t>050-72-7900</t>
  </si>
  <si>
    <t>120-94-1810</t>
  </si>
  <si>
    <t>078-82-6214</t>
  </si>
  <si>
    <t>087-82-5519</t>
  </si>
  <si>
    <t>096-76-4901</t>
  </si>
  <si>
    <t>130-74-3476</t>
  </si>
  <si>
    <t>086-50-0352</t>
  </si>
  <si>
    <t>069-58-0477</t>
  </si>
  <si>
    <t>090-48-5198</t>
  </si>
  <si>
    <t>067-64-9414</t>
  </si>
  <si>
    <t>116-60-1742</t>
  </si>
  <si>
    <t>104-56-4568</t>
  </si>
  <si>
    <t>053-74-7800</t>
  </si>
  <si>
    <t>060-92-0053</t>
  </si>
  <si>
    <t>119-48-4412</t>
  </si>
  <si>
    <t>080-90-5310</t>
  </si>
  <si>
    <t>063-74-0604</t>
  </si>
  <si>
    <t>729-05-5006</t>
  </si>
  <si>
    <t>117-76-2667</t>
  </si>
  <si>
    <t>090-74-1221</t>
  </si>
  <si>
    <t>034-84-8719</t>
  </si>
  <si>
    <t>118-62-8623</t>
  </si>
  <si>
    <t>089-50-1595</t>
  </si>
  <si>
    <t>120-76-8521</t>
  </si>
  <si>
    <t>084-62-2895</t>
  </si>
  <si>
    <t>097-62-4663</t>
  </si>
  <si>
    <t>066-74-6970</t>
  </si>
  <si>
    <t>057-58-4507</t>
  </si>
  <si>
    <t>120-88-5367</t>
  </si>
  <si>
    <t>111-82-1457</t>
  </si>
  <si>
    <t>127-58-6921</t>
  </si>
  <si>
    <t>100-52-6046</t>
  </si>
  <si>
    <t>129-94-9517</t>
  </si>
  <si>
    <t>050-82-1333</t>
  </si>
  <si>
    <t>000-00-2016</t>
  </si>
  <si>
    <t>099-76-9869</t>
  </si>
  <si>
    <t>092-92-6864</t>
  </si>
  <si>
    <t>133-78-8581</t>
  </si>
  <si>
    <t>096-48-7154</t>
  </si>
  <si>
    <t>079-72-5020</t>
  </si>
  <si>
    <t>016-86-0282</t>
  </si>
  <si>
    <t>114-50-8744</t>
  </si>
  <si>
    <t>074-82-4328</t>
  </si>
  <si>
    <t>087-62-4468</t>
  </si>
  <si>
    <t>086-68-0416</t>
  </si>
  <si>
    <t>058-60-8922</t>
  </si>
  <si>
    <t>104-52-5218</t>
  </si>
  <si>
    <t>075-60-0165</t>
  </si>
  <si>
    <t>590-05-2406</t>
  </si>
  <si>
    <t>082-46-3597</t>
  </si>
  <si>
    <t>113-60-4632</t>
  </si>
  <si>
    <t>581-34-8130</t>
  </si>
  <si>
    <t>099-02-8580</t>
  </si>
  <si>
    <t>104-34-5801</t>
  </si>
  <si>
    <t>131-78-3063</t>
  </si>
  <si>
    <t>117-56-9345</t>
  </si>
  <si>
    <t>245-19-0937</t>
  </si>
  <si>
    <t>055-60-3433</t>
  </si>
  <si>
    <t>057-84-1750</t>
  </si>
  <si>
    <t>580-17-6590</t>
  </si>
  <si>
    <t>652-86-7742</t>
  </si>
  <si>
    <t>101-72-1619</t>
  </si>
  <si>
    <t>132-72-3107</t>
  </si>
  <si>
    <t>087-82-6274</t>
  </si>
  <si>
    <t>068-56-2337</t>
  </si>
  <si>
    <t>086-66-0705</t>
  </si>
  <si>
    <t>098-80-5235</t>
  </si>
  <si>
    <t>050-60-7982</t>
  </si>
  <si>
    <t>106-78-2597</t>
  </si>
  <si>
    <t>185-62-7604</t>
  </si>
  <si>
    <t>054-62-8192</t>
  </si>
  <si>
    <t>097-64-8801</t>
  </si>
  <si>
    <t>358-68-4009</t>
  </si>
  <si>
    <t>248-75-3788</t>
  </si>
  <si>
    <t>084-34-0506</t>
  </si>
  <si>
    <t>110-50-6680</t>
  </si>
  <si>
    <t>081-72-8475</t>
  </si>
  <si>
    <t>079-54-8543</t>
  </si>
  <si>
    <t>000-00-5437</t>
  </si>
  <si>
    <t>063-86-6704</t>
  </si>
  <si>
    <t>057-74-4179</t>
  </si>
  <si>
    <t>000-00-7988</t>
  </si>
  <si>
    <t>000-00-1761</t>
  </si>
  <si>
    <t>000-00-1792</t>
  </si>
  <si>
    <t>071-62-6297</t>
  </si>
  <si>
    <t>598-34-7193</t>
  </si>
  <si>
    <t>261-13-3720</t>
  </si>
  <si>
    <t>000-00-3782</t>
  </si>
  <si>
    <t>000-00-9771</t>
  </si>
  <si>
    <t>000-00-8290</t>
  </si>
  <si>
    <t>592-33-3937</t>
  </si>
  <si>
    <t>082-62-2280</t>
  </si>
  <si>
    <t>000-00-0162</t>
  </si>
  <si>
    <t>099-48-7168</t>
  </si>
  <si>
    <t>000-00-6142</t>
  </si>
  <si>
    <t>128-64-8892</t>
  </si>
  <si>
    <t>000-00-4438</t>
  </si>
  <si>
    <t>000-00-4577</t>
  </si>
  <si>
    <t>113-70-0448</t>
  </si>
  <si>
    <t>000-00-1904</t>
  </si>
  <si>
    <t>095-66-0498</t>
  </si>
  <si>
    <t>000-00-1932</t>
  </si>
  <si>
    <t>000-00-6466</t>
  </si>
  <si>
    <t>000-00-9133</t>
  </si>
  <si>
    <t>000-00-1576</t>
  </si>
  <si>
    <t>000-00-9686</t>
  </si>
  <si>
    <t>590-71-1635</t>
  </si>
  <si>
    <t>583-92-2307</t>
  </si>
  <si>
    <t>000-00-6023</t>
  </si>
  <si>
    <t>066-58-7590</t>
  </si>
  <si>
    <t>000-00-0558</t>
  </si>
  <si>
    <t>583-69-7845</t>
  </si>
  <si>
    <t>000-00-7630</t>
  </si>
  <si>
    <t>000-00-9409</t>
  </si>
  <si>
    <t>000-00-0282</t>
  </si>
  <si>
    <t>000-00-1609</t>
  </si>
  <si>
    <t>248-47-9192</t>
  </si>
  <si>
    <t>063-66-2273</t>
  </si>
  <si>
    <t>122-76-5504</t>
  </si>
  <si>
    <t>000-00-2398</t>
  </si>
  <si>
    <t>088-80-5889</t>
  </si>
  <si>
    <t>108-60-6846</t>
  </si>
  <si>
    <t>090-58-8996</t>
  </si>
  <si>
    <t>085-02-0885</t>
  </si>
  <si>
    <t>636-94-0952</t>
  </si>
  <si>
    <t>000-00-2502</t>
  </si>
  <si>
    <t>000-00-6885</t>
  </si>
  <si>
    <t>107-62-5556</t>
  </si>
  <si>
    <t>078-74-9893</t>
  </si>
  <si>
    <t>086-82-9386</t>
  </si>
  <si>
    <t>106-94-2906</t>
  </si>
  <si>
    <t>069-56-2035</t>
  </si>
  <si>
    <t>077-90-6759</t>
  </si>
  <si>
    <t>000-00-0761</t>
  </si>
  <si>
    <t>000-00-9913</t>
  </si>
  <si>
    <t>000-00-7768</t>
  </si>
  <si>
    <t>000-00-9183</t>
  </si>
  <si>
    <t>000-00-7615</t>
  </si>
  <si>
    <t>000-00-4396</t>
  </si>
  <si>
    <t>000-00-3885</t>
  </si>
  <si>
    <t>000-00-9719</t>
  </si>
  <si>
    <t>093-58-2919</t>
  </si>
  <si>
    <t>000-00-2080</t>
  </si>
  <si>
    <t>083-62-5171</t>
  </si>
  <si>
    <t>000-00-7242</t>
  </si>
  <si>
    <t>000-00-7886</t>
  </si>
  <si>
    <t>000-00-3672</t>
  </si>
  <si>
    <t>000-00-9542</t>
  </si>
  <si>
    <t>000-00-4021</t>
  </si>
  <si>
    <t>080-48-6251</t>
  </si>
  <si>
    <t>000-00-5590</t>
  </si>
  <si>
    <t>000-00-0169</t>
  </si>
  <si>
    <t>000-00-8036</t>
  </si>
  <si>
    <t>000-00-2747</t>
  </si>
  <si>
    <t>000-00-3950</t>
  </si>
  <si>
    <t>101-68-9540</t>
  </si>
  <si>
    <t>000-00-9491</t>
  </si>
  <si>
    <t>000-00-9432</t>
  </si>
  <si>
    <t>000-00-9347</t>
  </si>
  <si>
    <t>000-00-0263</t>
  </si>
  <si>
    <t>052-64-5107</t>
  </si>
  <si>
    <t>000-00-0814</t>
  </si>
  <si>
    <t>000-00-6090</t>
  </si>
  <si>
    <t>000-00-1837</t>
  </si>
  <si>
    <t>000-00-0799</t>
  </si>
  <si>
    <t>000-00-0400</t>
  </si>
  <si>
    <t>000-00-6332</t>
  </si>
  <si>
    <t>000-00-5061</t>
  </si>
  <si>
    <t>000-00-8978</t>
  </si>
  <si>
    <t>083-98-0584</t>
  </si>
  <si>
    <t>000-00-9976</t>
  </si>
  <si>
    <t>000-00-7495</t>
  </si>
  <si>
    <t>000-00-2451</t>
  </si>
  <si>
    <t>000-00-0061</t>
  </si>
  <si>
    <t>000-00-0682</t>
  </si>
  <si>
    <t>000-00-6426</t>
  </si>
  <si>
    <t>000-00-6895</t>
  </si>
  <si>
    <t>000-00-7780</t>
  </si>
  <si>
    <t>000-00-9735</t>
  </si>
  <si>
    <t>000-00-4419</t>
  </si>
  <si>
    <t>000-00-1161</t>
  </si>
  <si>
    <t>000-00-3998</t>
  </si>
  <si>
    <t>000-00-1236</t>
  </si>
  <si>
    <t>000-00-4301</t>
  </si>
  <si>
    <t>000-00-5032</t>
  </si>
  <si>
    <t>099-70-4819</t>
  </si>
  <si>
    <t>Other Subsidized Housing</t>
  </si>
  <si>
    <t>Unknown</t>
  </si>
  <si>
    <t>HDFC</t>
  </si>
  <si>
    <t>Supportive Housing</t>
  </si>
  <si>
    <t>Rent Controlled</t>
  </si>
  <si>
    <t>Mitchell-Lama</t>
  </si>
  <si>
    <t>Low Income Tax Credit</t>
  </si>
  <si>
    <t>Unregulated – Co-Op</t>
  </si>
  <si>
    <t>Unregulated – Other</t>
  </si>
  <si>
    <t>Income Waiver</t>
  </si>
  <si>
    <t>CAT3: Cases Involving Rent-Regulated Housing Or Housing Subsidies Vouchers</t>
  </si>
  <si>
    <t>FEPS</t>
  </si>
  <si>
    <t>City FEPS</t>
  </si>
  <si>
    <t>HASA</t>
  </si>
  <si>
    <t>French Creole</t>
  </si>
  <si>
    <t>Dutch</t>
  </si>
  <si>
    <t>Russian</t>
  </si>
  <si>
    <t>French</t>
  </si>
  <si>
    <t>case # 4484383</t>
  </si>
  <si>
    <t>PA History</t>
  </si>
  <si>
    <t>Intake Pkg, Attestation &amp; DHCI included in Retainer Doc</t>
  </si>
  <si>
    <t>no case</t>
  </si>
  <si>
    <t>Wilson-Wieland, Cherille</t>
  </si>
  <si>
    <t>Lane, Diane</t>
  </si>
  <si>
    <t>Belhomme, Wilesca</t>
  </si>
  <si>
    <t>St. Louis, Bianca</t>
  </si>
  <si>
    <t>Schwartz, Ester</t>
  </si>
  <si>
    <t>Eisom, Stanley</t>
  </si>
  <si>
    <t>Pierre, Haenley</t>
  </si>
  <si>
    <t>Ortega, Luis</t>
  </si>
  <si>
    <t>Villanueva, Anthony</t>
  </si>
  <si>
    <t>Counsel Assisted in Filing or Refiling of Answer</t>
  </si>
  <si>
    <t>Commenced Trial, Filed/Argued/Supplemented Dispositive or other Substantive Motion</t>
  </si>
  <si>
    <t>Filed/Argued/Supplemented Dispositive or other Substantive Motion, Filed for an Emergency Order to Show Cause</t>
  </si>
  <si>
    <t>Counsel Assisted in Filing or Refiling of Answer, Filed/Argued/Supplemented Dispositive or other Substantive Motion</t>
  </si>
  <si>
    <t>Secured Order or Agreement for Repairs in Apartment/Building</t>
  </si>
  <si>
    <t>Obtained Negotiated Buyout</t>
  </si>
  <si>
    <t>Food Stamps (SNAP), Other, TANF</t>
  </si>
  <si>
    <t>Food Stamps (SNAP), Welfare - Fam. Assis.</t>
  </si>
  <si>
    <t>Food Stamps (SNAP), Other</t>
  </si>
  <si>
    <t>Employment, Food Stamps (SNAP), SSI</t>
  </si>
  <si>
    <t>Social Security</t>
  </si>
  <si>
    <t>Pension/Retirement (Not Soc. Sec.), Social Security Retirement</t>
  </si>
  <si>
    <t>Pension/Retirement (Not Soc. Sec.), Social Security</t>
  </si>
  <si>
    <t>Food Stamps (SNAP), Unemployment Compensation</t>
  </si>
  <si>
    <t>Employment, Food Stamps (SNAP), Other</t>
  </si>
  <si>
    <t>Food Stamps (SNAP), Other, Social Security Disability, Worker's Compensation</t>
  </si>
  <si>
    <t>Child Support, Food Stamps (SNAP), Welfare</t>
  </si>
  <si>
    <t>Employment, Food Stamps (SNAP), Welfare - Fam. Assis.</t>
  </si>
  <si>
    <t>Food Stamps (SNAP)</t>
  </si>
  <si>
    <t>Employment, Social Security</t>
  </si>
  <si>
    <t>Food Stamps (SNAP), Medicaid (MA), Welfare</t>
  </si>
  <si>
    <t>Food Stamps (SNAP), Medicaid (MA), SSI</t>
  </si>
  <si>
    <t>Employment, Other</t>
  </si>
  <si>
    <t>Rental Income, Social Security</t>
  </si>
  <si>
    <t>SSI, Welfare</t>
  </si>
  <si>
    <t>Employment, Social Security Disability</t>
  </si>
  <si>
    <t>Employment, Food Stamps (SNAP), Welfare</t>
  </si>
  <si>
    <t>Child Support, Food Stamps (SNAP)</t>
  </si>
  <si>
    <t>Employment, Food Stamps (SNAP), Social Security Disability</t>
  </si>
  <si>
    <t>Medicaid (MA), Social Security</t>
  </si>
  <si>
    <t>Employment, Unemployment Compensation</t>
  </si>
  <si>
    <t>Food Stamps (SNAP), Other, Social Security Disability</t>
  </si>
  <si>
    <t>Food Stamps (SNAP), Other, Veterans Benefits</t>
  </si>
  <si>
    <t>Food Stamps (SNAP), Veterans Benefits</t>
  </si>
  <si>
    <t>Income Not Provided</t>
  </si>
  <si>
    <t>Employment, Employment (Self-Employed)</t>
  </si>
  <si>
    <t>Welfare - Safety Net</t>
  </si>
  <si>
    <t>Employment, Food Stamps (SNAP), Medicaid (MA), Welfare</t>
  </si>
  <si>
    <t>Food Stamps (SNAP), Social Security</t>
  </si>
  <si>
    <t>Food Stamps (SNAP), Medicaid (MA), Social Security Disability</t>
  </si>
  <si>
    <t>Unemployment Compensation</t>
  </si>
  <si>
    <t>Pension/Retirement (Not Soc. Sec.), Social Security Disability</t>
  </si>
  <si>
    <t>Social Security Disability, Welfare</t>
  </si>
  <si>
    <t>Employment, Food Stamps (SNAP), Social Security Retirement, SSI</t>
  </si>
  <si>
    <t>General Assistance, Social Security Disability</t>
  </si>
  <si>
    <t>Employment, Pension/Retirement (Not Soc. Sec.), Welfare</t>
  </si>
  <si>
    <t>Employment (Self-Employed), Food Stamps (SNAP), Welfare</t>
  </si>
  <si>
    <t>Workers Compensation</t>
  </si>
  <si>
    <t>Welfare</t>
  </si>
  <si>
    <t>Employment, SSI</t>
  </si>
  <si>
    <t>Employment, Food Stamps (SNAP), Medicaid (MA), SSI, Welfare</t>
  </si>
  <si>
    <t>Food Stamps (SNAP), Medicaid (MA), Social Security, SSI</t>
  </si>
  <si>
    <t>Pension/Retirement (Not Soc. Sec.), Social Security, Social Security Retirement</t>
  </si>
  <si>
    <t>Social Security, Social Security Disability</t>
  </si>
  <si>
    <t>Food Stamps (SNAP), Medicaid (MA), Unemployment Compensation</t>
  </si>
  <si>
    <t>Social Security Disability, SSI</t>
  </si>
  <si>
    <t>Food Stamps (SNAP), Social Security, Social Security Disability</t>
  </si>
  <si>
    <t>Food Stamps (SNAP), Home Relief, SSI</t>
  </si>
  <si>
    <t>Food Stamps (SNAP), Worker's Compensation</t>
  </si>
  <si>
    <t>Employment, Food Stamps (SNAP), Medicaid (MA)</t>
  </si>
  <si>
    <t>Employment, Pension/Retirement (Not Soc. Sec.)</t>
  </si>
  <si>
    <t>Employment, Food Stamps (SNAP), Social Security</t>
  </si>
  <si>
    <t>Food Stamps (SNAP), Pension/Retirement (Not Soc. Sec.)</t>
  </si>
  <si>
    <t>Employment, Welfare</t>
  </si>
  <si>
    <t>Disability, Food Stamps (SNAP)</t>
  </si>
  <si>
    <t>Other, Social Security</t>
  </si>
  <si>
    <t>Food Stamps (SNAP), Social Security Retirement</t>
  </si>
  <si>
    <t>Child Support, Food Stamps (SNAP), Social Security</t>
  </si>
  <si>
    <t>Child Support, Employment (Self-Employed)</t>
  </si>
  <si>
    <t>Food Stamps (SNAP), Pension/Retirement (Not Soc. Sec.), Social Security</t>
  </si>
  <si>
    <t>Other, Veterans Benefits</t>
  </si>
  <si>
    <t>Food Stamps (SNAP), Medicaid (MA), Social Security, Social Security Disability</t>
  </si>
  <si>
    <t>08/05/2019</t>
  </si>
  <si>
    <t>03/14/2019</t>
  </si>
  <si>
    <t>06/25/2019</t>
  </si>
  <si>
    <t>08/07/2019</t>
  </si>
  <si>
    <t>07/03/2019</t>
  </si>
  <si>
    <t>03/28/2019</t>
  </si>
  <si>
    <t>08/26/2019</t>
  </si>
  <si>
    <t>07/30/2019</t>
  </si>
  <si>
    <t>06/26/2019</t>
  </si>
  <si>
    <t>07/11/2019</t>
  </si>
  <si>
    <t>10/02/2019</t>
  </si>
  <si>
    <t>03/05/2019</t>
  </si>
  <si>
    <t>08/15/2019</t>
  </si>
  <si>
    <t>12/27/2018</t>
  </si>
  <si>
    <t>09/18/2019</t>
  </si>
  <si>
    <t>09/17/2019</t>
  </si>
  <si>
    <t>04/17/2018</t>
  </si>
  <si>
    <t>08/22/2019</t>
  </si>
  <si>
    <t>09/25/2019</t>
  </si>
  <si>
    <t>10/04/2019</t>
  </si>
  <si>
    <t>08/28/2019</t>
  </si>
  <si>
    <t>09/19/2019</t>
  </si>
  <si>
    <t>03/12/2019</t>
  </si>
  <si>
    <t>11/26/2018</t>
  </si>
  <si>
    <t>09/24/2019</t>
  </si>
  <si>
    <t>03/13/2019</t>
  </si>
  <si>
    <t>02/03/2019</t>
  </si>
  <si>
    <t>10/07/2019</t>
  </si>
  <si>
    <t>05/09/2019</t>
  </si>
  <si>
    <t>08/29/2019</t>
  </si>
  <si>
    <t>08/30/2019</t>
  </si>
  <si>
    <t>08/19/2019</t>
  </si>
  <si>
    <t>09/12/2019</t>
  </si>
  <si>
    <t>06/18/2019</t>
  </si>
  <si>
    <t>10/08/2019</t>
  </si>
  <si>
    <t>09/27/2019</t>
  </si>
  <si>
    <t>09/13/2019</t>
  </si>
  <si>
    <t>07/18/2019</t>
  </si>
  <si>
    <t>10/21/2019</t>
  </si>
  <si>
    <t>07/24/2019</t>
  </si>
  <si>
    <t>07/26/2019</t>
  </si>
  <si>
    <t>09/26/2019</t>
  </si>
  <si>
    <t>06/17/2019</t>
  </si>
  <si>
    <t>08/12/2019</t>
  </si>
  <si>
    <t>07/01/2019</t>
  </si>
  <si>
    <t>09/10/2019</t>
  </si>
  <si>
    <t>08/16/2019</t>
  </si>
  <si>
    <t>10/13/2019</t>
  </si>
  <si>
    <t>08/13/2019</t>
  </si>
  <si>
    <t>07/29/2019</t>
  </si>
  <si>
    <t>09/11/2019</t>
  </si>
  <si>
    <t>07/31/2019</t>
  </si>
  <si>
    <t>10/17/2019</t>
  </si>
  <si>
    <t>10/09/2019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</si>
</sst>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F49"/>
  <sheetViews>
    <sheetView tabSelected="1" workbookViewId="0"/>
  </sheetViews>
  <sheetFormatPr defaultRowHeight="15"/>
  <cols>
    <col min="1" max="1" width="20.7109375" style="1" customWidth="1"/>
  </cols>
  <sheetData>
    <row r="1" spans="1:5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</row>
    <row r="2" spans="1:58">
      <c r="A2" s="1">
        <f>HYPERLINK("https://lsnyc.legalserver.org/matter/dynamic-profile/view/0830585","17-0830585")</f>
        <v>0</v>
      </c>
      <c r="B2" t="s">
        <v>58</v>
      </c>
      <c r="C2" t="s">
        <v>80</v>
      </c>
      <c r="D2" t="s">
        <v>81</v>
      </c>
      <c r="F2" t="s">
        <v>125</v>
      </c>
      <c r="G2" t="s">
        <v>169</v>
      </c>
      <c r="H2" t="s">
        <v>214</v>
      </c>
      <c r="I2" t="s">
        <v>260</v>
      </c>
      <c r="J2" t="s">
        <v>288</v>
      </c>
      <c r="K2" t="s">
        <v>289</v>
      </c>
      <c r="L2">
        <v>11221</v>
      </c>
      <c r="M2" t="s">
        <v>290</v>
      </c>
      <c r="N2" t="s">
        <v>291</v>
      </c>
      <c r="O2" t="s">
        <v>292</v>
      </c>
      <c r="P2" t="s">
        <v>300</v>
      </c>
      <c r="Q2">
        <v>2</v>
      </c>
      <c r="R2" t="s">
        <v>339</v>
      </c>
      <c r="S2" t="s">
        <v>346</v>
      </c>
      <c r="U2" t="s">
        <v>348</v>
      </c>
      <c r="V2" t="s">
        <v>350</v>
      </c>
      <c r="W2" t="s">
        <v>350</v>
      </c>
      <c r="Y2" t="s">
        <v>352</v>
      </c>
      <c r="AA2" t="s">
        <v>357</v>
      </c>
      <c r="AB2">
        <v>2017</v>
      </c>
      <c r="AC2">
        <v>2300</v>
      </c>
      <c r="AD2">
        <v>2300</v>
      </c>
      <c r="AE2">
        <v>124.35</v>
      </c>
      <c r="AF2" t="s">
        <v>381</v>
      </c>
      <c r="AG2" t="s">
        <v>382</v>
      </c>
      <c r="AH2" t="s">
        <v>383</v>
      </c>
      <c r="AJ2" t="s">
        <v>448</v>
      </c>
      <c r="AK2">
        <v>8</v>
      </c>
      <c r="AL2" t="s">
        <v>493</v>
      </c>
      <c r="AM2">
        <v>3</v>
      </c>
      <c r="AN2">
        <v>0</v>
      </c>
      <c r="AO2">
        <v>63.66</v>
      </c>
      <c r="AR2" t="s">
        <v>500</v>
      </c>
      <c r="AS2" t="s">
        <v>503</v>
      </c>
      <c r="AT2" t="s">
        <v>508</v>
      </c>
      <c r="AU2">
        <v>13000</v>
      </c>
      <c r="AV2" t="s">
        <v>512</v>
      </c>
      <c r="AW2" t="s">
        <v>290</v>
      </c>
      <c r="AY2" t="s">
        <v>521</v>
      </c>
      <c r="BB2" t="s">
        <v>537</v>
      </c>
      <c r="BE2" t="s">
        <v>559</v>
      </c>
    </row>
    <row r="3" spans="1:58">
      <c r="A3" s="1">
        <f>HYPERLINK("https://lsnyc.legalserver.org/matter/dynamic-profile/view/0832560","17-0832560")</f>
        <v>0</v>
      </c>
      <c r="B3" t="s">
        <v>59</v>
      </c>
      <c r="C3" t="s">
        <v>80</v>
      </c>
      <c r="D3" t="s">
        <v>82</v>
      </c>
      <c r="F3" t="s">
        <v>126</v>
      </c>
      <c r="G3" t="s">
        <v>170</v>
      </c>
      <c r="H3" t="s">
        <v>215</v>
      </c>
      <c r="I3" t="s">
        <v>261</v>
      </c>
      <c r="J3" t="s">
        <v>288</v>
      </c>
      <c r="K3" t="s">
        <v>289</v>
      </c>
      <c r="L3">
        <v>11203</v>
      </c>
      <c r="M3" t="s">
        <v>290</v>
      </c>
      <c r="N3" t="s">
        <v>291</v>
      </c>
      <c r="O3" t="s">
        <v>293</v>
      </c>
      <c r="P3" t="s">
        <v>301</v>
      </c>
      <c r="Q3">
        <v>6</v>
      </c>
      <c r="R3" t="s">
        <v>340</v>
      </c>
      <c r="S3" t="s">
        <v>346</v>
      </c>
      <c r="U3" t="s">
        <v>349</v>
      </c>
      <c r="V3" t="s">
        <v>350</v>
      </c>
      <c r="Y3" t="s">
        <v>352</v>
      </c>
      <c r="AA3" t="s">
        <v>358</v>
      </c>
      <c r="AB3">
        <v>2017</v>
      </c>
      <c r="AC3">
        <v>929.66</v>
      </c>
      <c r="AD3">
        <v>929.66</v>
      </c>
      <c r="AE3">
        <v>64.90000000000001</v>
      </c>
      <c r="AF3" t="s">
        <v>381</v>
      </c>
      <c r="AH3" t="s">
        <v>384</v>
      </c>
      <c r="AI3" t="s">
        <v>429</v>
      </c>
      <c r="AJ3" t="s">
        <v>449</v>
      </c>
      <c r="AK3">
        <v>40</v>
      </c>
      <c r="AM3">
        <v>1</v>
      </c>
      <c r="AN3">
        <v>2</v>
      </c>
      <c r="AO3">
        <v>23.51</v>
      </c>
      <c r="AR3" t="s">
        <v>501</v>
      </c>
      <c r="AT3" t="s">
        <v>508</v>
      </c>
      <c r="AU3">
        <v>4800</v>
      </c>
      <c r="AV3" t="s">
        <v>513</v>
      </c>
      <c r="AW3" t="s">
        <v>290</v>
      </c>
      <c r="AY3" t="s">
        <v>522</v>
      </c>
      <c r="BB3" t="s">
        <v>538</v>
      </c>
      <c r="BE3" t="s">
        <v>560</v>
      </c>
    </row>
    <row r="4" spans="1:58">
      <c r="A4" s="1">
        <f>HYPERLINK("https://lsnyc.legalserver.org/matter/dynamic-profile/view/1833402","17-1833402")</f>
        <v>0</v>
      </c>
      <c r="B4" t="s">
        <v>60</v>
      </c>
      <c r="C4" t="s">
        <v>80</v>
      </c>
      <c r="D4" t="s">
        <v>83</v>
      </c>
      <c r="F4" t="s">
        <v>127</v>
      </c>
      <c r="G4" t="s">
        <v>171</v>
      </c>
      <c r="H4" t="s">
        <v>216</v>
      </c>
      <c r="I4" t="s">
        <v>262</v>
      </c>
      <c r="J4" t="s">
        <v>288</v>
      </c>
      <c r="K4" t="s">
        <v>289</v>
      </c>
      <c r="L4">
        <v>11212</v>
      </c>
      <c r="M4" t="s">
        <v>290</v>
      </c>
      <c r="N4" t="s">
        <v>290</v>
      </c>
      <c r="O4" t="s">
        <v>294</v>
      </c>
      <c r="P4" t="s">
        <v>302</v>
      </c>
      <c r="Q4">
        <v>13</v>
      </c>
      <c r="R4" t="s">
        <v>341</v>
      </c>
      <c r="S4" t="s">
        <v>347</v>
      </c>
      <c r="U4" t="s">
        <v>349</v>
      </c>
      <c r="V4" t="s">
        <v>350</v>
      </c>
      <c r="W4" t="s">
        <v>350</v>
      </c>
      <c r="Y4" t="s">
        <v>353</v>
      </c>
      <c r="AA4" t="s">
        <v>359</v>
      </c>
      <c r="AB4">
        <v>2017</v>
      </c>
      <c r="AC4">
        <v>450</v>
      </c>
      <c r="AD4">
        <v>450</v>
      </c>
      <c r="AE4">
        <v>46.63</v>
      </c>
      <c r="AF4" t="s">
        <v>381</v>
      </c>
      <c r="AH4" t="s">
        <v>385</v>
      </c>
      <c r="AI4" t="s">
        <v>430</v>
      </c>
      <c r="AJ4" t="s">
        <v>450</v>
      </c>
      <c r="AK4">
        <v>104</v>
      </c>
      <c r="AL4" t="s">
        <v>494</v>
      </c>
      <c r="AM4">
        <v>2</v>
      </c>
      <c r="AN4">
        <v>4</v>
      </c>
      <c r="AO4">
        <v>40.67</v>
      </c>
      <c r="AR4" t="s">
        <v>501</v>
      </c>
      <c r="AS4" t="s">
        <v>503</v>
      </c>
      <c r="AT4" t="s">
        <v>508</v>
      </c>
      <c r="AU4">
        <v>13404</v>
      </c>
      <c r="AW4" t="s">
        <v>290</v>
      </c>
      <c r="AY4" t="s">
        <v>523</v>
      </c>
      <c r="BB4" t="s">
        <v>539</v>
      </c>
      <c r="BE4" t="s">
        <v>561</v>
      </c>
    </row>
    <row r="5" spans="1:58">
      <c r="A5" s="1">
        <f>HYPERLINK("https://lsnyc.legalserver.org/matter/dynamic-profile/view/0822726","16-0822726")</f>
        <v>0</v>
      </c>
      <c r="B5" t="s">
        <v>58</v>
      </c>
      <c r="C5" t="s">
        <v>80</v>
      </c>
      <c r="D5" t="s">
        <v>84</v>
      </c>
      <c r="F5" t="s">
        <v>128</v>
      </c>
      <c r="G5" t="s">
        <v>172</v>
      </c>
      <c r="H5" t="s">
        <v>217</v>
      </c>
      <c r="I5" t="s">
        <v>263</v>
      </c>
      <c r="J5" t="s">
        <v>288</v>
      </c>
      <c r="K5" t="s">
        <v>289</v>
      </c>
      <c r="L5">
        <v>11231</v>
      </c>
      <c r="M5" t="s">
        <v>290</v>
      </c>
      <c r="N5" t="s">
        <v>291</v>
      </c>
      <c r="O5" t="s">
        <v>293</v>
      </c>
      <c r="P5" t="s">
        <v>303</v>
      </c>
      <c r="Q5">
        <v>23</v>
      </c>
      <c r="R5" t="s">
        <v>340</v>
      </c>
      <c r="S5" t="s">
        <v>346</v>
      </c>
      <c r="U5" t="s">
        <v>349</v>
      </c>
      <c r="V5" t="s">
        <v>350</v>
      </c>
      <c r="W5" t="s">
        <v>350</v>
      </c>
      <c r="Y5" t="s">
        <v>353</v>
      </c>
      <c r="AA5" t="s">
        <v>359</v>
      </c>
      <c r="AB5">
        <v>2017</v>
      </c>
      <c r="AC5">
        <v>230</v>
      </c>
      <c r="AD5">
        <v>230</v>
      </c>
      <c r="AE5">
        <v>144.85</v>
      </c>
      <c r="AF5" t="s">
        <v>381</v>
      </c>
      <c r="AH5" t="s">
        <v>386</v>
      </c>
      <c r="AI5" t="s">
        <v>431</v>
      </c>
      <c r="AJ5" t="s">
        <v>451</v>
      </c>
      <c r="AK5">
        <v>24</v>
      </c>
      <c r="AL5" t="s">
        <v>494</v>
      </c>
      <c r="AM5">
        <v>1</v>
      </c>
      <c r="AN5">
        <v>2</v>
      </c>
      <c r="AO5">
        <v>53.51</v>
      </c>
      <c r="AR5" t="s">
        <v>501</v>
      </c>
      <c r="AS5" t="s">
        <v>503</v>
      </c>
      <c r="AT5" t="s">
        <v>508</v>
      </c>
      <c r="AU5">
        <v>10788</v>
      </c>
      <c r="AV5" t="s">
        <v>514</v>
      </c>
      <c r="AW5" t="s">
        <v>290</v>
      </c>
      <c r="AY5" t="s">
        <v>524</v>
      </c>
      <c r="BB5" t="s">
        <v>538</v>
      </c>
      <c r="BE5" t="s">
        <v>560</v>
      </c>
    </row>
    <row r="6" spans="1:58">
      <c r="A6" s="1">
        <f>HYPERLINK("https://lsnyc.legalserver.org/matter/dynamic-profile/view/1843101","17-1843101")</f>
        <v>0</v>
      </c>
      <c r="B6" t="s">
        <v>61</v>
      </c>
      <c r="C6" t="s">
        <v>80</v>
      </c>
      <c r="D6" t="s">
        <v>85</v>
      </c>
      <c r="F6" t="s">
        <v>129</v>
      </c>
      <c r="G6" t="s">
        <v>173</v>
      </c>
      <c r="H6" t="s">
        <v>218</v>
      </c>
      <c r="I6" t="s">
        <v>264</v>
      </c>
      <c r="J6" t="s">
        <v>288</v>
      </c>
      <c r="K6" t="s">
        <v>289</v>
      </c>
      <c r="L6">
        <v>11226</v>
      </c>
      <c r="M6" t="s">
        <v>290</v>
      </c>
      <c r="N6" t="s">
        <v>290</v>
      </c>
      <c r="O6" t="s">
        <v>293</v>
      </c>
      <c r="P6" t="s">
        <v>304</v>
      </c>
      <c r="Q6">
        <v>5</v>
      </c>
      <c r="R6" t="s">
        <v>340</v>
      </c>
      <c r="S6" t="s">
        <v>346</v>
      </c>
      <c r="U6" t="s">
        <v>349</v>
      </c>
      <c r="V6" t="s">
        <v>350</v>
      </c>
      <c r="Y6" t="s">
        <v>352</v>
      </c>
      <c r="AA6" t="s">
        <v>359</v>
      </c>
      <c r="AB6">
        <v>2017</v>
      </c>
      <c r="AC6">
        <v>0</v>
      </c>
      <c r="AD6">
        <v>0</v>
      </c>
      <c r="AE6">
        <v>14.35</v>
      </c>
      <c r="AF6" t="s">
        <v>381</v>
      </c>
      <c r="AH6" t="s">
        <v>387</v>
      </c>
      <c r="AJ6" t="s">
        <v>452</v>
      </c>
      <c r="AK6">
        <v>0</v>
      </c>
      <c r="AL6" t="s">
        <v>493</v>
      </c>
      <c r="AM6">
        <v>1</v>
      </c>
      <c r="AN6">
        <v>2</v>
      </c>
      <c r="AO6">
        <v>44.82</v>
      </c>
      <c r="AR6" t="s">
        <v>501</v>
      </c>
      <c r="AT6" t="s">
        <v>508</v>
      </c>
      <c r="AU6">
        <v>9152</v>
      </c>
      <c r="AY6" t="s">
        <v>525</v>
      </c>
      <c r="BB6" t="s">
        <v>540</v>
      </c>
      <c r="BE6" t="s">
        <v>562</v>
      </c>
    </row>
    <row r="7" spans="1:58">
      <c r="A7" s="1">
        <f>HYPERLINK("https://lsnyc.legalserver.org/matter/dynamic-profile/view/0824613","17-0824613")</f>
        <v>0</v>
      </c>
      <c r="B7" t="s">
        <v>62</v>
      </c>
      <c r="C7" t="s">
        <v>80</v>
      </c>
      <c r="D7" t="s">
        <v>86</v>
      </c>
      <c r="F7" t="s">
        <v>130</v>
      </c>
      <c r="G7" t="s">
        <v>174</v>
      </c>
      <c r="H7" t="s">
        <v>219</v>
      </c>
      <c r="I7">
        <v>2</v>
      </c>
      <c r="J7" t="s">
        <v>288</v>
      </c>
      <c r="K7" t="s">
        <v>289</v>
      </c>
      <c r="L7">
        <v>11221</v>
      </c>
      <c r="M7" t="s">
        <v>290</v>
      </c>
      <c r="N7" t="s">
        <v>290</v>
      </c>
      <c r="Q7">
        <v>0</v>
      </c>
      <c r="R7" t="s">
        <v>342</v>
      </c>
      <c r="S7" t="s">
        <v>346</v>
      </c>
      <c r="U7" t="s">
        <v>349</v>
      </c>
      <c r="V7" t="s">
        <v>350</v>
      </c>
      <c r="Y7" t="s">
        <v>352</v>
      </c>
      <c r="AA7" t="s">
        <v>359</v>
      </c>
      <c r="AB7">
        <v>2017</v>
      </c>
      <c r="AC7">
        <v>0</v>
      </c>
      <c r="AD7">
        <v>0</v>
      </c>
      <c r="AE7">
        <v>34.75</v>
      </c>
      <c r="AF7" t="s">
        <v>381</v>
      </c>
      <c r="AH7" t="s">
        <v>388</v>
      </c>
      <c r="AJ7" t="s">
        <v>453</v>
      </c>
      <c r="AK7">
        <v>0</v>
      </c>
      <c r="AM7">
        <v>4</v>
      </c>
      <c r="AN7">
        <v>3</v>
      </c>
      <c r="AO7">
        <v>183.76</v>
      </c>
      <c r="AR7" t="s">
        <v>501</v>
      </c>
      <c r="AT7" t="s">
        <v>509</v>
      </c>
      <c r="AU7">
        <v>67496</v>
      </c>
      <c r="AW7" t="s">
        <v>290</v>
      </c>
      <c r="AY7" t="s">
        <v>526</v>
      </c>
      <c r="BB7" t="s">
        <v>540</v>
      </c>
      <c r="BE7" t="s">
        <v>563</v>
      </c>
    </row>
    <row r="8" spans="1:58">
      <c r="A8" s="1">
        <f>HYPERLINK("https://lsnyc.legalserver.org/matter/dynamic-profile/view/1848718","17-1848718")</f>
        <v>0</v>
      </c>
      <c r="B8" t="s">
        <v>63</v>
      </c>
      <c r="C8" t="s">
        <v>80</v>
      </c>
      <c r="D8" t="s">
        <v>87</v>
      </c>
      <c r="F8" t="s">
        <v>131</v>
      </c>
      <c r="G8" t="s">
        <v>175</v>
      </c>
      <c r="H8" t="s">
        <v>220</v>
      </c>
      <c r="I8" t="s">
        <v>265</v>
      </c>
      <c r="J8" t="s">
        <v>288</v>
      </c>
      <c r="K8" t="s">
        <v>289</v>
      </c>
      <c r="L8">
        <v>11212</v>
      </c>
      <c r="M8" t="s">
        <v>290</v>
      </c>
      <c r="N8" t="s">
        <v>290</v>
      </c>
      <c r="P8" t="s">
        <v>305</v>
      </c>
      <c r="Q8">
        <v>0</v>
      </c>
      <c r="R8" t="s">
        <v>343</v>
      </c>
      <c r="S8" t="s">
        <v>347</v>
      </c>
      <c r="U8" t="s">
        <v>349</v>
      </c>
      <c r="V8" t="s">
        <v>350</v>
      </c>
      <c r="W8" t="s">
        <v>350</v>
      </c>
      <c r="Y8" t="s">
        <v>353</v>
      </c>
      <c r="AA8" t="s">
        <v>360</v>
      </c>
      <c r="AB8">
        <v>2017</v>
      </c>
      <c r="AC8">
        <v>0</v>
      </c>
      <c r="AD8">
        <v>0</v>
      </c>
      <c r="AE8">
        <v>39.95</v>
      </c>
      <c r="AF8" t="s">
        <v>381</v>
      </c>
      <c r="AH8" t="s">
        <v>389</v>
      </c>
      <c r="AJ8" t="s">
        <v>454</v>
      </c>
      <c r="AK8">
        <v>0</v>
      </c>
      <c r="AM8">
        <v>1</v>
      </c>
      <c r="AN8">
        <v>1</v>
      </c>
      <c r="AO8">
        <v>65.98999999999999</v>
      </c>
      <c r="AT8" t="s">
        <v>508</v>
      </c>
      <c r="AU8">
        <v>10716</v>
      </c>
      <c r="AW8" t="s">
        <v>350</v>
      </c>
      <c r="AY8" t="s">
        <v>63</v>
      </c>
      <c r="BB8" t="s">
        <v>541</v>
      </c>
      <c r="BE8" t="s">
        <v>564</v>
      </c>
    </row>
    <row r="9" spans="1:58">
      <c r="A9" s="1">
        <f>HYPERLINK("https://lsnyc.legalserver.org/matter/dynamic-profile/view/1847264","17-1847264")</f>
        <v>0</v>
      </c>
      <c r="B9" t="s">
        <v>63</v>
      </c>
      <c r="C9" t="s">
        <v>80</v>
      </c>
      <c r="D9" t="s">
        <v>88</v>
      </c>
      <c r="F9" t="s">
        <v>132</v>
      </c>
      <c r="G9" t="s">
        <v>176</v>
      </c>
      <c r="H9" t="s">
        <v>221</v>
      </c>
      <c r="J9" t="s">
        <v>288</v>
      </c>
      <c r="K9" t="s">
        <v>289</v>
      </c>
      <c r="L9">
        <v>11224</v>
      </c>
      <c r="M9" t="s">
        <v>290</v>
      </c>
      <c r="N9" t="s">
        <v>291</v>
      </c>
      <c r="O9" t="s">
        <v>293</v>
      </c>
      <c r="P9" t="s">
        <v>306</v>
      </c>
      <c r="Q9">
        <v>2</v>
      </c>
      <c r="R9" t="s">
        <v>343</v>
      </c>
      <c r="S9" t="s">
        <v>347</v>
      </c>
      <c r="U9" t="s">
        <v>349</v>
      </c>
      <c r="V9" t="s">
        <v>350</v>
      </c>
      <c r="W9" t="s">
        <v>350</v>
      </c>
      <c r="Y9" t="s">
        <v>353</v>
      </c>
      <c r="AA9" t="s">
        <v>361</v>
      </c>
      <c r="AB9">
        <v>2017</v>
      </c>
      <c r="AC9">
        <v>0</v>
      </c>
      <c r="AD9">
        <v>262</v>
      </c>
      <c r="AE9">
        <v>22.35</v>
      </c>
      <c r="AF9" t="s">
        <v>381</v>
      </c>
      <c r="AH9" t="s">
        <v>390</v>
      </c>
      <c r="AJ9" t="s">
        <v>455</v>
      </c>
      <c r="AK9">
        <v>0</v>
      </c>
      <c r="AL9" t="s">
        <v>494</v>
      </c>
      <c r="AM9">
        <v>1</v>
      </c>
      <c r="AN9">
        <v>5</v>
      </c>
      <c r="AO9">
        <v>23.27</v>
      </c>
      <c r="AR9" t="s">
        <v>501</v>
      </c>
      <c r="AT9" t="s">
        <v>508</v>
      </c>
      <c r="AU9">
        <v>7670</v>
      </c>
      <c r="AY9" t="s">
        <v>63</v>
      </c>
      <c r="BB9" t="s">
        <v>542</v>
      </c>
      <c r="BE9" t="s">
        <v>565</v>
      </c>
    </row>
    <row r="10" spans="1:58">
      <c r="A10" s="1">
        <f>HYPERLINK("https://lsnyc.legalserver.org/matter/dynamic-profile/view/1844337","17-1844337")</f>
        <v>0</v>
      </c>
      <c r="B10" t="s">
        <v>63</v>
      </c>
      <c r="C10" t="s">
        <v>80</v>
      </c>
      <c r="D10" t="s">
        <v>89</v>
      </c>
      <c r="F10" t="s">
        <v>133</v>
      </c>
      <c r="G10" t="s">
        <v>177</v>
      </c>
      <c r="H10" t="s">
        <v>222</v>
      </c>
      <c r="I10" t="s">
        <v>266</v>
      </c>
      <c r="J10" t="s">
        <v>288</v>
      </c>
      <c r="K10" t="s">
        <v>289</v>
      </c>
      <c r="L10">
        <v>11221</v>
      </c>
      <c r="M10" t="s">
        <v>290</v>
      </c>
      <c r="N10" t="s">
        <v>291</v>
      </c>
      <c r="O10" t="s">
        <v>292</v>
      </c>
      <c r="P10" t="s">
        <v>307</v>
      </c>
      <c r="Q10">
        <v>3</v>
      </c>
      <c r="R10" t="s">
        <v>339</v>
      </c>
      <c r="S10" t="s">
        <v>346</v>
      </c>
      <c r="U10" t="s">
        <v>348</v>
      </c>
      <c r="V10" t="s">
        <v>350</v>
      </c>
      <c r="Y10" t="s">
        <v>352</v>
      </c>
      <c r="AA10" t="s">
        <v>362</v>
      </c>
      <c r="AB10">
        <v>2017</v>
      </c>
      <c r="AC10">
        <v>0</v>
      </c>
      <c r="AD10">
        <v>1675</v>
      </c>
      <c r="AE10">
        <v>18.5</v>
      </c>
      <c r="AF10" t="s">
        <v>381</v>
      </c>
      <c r="AH10" t="s">
        <v>391</v>
      </c>
      <c r="AI10" t="s">
        <v>432</v>
      </c>
      <c r="AJ10" t="s">
        <v>456</v>
      </c>
      <c r="AK10">
        <v>0</v>
      </c>
      <c r="AM10">
        <v>2</v>
      </c>
      <c r="AN10">
        <v>3</v>
      </c>
      <c r="AO10">
        <v>198.05</v>
      </c>
      <c r="AR10" t="s">
        <v>502</v>
      </c>
      <c r="AT10" t="s">
        <v>508</v>
      </c>
      <c r="AU10">
        <v>57000</v>
      </c>
      <c r="AV10" t="s">
        <v>515</v>
      </c>
      <c r="AW10" t="s">
        <v>290</v>
      </c>
      <c r="AY10" t="s">
        <v>522</v>
      </c>
      <c r="BB10" t="s">
        <v>537</v>
      </c>
      <c r="BE10" t="s">
        <v>566</v>
      </c>
    </row>
    <row r="11" spans="1:58">
      <c r="A11" s="1">
        <f>HYPERLINK("https://lsnyc.legalserver.org/matter/dynamic-profile/view/1841401","17-1841401")</f>
        <v>0</v>
      </c>
      <c r="B11" t="s">
        <v>64</v>
      </c>
      <c r="C11" t="s">
        <v>80</v>
      </c>
      <c r="D11" t="s">
        <v>90</v>
      </c>
      <c r="F11" t="s">
        <v>134</v>
      </c>
      <c r="G11" t="s">
        <v>178</v>
      </c>
      <c r="H11" t="s">
        <v>223</v>
      </c>
      <c r="I11" t="s">
        <v>267</v>
      </c>
      <c r="J11" t="s">
        <v>288</v>
      </c>
      <c r="K11" t="s">
        <v>289</v>
      </c>
      <c r="L11">
        <v>11223</v>
      </c>
      <c r="M11" t="s">
        <v>290</v>
      </c>
      <c r="N11" t="s">
        <v>291</v>
      </c>
      <c r="Q11">
        <v>0</v>
      </c>
      <c r="R11" t="s">
        <v>341</v>
      </c>
      <c r="S11" t="s">
        <v>347</v>
      </c>
      <c r="U11" t="s">
        <v>349</v>
      </c>
      <c r="V11" t="s">
        <v>350</v>
      </c>
      <c r="Y11" t="s">
        <v>353</v>
      </c>
      <c r="AA11" t="s">
        <v>363</v>
      </c>
      <c r="AB11">
        <v>2017</v>
      </c>
      <c r="AC11">
        <v>0</v>
      </c>
      <c r="AD11">
        <v>0</v>
      </c>
      <c r="AE11">
        <v>53.9</v>
      </c>
      <c r="AF11" t="s">
        <v>381</v>
      </c>
      <c r="AH11" t="s">
        <v>392</v>
      </c>
      <c r="AJ11" t="s">
        <v>457</v>
      </c>
      <c r="AK11">
        <v>0</v>
      </c>
      <c r="AM11">
        <v>1</v>
      </c>
      <c r="AN11">
        <v>0</v>
      </c>
      <c r="AO11">
        <v>74.73</v>
      </c>
      <c r="AT11" t="s">
        <v>508</v>
      </c>
      <c r="AU11">
        <v>9012</v>
      </c>
      <c r="AW11" t="s">
        <v>290</v>
      </c>
      <c r="AY11" t="s">
        <v>64</v>
      </c>
      <c r="BB11" t="s">
        <v>543</v>
      </c>
      <c r="BE11" t="s">
        <v>567</v>
      </c>
    </row>
    <row r="12" spans="1:58">
      <c r="A12" s="1">
        <f>HYPERLINK("https://lsnyc.legalserver.org/matter/dynamic-profile/view/1844017","17-1844017")</f>
        <v>0</v>
      </c>
      <c r="B12" t="s">
        <v>60</v>
      </c>
      <c r="C12" t="s">
        <v>80</v>
      </c>
      <c r="D12" t="s">
        <v>91</v>
      </c>
      <c r="F12" t="s">
        <v>125</v>
      </c>
      <c r="G12" t="s">
        <v>179</v>
      </c>
      <c r="H12" t="s">
        <v>224</v>
      </c>
      <c r="I12" t="s">
        <v>268</v>
      </c>
      <c r="J12" t="s">
        <v>288</v>
      </c>
      <c r="K12" t="s">
        <v>289</v>
      </c>
      <c r="L12">
        <v>11238</v>
      </c>
      <c r="M12" t="s">
        <v>290</v>
      </c>
      <c r="N12" t="s">
        <v>291</v>
      </c>
      <c r="P12" t="s">
        <v>308</v>
      </c>
      <c r="Q12">
        <v>30</v>
      </c>
      <c r="R12" t="s">
        <v>340</v>
      </c>
      <c r="S12" t="s">
        <v>346</v>
      </c>
      <c r="U12" t="s">
        <v>349</v>
      </c>
      <c r="V12" t="s">
        <v>350</v>
      </c>
      <c r="W12" t="s">
        <v>350</v>
      </c>
      <c r="Y12" t="s">
        <v>352</v>
      </c>
      <c r="AA12" t="s">
        <v>364</v>
      </c>
      <c r="AB12">
        <v>2017</v>
      </c>
      <c r="AC12">
        <v>597</v>
      </c>
      <c r="AD12">
        <v>597</v>
      </c>
      <c r="AE12">
        <v>66.25</v>
      </c>
      <c r="AF12" t="s">
        <v>381</v>
      </c>
      <c r="AH12" t="s">
        <v>393</v>
      </c>
      <c r="AI12" t="s">
        <v>433</v>
      </c>
      <c r="AJ12" t="s">
        <v>458</v>
      </c>
      <c r="AK12">
        <v>8</v>
      </c>
      <c r="AL12" t="s">
        <v>493</v>
      </c>
      <c r="AM12">
        <v>1</v>
      </c>
      <c r="AN12">
        <v>0</v>
      </c>
      <c r="AO12">
        <v>81.79000000000001</v>
      </c>
      <c r="AR12" t="s">
        <v>500</v>
      </c>
      <c r="AS12" t="s">
        <v>503</v>
      </c>
      <c r="AT12" t="s">
        <v>508</v>
      </c>
      <c r="AU12">
        <v>9864</v>
      </c>
      <c r="AW12" t="s">
        <v>290</v>
      </c>
      <c r="AY12" t="s">
        <v>527</v>
      </c>
      <c r="BB12" t="s">
        <v>543</v>
      </c>
      <c r="BE12" t="s">
        <v>568</v>
      </c>
    </row>
    <row r="13" spans="1:58">
      <c r="A13" s="1">
        <f>HYPERLINK("https://lsnyc.legalserver.org/matter/dynamic-profile/view/1912046","19-1912046")</f>
        <v>0</v>
      </c>
      <c r="B13" t="s">
        <v>65</v>
      </c>
      <c r="C13" t="s">
        <v>80</v>
      </c>
      <c r="D13" t="s">
        <v>92</v>
      </c>
      <c r="F13" t="s">
        <v>135</v>
      </c>
      <c r="G13" t="s">
        <v>180</v>
      </c>
      <c r="H13" t="s">
        <v>225</v>
      </c>
      <c r="I13" t="s">
        <v>269</v>
      </c>
      <c r="J13" t="s">
        <v>288</v>
      </c>
      <c r="K13" t="s">
        <v>289</v>
      </c>
      <c r="L13">
        <v>11201</v>
      </c>
      <c r="M13" t="s">
        <v>290</v>
      </c>
      <c r="N13" t="s">
        <v>291</v>
      </c>
      <c r="O13" t="s">
        <v>295</v>
      </c>
      <c r="P13" t="s">
        <v>309</v>
      </c>
      <c r="Q13">
        <v>0</v>
      </c>
      <c r="R13" t="s">
        <v>340</v>
      </c>
      <c r="S13" t="s">
        <v>346</v>
      </c>
      <c r="U13" t="s">
        <v>349</v>
      </c>
      <c r="V13" t="s">
        <v>350</v>
      </c>
      <c r="W13" t="s">
        <v>350</v>
      </c>
      <c r="Y13" t="s">
        <v>352</v>
      </c>
      <c r="AA13" t="s">
        <v>365</v>
      </c>
      <c r="AB13">
        <v>2017</v>
      </c>
      <c r="AC13">
        <v>0</v>
      </c>
      <c r="AD13">
        <v>0</v>
      </c>
      <c r="AE13">
        <v>5.8</v>
      </c>
      <c r="AF13" t="s">
        <v>381</v>
      </c>
      <c r="AH13" t="s">
        <v>394</v>
      </c>
      <c r="AJ13" t="s">
        <v>459</v>
      </c>
      <c r="AK13">
        <v>0</v>
      </c>
      <c r="AM13">
        <v>1</v>
      </c>
      <c r="AN13">
        <v>0</v>
      </c>
      <c r="AO13">
        <v>33.72</v>
      </c>
      <c r="AT13" t="s">
        <v>508</v>
      </c>
      <c r="AU13">
        <v>4212</v>
      </c>
      <c r="AY13" t="s">
        <v>522</v>
      </c>
      <c r="BB13" t="s">
        <v>538</v>
      </c>
      <c r="BE13" t="s">
        <v>561</v>
      </c>
      <c r="BF13" t="s">
        <v>600</v>
      </c>
    </row>
    <row r="14" spans="1:58">
      <c r="A14" s="1">
        <f>HYPERLINK("https://lsnyc.legalserver.org/matter/dynamic-profile/view/1851424","17-1851424")</f>
        <v>0</v>
      </c>
      <c r="B14" t="s">
        <v>66</v>
      </c>
      <c r="C14" t="s">
        <v>80</v>
      </c>
      <c r="D14" t="s">
        <v>93</v>
      </c>
      <c r="F14" t="s">
        <v>136</v>
      </c>
      <c r="G14" t="s">
        <v>181</v>
      </c>
      <c r="H14" t="s">
        <v>226</v>
      </c>
      <c r="I14" t="s">
        <v>270</v>
      </c>
      <c r="J14" t="s">
        <v>288</v>
      </c>
      <c r="K14" t="s">
        <v>289</v>
      </c>
      <c r="L14">
        <v>11221</v>
      </c>
      <c r="M14" t="s">
        <v>290</v>
      </c>
      <c r="N14" t="s">
        <v>291</v>
      </c>
      <c r="O14" t="s">
        <v>292</v>
      </c>
      <c r="P14" t="s">
        <v>310</v>
      </c>
      <c r="Q14">
        <v>19</v>
      </c>
      <c r="R14" t="s">
        <v>339</v>
      </c>
      <c r="S14" t="s">
        <v>346</v>
      </c>
      <c r="U14" t="s">
        <v>348</v>
      </c>
      <c r="V14" t="s">
        <v>350</v>
      </c>
      <c r="W14" t="s">
        <v>350</v>
      </c>
      <c r="Y14" t="s">
        <v>352</v>
      </c>
      <c r="AA14" t="s">
        <v>366</v>
      </c>
      <c r="AB14">
        <v>2017</v>
      </c>
      <c r="AC14">
        <v>0</v>
      </c>
      <c r="AD14">
        <v>1554</v>
      </c>
      <c r="AE14">
        <v>11.3</v>
      </c>
      <c r="AF14" t="s">
        <v>381</v>
      </c>
      <c r="AH14" t="s">
        <v>395</v>
      </c>
      <c r="AI14" t="s">
        <v>434</v>
      </c>
      <c r="AJ14" t="s">
        <v>460</v>
      </c>
      <c r="AK14">
        <v>16</v>
      </c>
      <c r="AM14">
        <v>4</v>
      </c>
      <c r="AN14">
        <v>2</v>
      </c>
      <c r="AO14">
        <v>0</v>
      </c>
      <c r="AR14" t="s">
        <v>502</v>
      </c>
      <c r="AT14" t="s">
        <v>508</v>
      </c>
      <c r="AU14">
        <v>0</v>
      </c>
      <c r="AV14" t="s">
        <v>516</v>
      </c>
      <c r="AW14" t="s">
        <v>290</v>
      </c>
      <c r="AY14" t="s">
        <v>522</v>
      </c>
      <c r="BB14" t="s">
        <v>544</v>
      </c>
      <c r="BE14" t="s">
        <v>569</v>
      </c>
    </row>
    <row r="15" spans="1:58">
      <c r="A15" s="1">
        <f>HYPERLINK("https://lsnyc.legalserver.org/matter/dynamic-profile/view/1851828","17-1851828")</f>
        <v>0</v>
      </c>
      <c r="B15" t="s">
        <v>63</v>
      </c>
      <c r="C15" t="s">
        <v>80</v>
      </c>
      <c r="D15" t="s">
        <v>94</v>
      </c>
      <c r="F15" t="s">
        <v>137</v>
      </c>
      <c r="G15" t="s">
        <v>182</v>
      </c>
      <c r="H15" t="s">
        <v>227</v>
      </c>
      <c r="J15" t="s">
        <v>288</v>
      </c>
      <c r="K15" t="s">
        <v>289</v>
      </c>
      <c r="L15">
        <v>11215</v>
      </c>
      <c r="M15" t="s">
        <v>290</v>
      </c>
      <c r="N15" t="s">
        <v>291</v>
      </c>
      <c r="O15" t="s">
        <v>296</v>
      </c>
      <c r="P15" t="s">
        <v>311</v>
      </c>
      <c r="Q15">
        <v>27</v>
      </c>
      <c r="R15" t="s">
        <v>339</v>
      </c>
      <c r="S15" t="s">
        <v>346</v>
      </c>
      <c r="U15" t="s">
        <v>349</v>
      </c>
      <c r="V15" t="s">
        <v>350</v>
      </c>
      <c r="W15" t="s">
        <v>350</v>
      </c>
      <c r="Y15" t="s">
        <v>352</v>
      </c>
      <c r="AA15" t="s">
        <v>367</v>
      </c>
      <c r="AB15">
        <v>2017</v>
      </c>
      <c r="AC15">
        <v>1046</v>
      </c>
      <c r="AD15">
        <v>1046</v>
      </c>
      <c r="AE15">
        <v>36.7</v>
      </c>
      <c r="AF15" t="s">
        <v>381</v>
      </c>
      <c r="AH15" t="s">
        <v>396</v>
      </c>
      <c r="AK15">
        <v>7</v>
      </c>
      <c r="AL15" t="s">
        <v>493</v>
      </c>
      <c r="AM15">
        <v>4</v>
      </c>
      <c r="AN15">
        <v>0</v>
      </c>
      <c r="AO15">
        <v>68.29000000000001</v>
      </c>
      <c r="AR15" t="s">
        <v>500</v>
      </c>
      <c r="AS15" t="s">
        <v>503</v>
      </c>
      <c r="AT15" t="s">
        <v>509</v>
      </c>
      <c r="AU15">
        <v>16800</v>
      </c>
      <c r="AW15" t="s">
        <v>290</v>
      </c>
      <c r="AX15">
        <v>3112</v>
      </c>
      <c r="AY15" t="s">
        <v>528</v>
      </c>
      <c r="BB15" t="s">
        <v>537</v>
      </c>
      <c r="BE15" t="s">
        <v>570</v>
      </c>
    </row>
    <row r="16" spans="1:58">
      <c r="A16" s="1">
        <f>HYPERLINK("https://lsnyc.legalserver.org/matter/dynamic-profile/view/1853000","17-1853000")</f>
        <v>0</v>
      </c>
      <c r="B16" t="s">
        <v>62</v>
      </c>
      <c r="C16" t="s">
        <v>80</v>
      </c>
      <c r="D16" t="s">
        <v>95</v>
      </c>
      <c r="F16" t="s">
        <v>138</v>
      </c>
      <c r="G16" t="s">
        <v>183</v>
      </c>
      <c r="H16" t="s">
        <v>228</v>
      </c>
      <c r="I16" t="s">
        <v>271</v>
      </c>
      <c r="J16" t="s">
        <v>288</v>
      </c>
      <c r="K16" t="s">
        <v>289</v>
      </c>
      <c r="L16">
        <v>11225</v>
      </c>
      <c r="M16" t="s">
        <v>290</v>
      </c>
      <c r="N16" t="s">
        <v>291</v>
      </c>
      <c r="O16" t="s">
        <v>297</v>
      </c>
      <c r="P16" t="s">
        <v>312</v>
      </c>
      <c r="Q16">
        <v>2</v>
      </c>
      <c r="R16" t="s">
        <v>339</v>
      </c>
      <c r="S16" t="s">
        <v>346</v>
      </c>
      <c r="U16" t="s">
        <v>348</v>
      </c>
      <c r="V16" t="s">
        <v>350</v>
      </c>
      <c r="W16" t="s">
        <v>350</v>
      </c>
      <c r="Y16" t="s">
        <v>352</v>
      </c>
      <c r="AA16" t="s">
        <v>368</v>
      </c>
      <c r="AB16">
        <v>2017</v>
      </c>
      <c r="AC16">
        <v>1144.54</v>
      </c>
      <c r="AD16">
        <v>1144.54</v>
      </c>
      <c r="AE16">
        <v>27.95</v>
      </c>
      <c r="AF16" t="s">
        <v>381</v>
      </c>
      <c r="AH16" t="s">
        <v>397</v>
      </c>
      <c r="AI16" t="s">
        <v>435</v>
      </c>
      <c r="AJ16" t="s">
        <v>461</v>
      </c>
      <c r="AK16">
        <v>2</v>
      </c>
      <c r="AL16" t="s">
        <v>493</v>
      </c>
      <c r="AM16">
        <v>1</v>
      </c>
      <c r="AN16">
        <v>0</v>
      </c>
      <c r="AO16">
        <v>101.09</v>
      </c>
      <c r="AR16" t="s">
        <v>500</v>
      </c>
      <c r="AS16" t="s">
        <v>504</v>
      </c>
      <c r="AT16" t="s">
        <v>508</v>
      </c>
      <c r="AU16">
        <v>12192</v>
      </c>
      <c r="AV16" t="s">
        <v>517</v>
      </c>
      <c r="AW16" t="s">
        <v>290</v>
      </c>
      <c r="AY16" t="s">
        <v>529</v>
      </c>
      <c r="BB16" t="s">
        <v>545</v>
      </c>
      <c r="BE16" t="s">
        <v>571</v>
      </c>
    </row>
    <row r="17" spans="1:57">
      <c r="A17" s="1">
        <f>HYPERLINK("https://lsnyc.legalserver.org/matter/dynamic-profile/view/1852443","17-1852443")</f>
        <v>0</v>
      </c>
      <c r="B17" t="s">
        <v>65</v>
      </c>
      <c r="C17" t="s">
        <v>80</v>
      </c>
      <c r="D17" t="s">
        <v>96</v>
      </c>
      <c r="F17" t="s">
        <v>139</v>
      </c>
      <c r="G17" t="s">
        <v>184</v>
      </c>
      <c r="H17" t="s">
        <v>229</v>
      </c>
      <c r="I17" t="s">
        <v>272</v>
      </c>
      <c r="J17" t="s">
        <v>288</v>
      </c>
      <c r="K17" t="s">
        <v>289</v>
      </c>
      <c r="L17">
        <v>11203</v>
      </c>
      <c r="M17" t="s">
        <v>290</v>
      </c>
      <c r="N17" t="s">
        <v>290</v>
      </c>
      <c r="O17" t="s">
        <v>298</v>
      </c>
      <c r="P17" t="s">
        <v>313</v>
      </c>
      <c r="Q17">
        <v>8</v>
      </c>
      <c r="R17" t="s">
        <v>339</v>
      </c>
      <c r="S17" t="s">
        <v>346</v>
      </c>
      <c r="U17" t="s">
        <v>349</v>
      </c>
      <c r="V17" t="s">
        <v>350</v>
      </c>
      <c r="W17" t="s">
        <v>350</v>
      </c>
      <c r="Y17" t="s">
        <v>352</v>
      </c>
      <c r="AA17" t="s">
        <v>368</v>
      </c>
      <c r="AB17">
        <v>2017</v>
      </c>
      <c r="AC17">
        <v>1500</v>
      </c>
      <c r="AD17">
        <v>1500</v>
      </c>
      <c r="AE17">
        <v>89.2</v>
      </c>
      <c r="AF17" t="s">
        <v>381</v>
      </c>
      <c r="AH17" t="s">
        <v>398</v>
      </c>
      <c r="AI17" t="s">
        <v>436</v>
      </c>
      <c r="AJ17" t="s">
        <v>462</v>
      </c>
      <c r="AK17">
        <v>6</v>
      </c>
      <c r="AL17" t="s">
        <v>493</v>
      </c>
      <c r="AM17">
        <v>2</v>
      </c>
      <c r="AN17">
        <v>2</v>
      </c>
      <c r="AO17">
        <v>121.95</v>
      </c>
      <c r="AR17" t="s">
        <v>501</v>
      </c>
      <c r="AS17" t="s">
        <v>503</v>
      </c>
      <c r="AT17" t="s">
        <v>510</v>
      </c>
      <c r="AU17">
        <v>30000</v>
      </c>
      <c r="AV17" t="s">
        <v>518</v>
      </c>
      <c r="AW17" t="s">
        <v>290</v>
      </c>
      <c r="AY17" t="s">
        <v>529</v>
      </c>
      <c r="BB17" t="s">
        <v>537</v>
      </c>
      <c r="BE17" t="s">
        <v>572</v>
      </c>
    </row>
    <row r="18" spans="1:57">
      <c r="A18" s="1">
        <f>HYPERLINK("https://lsnyc.legalserver.org/matter/dynamic-profile/view/1856961","18-1856961")</f>
        <v>0</v>
      </c>
      <c r="B18" t="s">
        <v>61</v>
      </c>
      <c r="C18" t="s">
        <v>80</v>
      </c>
      <c r="D18" t="s">
        <v>97</v>
      </c>
      <c r="F18" t="s">
        <v>140</v>
      </c>
      <c r="G18" t="s">
        <v>185</v>
      </c>
      <c r="H18" t="s">
        <v>230</v>
      </c>
      <c r="I18" t="s">
        <v>273</v>
      </c>
      <c r="J18" t="s">
        <v>288</v>
      </c>
      <c r="K18" t="s">
        <v>289</v>
      </c>
      <c r="L18">
        <v>11224</v>
      </c>
      <c r="M18" t="s">
        <v>290</v>
      </c>
      <c r="N18" t="s">
        <v>291</v>
      </c>
      <c r="O18" t="s">
        <v>293</v>
      </c>
      <c r="P18" t="s">
        <v>314</v>
      </c>
      <c r="Q18">
        <v>3</v>
      </c>
      <c r="R18" t="s">
        <v>343</v>
      </c>
      <c r="S18" t="s">
        <v>347</v>
      </c>
      <c r="U18" t="s">
        <v>349</v>
      </c>
      <c r="V18" t="s">
        <v>350</v>
      </c>
      <c r="W18" t="s">
        <v>350</v>
      </c>
      <c r="Y18" t="s">
        <v>353</v>
      </c>
      <c r="AA18" t="s">
        <v>369</v>
      </c>
      <c r="AB18">
        <v>2018</v>
      </c>
      <c r="AC18">
        <v>0</v>
      </c>
      <c r="AD18">
        <v>584</v>
      </c>
      <c r="AE18">
        <v>14.1</v>
      </c>
      <c r="AF18" t="s">
        <v>381</v>
      </c>
      <c r="AH18" t="s">
        <v>399</v>
      </c>
      <c r="AI18" t="s">
        <v>437</v>
      </c>
      <c r="AJ18" t="s">
        <v>463</v>
      </c>
      <c r="AK18">
        <v>146</v>
      </c>
      <c r="AL18" t="s">
        <v>495</v>
      </c>
      <c r="AM18">
        <v>3</v>
      </c>
      <c r="AN18">
        <v>6</v>
      </c>
      <c r="AO18">
        <v>47.86</v>
      </c>
      <c r="AR18" t="s">
        <v>501</v>
      </c>
      <c r="AS18" t="s">
        <v>503</v>
      </c>
      <c r="AT18" t="s">
        <v>508</v>
      </c>
      <c r="AU18">
        <v>21776</v>
      </c>
      <c r="AV18" t="s">
        <v>519</v>
      </c>
      <c r="AW18" t="s">
        <v>290</v>
      </c>
      <c r="AY18" t="s">
        <v>525</v>
      </c>
      <c r="BB18" t="s">
        <v>546</v>
      </c>
      <c r="BE18" t="s">
        <v>573</v>
      </c>
    </row>
    <row r="19" spans="1:57">
      <c r="A19" s="1">
        <f>HYPERLINK("https://lsnyc.legalserver.org/matter/dynamic-profile/view/1843474","17-1843474")</f>
        <v>0</v>
      </c>
      <c r="B19" t="s">
        <v>67</v>
      </c>
      <c r="C19" t="s">
        <v>80</v>
      </c>
      <c r="D19" t="s">
        <v>98</v>
      </c>
      <c r="F19" t="s">
        <v>141</v>
      </c>
      <c r="G19" t="s">
        <v>186</v>
      </c>
      <c r="H19" t="s">
        <v>231</v>
      </c>
      <c r="I19" t="s">
        <v>274</v>
      </c>
      <c r="J19" t="s">
        <v>288</v>
      </c>
      <c r="K19" t="s">
        <v>289</v>
      </c>
      <c r="L19">
        <v>11217</v>
      </c>
      <c r="M19" t="s">
        <v>290</v>
      </c>
      <c r="N19" t="s">
        <v>291</v>
      </c>
      <c r="Q19">
        <v>0</v>
      </c>
      <c r="R19" t="s">
        <v>343</v>
      </c>
      <c r="S19" t="s">
        <v>347</v>
      </c>
      <c r="U19" t="s">
        <v>349</v>
      </c>
      <c r="V19" t="s">
        <v>350</v>
      </c>
      <c r="Y19" t="s">
        <v>353</v>
      </c>
      <c r="AA19" t="s">
        <v>370</v>
      </c>
      <c r="AB19">
        <v>2018</v>
      </c>
      <c r="AC19">
        <v>0</v>
      </c>
      <c r="AD19">
        <v>0</v>
      </c>
      <c r="AE19">
        <v>16.2</v>
      </c>
      <c r="AF19" t="s">
        <v>381</v>
      </c>
      <c r="AH19" t="s">
        <v>400</v>
      </c>
      <c r="AJ19" t="s">
        <v>464</v>
      </c>
      <c r="AK19">
        <v>0</v>
      </c>
      <c r="AM19">
        <v>1</v>
      </c>
      <c r="AN19">
        <v>0</v>
      </c>
      <c r="AO19">
        <v>109.45</v>
      </c>
      <c r="AT19" t="s">
        <v>508</v>
      </c>
      <c r="AU19">
        <v>13200</v>
      </c>
      <c r="AY19" t="s">
        <v>530</v>
      </c>
      <c r="BB19" t="s">
        <v>547</v>
      </c>
      <c r="BE19" t="s">
        <v>574</v>
      </c>
    </row>
    <row r="20" spans="1:57">
      <c r="A20" s="1">
        <f>HYPERLINK("https://lsnyc.legalserver.org/matter/dynamic-profile/view/1844826","17-1844826")</f>
        <v>0</v>
      </c>
      <c r="B20" t="s">
        <v>66</v>
      </c>
      <c r="C20" t="s">
        <v>80</v>
      </c>
      <c r="D20" t="s">
        <v>99</v>
      </c>
      <c r="F20" t="s">
        <v>142</v>
      </c>
      <c r="G20" t="s">
        <v>187</v>
      </c>
      <c r="H20" t="s">
        <v>232</v>
      </c>
      <c r="I20" t="s">
        <v>261</v>
      </c>
      <c r="J20" t="s">
        <v>288</v>
      </c>
      <c r="K20" t="s">
        <v>289</v>
      </c>
      <c r="L20">
        <v>11206</v>
      </c>
      <c r="M20" t="s">
        <v>290</v>
      </c>
      <c r="N20" t="s">
        <v>291</v>
      </c>
      <c r="O20" t="s">
        <v>299</v>
      </c>
      <c r="P20" t="s">
        <v>315</v>
      </c>
      <c r="Q20">
        <v>15</v>
      </c>
      <c r="R20" t="s">
        <v>343</v>
      </c>
      <c r="S20" t="s">
        <v>347</v>
      </c>
      <c r="U20" t="s">
        <v>349</v>
      </c>
      <c r="V20" t="s">
        <v>350</v>
      </c>
      <c r="W20" t="s">
        <v>350</v>
      </c>
      <c r="Y20" t="s">
        <v>353</v>
      </c>
      <c r="AA20" t="s">
        <v>370</v>
      </c>
      <c r="AB20">
        <v>2018</v>
      </c>
      <c r="AC20">
        <v>256</v>
      </c>
      <c r="AD20">
        <v>256</v>
      </c>
      <c r="AE20">
        <v>10.25</v>
      </c>
      <c r="AF20" t="s">
        <v>381</v>
      </c>
      <c r="AH20" t="s">
        <v>401</v>
      </c>
      <c r="AI20" t="s">
        <v>438</v>
      </c>
      <c r="AJ20" t="s">
        <v>465</v>
      </c>
      <c r="AK20">
        <v>12</v>
      </c>
      <c r="AL20" t="s">
        <v>494</v>
      </c>
      <c r="AM20">
        <v>1</v>
      </c>
      <c r="AN20">
        <v>0</v>
      </c>
      <c r="AO20">
        <v>81.59</v>
      </c>
      <c r="AR20" t="s">
        <v>500</v>
      </c>
      <c r="AS20" t="s">
        <v>299</v>
      </c>
      <c r="AT20" t="s">
        <v>509</v>
      </c>
      <c r="AU20">
        <v>9840</v>
      </c>
      <c r="AW20" t="s">
        <v>350</v>
      </c>
      <c r="AY20" t="s">
        <v>531</v>
      </c>
      <c r="BB20" t="s">
        <v>548</v>
      </c>
      <c r="BE20" t="s">
        <v>575</v>
      </c>
    </row>
    <row r="21" spans="1:57">
      <c r="A21" s="1">
        <f>HYPERLINK("https://lsnyc.legalserver.org/matter/dynamic-profile/view/1852519","17-1852519")</f>
        <v>0</v>
      </c>
      <c r="B21" t="s">
        <v>66</v>
      </c>
      <c r="C21" t="s">
        <v>80</v>
      </c>
      <c r="D21" t="s">
        <v>100</v>
      </c>
      <c r="F21" t="s">
        <v>143</v>
      </c>
      <c r="G21" t="s">
        <v>188</v>
      </c>
      <c r="H21" t="s">
        <v>233</v>
      </c>
      <c r="I21" t="s">
        <v>275</v>
      </c>
      <c r="J21" t="s">
        <v>288</v>
      </c>
      <c r="K21" t="s">
        <v>289</v>
      </c>
      <c r="L21">
        <v>11221</v>
      </c>
      <c r="M21" t="s">
        <v>290</v>
      </c>
      <c r="N21" t="s">
        <v>291</v>
      </c>
      <c r="O21" t="s">
        <v>292</v>
      </c>
      <c r="P21" t="s">
        <v>316</v>
      </c>
      <c r="Q21">
        <v>-8</v>
      </c>
      <c r="R21" t="s">
        <v>339</v>
      </c>
      <c r="S21" t="s">
        <v>346</v>
      </c>
      <c r="U21" t="s">
        <v>348</v>
      </c>
      <c r="V21" t="s">
        <v>350</v>
      </c>
      <c r="W21" t="s">
        <v>350</v>
      </c>
      <c r="Y21" t="s">
        <v>352</v>
      </c>
      <c r="AA21" t="s">
        <v>370</v>
      </c>
      <c r="AB21">
        <v>2018</v>
      </c>
      <c r="AC21">
        <v>1956</v>
      </c>
      <c r="AD21">
        <v>1478</v>
      </c>
      <c r="AE21">
        <v>14.8</v>
      </c>
      <c r="AF21" t="s">
        <v>381</v>
      </c>
      <c r="AH21" t="s">
        <v>402</v>
      </c>
      <c r="AI21" t="s">
        <v>439</v>
      </c>
      <c r="AJ21" t="s">
        <v>466</v>
      </c>
      <c r="AK21">
        <v>24</v>
      </c>
      <c r="AL21" t="s">
        <v>493</v>
      </c>
      <c r="AM21">
        <v>1</v>
      </c>
      <c r="AN21">
        <v>5</v>
      </c>
      <c r="AO21">
        <v>32.04</v>
      </c>
      <c r="AR21" t="s">
        <v>501</v>
      </c>
      <c r="AS21" t="s">
        <v>505</v>
      </c>
      <c r="AT21" t="s">
        <v>508</v>
      </c>
      <c r="AU21">
        <v>10560</v>
      </c>
      <c r="AV21" t="s">
        <v>517</v>
      </c>
      <c r="AW21" t="s">
        <v>290</v>
      </c>
      <c r="AY21" t="s">
        <v>529</v>
      </c>
      <c r="BB21" t="s">
        <v>549</v>
      </c>
      <c r="BE21" t="s">
        <v>575</v>
      </c>
    </row>
    <row r="22" spans="1:57">
      <c r="A22" s="1">
        <f>HYPERLINK("https://lsnyc.legalserver.org/matter/dynamic-profile/view/1854481","17-1854481")</f>
        <v>0</v>
      </c>
      <c r="B22" t="s">
        <v>68</v>
      </c>
      <c r="C22" t="s">
        <v>80</v>
      </c>
      <c r="D22" t="s">
        <v>101</v>
      </c>
      <c r="F22" t="s">
        <v>144</v>
      </c>
      <c r="G22" t="s">
        <v>189</v>
      </c>
      <c r="H22" t="s">
        <v>234</v>
      </c>
      <c r="I22" t="s">
        <v>276</v>
      </c>
      <c r="J22" t="s">
        <v>288</v>
      </c>
      <c r="K22" t="s">
        <v>289</v>
      </c>
      <c r="L22">
        <v>11216</v>
      </c>
      <c r="M22" t="s">
        <v>290</v>
      </c>
      <c r="N22" t="s">
        <v>291</v>
      </c>
      <c r="O22" t="s">
        <v>292</v>
      </c>
      <c r="P22" t="s">
        <v>317</v>
      </c>
      <c r="Q22">
        <v>5</v>
      </c>
      <c r="R22" t="s">
        <v>340</v>
      </c>
      <c r="S22" t="s">
        <v>346</v>
      </c>
      <c r="U22" t="s">
        <v>348</v>
      </c>
      <c r="V22" t="s">
        <v>350</v>
      </c>
      <c r="W22" t="s">
        <v>350</v>
      </c>
      <c r="Y22" t="s">
        <v>352</v>
      </c>
      <c r="AA22" t="s">
        <v>370</v>
      </c>
      <c r="AB22">
        <v>2018</v>
      </c>
      <c r="AC22">
        <v>1044</v>
      </c>
      <c r="AD22">
        <v>1044</v>
      </c>
      <c r="AE22">
        <v>120.7</v>
      </c>
      <c r="AF22" t="s">
        <v>381</v>
      </c>
      <c r="AH22" t="s">
        <v>403</v>
      </c>
      <c r="AJ22" t="s">
        <v>467</v>
      </c>
      <c r="AK22">
        <v>8</v>
      </c>
      <c r="AM22">
        <v>1</v>
      </c>
      <c r="AN22">
        <v>0</v>
      </c>
      <c r="AO22">
        <v>99.5</v>
      </c>
      <c r="AR22" t="s">
        <v>500</v>
      </c>
      <c r="AT22" t="s">
        <v>508</v>
      </c>
      <c r="AU22">
        <v>12000</v>
      </c>
      <c r="AW22" t="s">
        <v>290</v>
      </c>
      <c r="AY22" t="s">
        <v>522</v>
      </c>
      <c r="BB22" t="s">
        <v>537</v>
      </c>
      <c r="BE22" t="s">
        <v>576</v>
      </c>
    </row>
    <row r="23" spans="1:57">
      <c r="A23" s="1">
        <f>HYPERLINK("https://lsnyc.legalserver.org/matter/dynamic-profile/view/1843473","17-1843473")</f>
        <v>0</v>
      </c>
      <c r="B23" t="s">
        <v>69</v>
      </c>
      <c r="C23" t="s">
        <v>80</v>
      </c>
      <c r="D23" t="s">
        <v>98</v>
      </c>
      <c r="F23" t="s">
        <v>145</v>
      </c>
      <c r="G23" t="s">
        <v>190</v>
      </c>
      <c r="H23" t="s">
        <v>235</v>
      </c>
      <c r="I23" t="s">
        <v>277</v>
      </c>
      <c r="J23" t="s">
        <v>288</v>
      </c>
      <c r="K23" t="s">
        <v>289</v>
      </c>
      <c r="L23">
        <v>11215</v>
      </c>
      <c r="M23" t="s">
        <v>290</v>
      </c>
      <c r="N23" t="s">
        <v>291</v>
      </c>
      <c r="Q23">
        <v>0</v>
      </c>
      <c r="S23" t="s">
        <v>346</v>
      </c>
      <c r="U23" t="s">
        <v>349</v>
      </c>
      <c r="V23" t="s">
        <v>350</v>
      </c>
      <c r="W23" t="s">
        <v>350</v>
      </c>
      <c r="Y23" t="s">
        <v>352</v>
      </c>
      <c r="AA23" t="s">
        <v>370</v>
      </c>
      <c r="AB23">
        <v>2018</v>
      </c>
      <c r="AC23">
        <v>0</v>
      </c>
      <c r="AD23">
        <v>0</v>
      </c>
      <c r="AE23">
        <v>21.9</v>
      </c>
      <c r="AF23" t="s">
        <v>381</v>
      </c>
      <c r="AH23" t="s">
        <v>404</v>
      </c>
      <c r="AJ23" t="s">
        <v>468</v>
      </c>
      <c r="AK23">
        <v>0</v>
      </c>
      <c r="AM23">
        <v>1</v>
      </c>
      <c r="AN23">
        <v>0</v>
      </c>
      <c r="AO23">
        <v>119.4</v>
      </c>
      <c r="AT23" t="s">
        <v>508</v>
      </c>
      <c r="AU23">
        <v>14400</v>
      </c>
      <c r="AW23" t="s">
        <v>350</v>
      </c>
      <c r="AY23" t="s">
        <v>528</v>
      </c>
      <c r="BB23" t="s">
        <v>537</v>
      </c>
      <c r="BE23" t="s">
        <v>577</v>
      </c>
    </row>
    <row r="24" spans="1:57">
      <c r="A24" s="1">
        <f>HYPERLINK("https://lsnyc.legalserver.org/matter/dynamic-profile/view/1858004","18-1858004")</f>
        <v>0</v>
      </c>
      <c r="B24" t="s">
        <v>59</v>
      </c>
      <c r="C24" t="s">
        <v>80</v>
      </c>
      <c r="D24" t="s">
        <v>102</v>
      </c>
      <c r="F24" t="s">
        <v>146</v>
      </c>
      <c r="G24" t="s">
        <v>191</v>
      </c>
      <c r="H24" t="s">
        <v>236</v>
      </c>
      <c r="I24" t="s">
        <v>278</v>
      </c>
      <c r="J24" t="s">
        <v>288</v>
      </c>
      <c r="K24" t="s">
        <v>289</v>
      </c>
      <c r="L24">
        <v>11225</v>
      </c>
      <c r="M24" t="s">
        <v>290</v>
      </c>
      <c r="N24" t="s">
        <v>291</v>
      </c>
      <c r="O24" t="s">
        <v>292</v>
      </c>
      <c r="P24" t="s">
        <v>318</v>
      </c>
      <c r="Q24">
        <v>0</v>
      </c>
      <c r="R24" t="s">
        <v>340</v>
      </c>
      <c r="S24" t="s">
        <v>346</v>
      </c>
      <c r="U24" t="s">
        <v>348</v>
      </c>
      <c r="V24" t="s">
        <v>350</v>
      </c>
      <c r="W24" t="s">
        <v>350</v>
      </c>
      <c r="Y24" t="s">
        <v>352</v>
      </c>
      <c r="AA24" t="s">
        <v>371</v>
      </c>
      <c r="AB24">
        <v>2018</v>
      </c>
      <c r="AC24">
        <v>1057</v>
      </c>
      <c r="AD24">
        <v>1057</v>
      </c>
      <c r="AE24">
        <v>25.7</v>
      </c>
      <c r="AF24" t="s">
        <v>381</v>
      </c>
      <c r="AH24" t="s">
        <v>405</v>
      </c>
      <c r="AI24" t="s">
        <v>440</v>
      </c>
      <c r="AJ24" t="s">
        <v>469</v>
      </c>
      <c r="AK24">
        <v>57</v>
      </c>
      <c r="AM24">
        <v>5</v>
      </c>
      <c r="AN24">
        <v>2</v>
      </c>
      <c r="AO24">
        <v>47.32</v>
      </c>
      <c r="AR24" t="s">
        <v>502</v>
      </c>
      <c r="AT24" t="s">
        <v>508</v>
      </c>
      <c r="AU24">
        <v>17576</v>
      </c>
      <c r="AW24" t="s">
        <v>290</v>
      </c>
      <c r="AY24" t="s">
        <v>522</v>
      </c>
      <c r="BB24" t="s">
        <v>537</v>
      </c>
      <c r="BE24" t="s">
        <v>578</v>
      </c>
    </row>
    <row r="25" spans="1:57">
      <c r="A25" s="1">
        <f>HYPERLINK("https://lsnyc.legalserver.org/matter/dynamic-profile/view/1858021","18-1858021")</f>
        <v>0</v>
      </c>
      <c r="B25" t="s">
        <v>63</v>
      </c>
      <c r="C25" t="s">
        <v>80</v>
      </c>
      <c r="D25" t="s">
        <v>102</v>
      </c>
      <c r="F25" t="s">
        <v>147</v>
      </c>
      <c r="G25" t="s">
        <v>192</v>
      </c>
      <c r="H25" t="s">
        <v>237</v>
      </c>
      <c r="I25">
        <v>3</v>
      </c>
      <c r="J25" t="s">
        <v>288</v>
      </c>
      <c r="K25" t="s">
        <v>289</v>
      </c>
      <c r="L25">
        <v>11225</v>
      </c>
      <c r="M25" t="s">
        <v>290</v>
      </c>
      <c r="N25" t="s">
        <v>290</v>
      </c>
      <c r="O25" t="s">
        <v>292</v>
      </c>
      <c r="P25" t="s">
        <v>319</v>
      </c>
      <c r="Q25">
        <v>5</v>
      </c>
      <c r="R25" t="s">
        <v>339</v>
      </c>
      <c r="S25" t="s">
        <v>346</v>
      </c>
      <c r="U25" t="s">
        <v>348</v>
      </c>
      <c r="V25" t="s">
        <v>350</v>
      </c>
      <c r="W25" t="s">
        <v>350</v>
      </c>
      <c r="Y25" t="s">
        <v>352</v>
      </c>
      <c r="AA25" t="s">
        <v>371</v>
      </c>
      <c r="AB25">
        <v>2018</v>
      </c>
      <c r="AC25">
        <v>1119.96</v>
      </c>
      <c r="AD25">
        <v>1119.96</v>
      </c>
      <c r="AE25">
        <v>13.5</v>
      </c>
      <c r="AF25" t="s">
        <v>381</v>
      </c>
      <c r="AH25" t="s">
        <v>406</v>
      </c>
      <c r="AJ25" t="s">
        <v>470</v>
      </c>
      <c r="AK25">
        <v>3</v>
      </c>
      <c r="AL25" t="s">
        <v>496</v>
      </c>
      <c r="AM25">
        <v>2</v>
      </c>
      <c r="AN25">
        <v>1</v>
      </c>
      <c r="AO25">
        <v>150.24</v>
      </c>
      <c r="AR25" t="s">
        <v>502</v>
      </c>
      <c r="AT25" t="s">
        <v>508</v>
      </c>
      <c r="AU25">
        <v>30680</v>
      </c>
      <c r="AW25" t="s">
        <v>290</v>
      </c>
      <c r="AY25" t="s">
        <v>522</v>
      </c>
      <c r="BB25" t="s">
        <v>537</v>
      </c>
      <c r="BE25" t="s">
        <v>579</v>
      </c>
    </row>
    <row r="26" spans="1:57">
      <c r="A26" s="1">
        <f>HYPERLINK("https://lsnyc.legalserver.org/matter/dynamic-profile/view/1859931","18-1859931")</f>
        <v>0</v>
      </c>
      <c r="B26" t="s">
        <v>58</v>
      </c>
      <c r="C26" t="s">
        <v>80</v>
      </c>
      <c r="D26" t="s">
        <v>103</v>
      </c>
      <c r="F26" t="s">
        <v>148</v>
      </c>
      <c r="G26" t="s">
        <v>193</v>
      </c>
      <c r="H26" t="s">
        <v>238</v>
      </c>
      <c r="I26" t="s">
        <v>274</v>
      </c>
      <c r="J26" t="s">
        <v>288</v>
      </c>
      <c r="K26" t="s">
        <v>289</v>
      </c>
      <c r="L26">
        <v>11226</v>
      </c>
      <c r="M26" t="s">
        <v>290</v>
      </c>
      <c r="N26" t="s">
        <v>291</v>
      </c>
      <c r="O26" t="s">
        <v>296</v>
      </c>
      <c r="P26" t="s">
        <v>320</v>
      </c>
      <c r="Q26">
        <v>38</v>
      </c>
      <c r="R26" t="s">
        <v>344</v>
      </c>
      <c r="S26" t="s">
        <v>346</v>
      </c>
      <c r="U26" t="s">
        <v>349</v>
      </c>
      <c r="V26" t="s">
        <v>350</v>
      </c>
      <c r="W26" t="s">
        <v>290</v>
      </c>
      <c r="X26" t="s">
        <v>351</v>
      </c>
      <c r="Y26" t="s">
        <v>352</v>
      </c>
      <c r="AA26" t="s">
        <v>372</v>
      </c>
      <c r="AB26">
        <v>2018</v>
      </c>
      <c r="AC26">
        <v>727.77</v>
      </c>
      <c r="AD26">
        <v>1053.67</v>
      </c>
      <c r="AE26">
        <v>25.35</v>
      </c>
      <c r="AF26" t="s">
        <v>381</v>
      </c>
      <c r="AH26" t="s">
        <v>407</v>
      </c>
      <c r="AJ26" t="s">
        <v>471</v>
      </c>
      <c r="AK26">
        <v>61</v>
      </c>
      <c r="AL26" t="s">
        <v>493</v>
      </c>
      <c r="AM26">
        <v>3</v>
      </c>
      <c r="AN26">
        <v>0</v>
      </c>
      <c r="AO26">
        <v>107.25</v>
      </c>
      <c r="AR26" t="s">
        <v>500</v>
      </c>
      <c r="AS26" t="s">
        <v>503</v>
      </c>
      <c r="AT26" t="s">
        <v>508</v>
      </c>
      <c r="AU26">
        <v>21900</v>
      </c>
      <c r="AY26" t="s">
        <v>529</v>
      </c>
      <c r="BB26" t="s">
        <v>545</v>
      </c>
      <c r="BE26" t="s">
        <v>580</v>
      </c>
    </row>
    <row r="27" spans="1:57">
      <c r="A27" s="1">
        <f>HYPERLINK("https://lsnyc.legalserver.org/matter/dynamic-profile/view/1852480","17-1852480")</f>
        <v>0</v>
      </c>
      <c r="B27" t="s">
        <v>59</v>
      </c>
      <c r="C27" t="s">
        <v>80</v>
      </c>
      <c r="D27" t="s">
        <v>96</v>
      </c>
      <c r="F27" t="s">
        <v>149</v>
      </c>
      <c r="G27" t="s">
        <v>194</v>
      </c>
      <c r="H27" t="s">
        <v>239</v>
      </c>
      <c r="I27" t="s">
        <v>279</v>
      </c>
      <c r="J27" t="s">
        <v>288</v>
      </c>
      <c r="K27" t="s">
        <v>289</v>
      </c>
      <c r="L27">
        <v>11216</v>
      </c>
      <c r="M27" t="s">
        <v>290</v>
      </c>
      <c r="N27" t="s">
        <v>291</v>
      </c>
      <c r="O27" t="s">
        <v>293</v>
      </c>
      <c r="P27" t="s">
        <v>321</v>
      </c>
      <c r="Q27">
        <v>-3</v>
      </c>
      <c r="R27" t="s">
        <v>345</v>
      </c>
      <c r="S27" t="s">
        <v>347</v>
      </c>
      <c r="U27" t="s">
        <v>349</v>
      </c>
      <c r="V27" t="s">
        <v>350</v>
      </c>
      <c r="W27" t="s">
        <v>350</v>
      </c>
      <c r="Y27" t="s">
        <v>352</v>
      </c>
      <c r="AA27" t="s">
        <v>373</v>
      </c>
      <c r="AB27">
        <v>2018</v>
      </c>
      <c r="AC27">
        <v>2000</v>
      </c>
      <c r="AD27">
        <v>2000</v>
      </c>
      <c r="AE27">
        <v>32.1</v>
      </c>
      <c r="AF27" t="s">
        <v>381</v>
      </c>
      <c r="AH27" t="s">
        <v>408</v>
      </c>
      <c r="AJ27" t="s">
        <v>472</v>
      </c>
      <c r="AK27">
        <v>16</v>
      </c>
      <c r="AL27" t="s">
        <v>493</v>
      </c>
      <c r="AM27">
        <v>1</v>
      </c>
      <c r="AN27">
        <v>0</v>
      </c>
      <c r="AO27">
        <v>110.41</v>
      </c>
      <c r="AR27" t="s">
        <v>500</v>
      </c>
      <c r="AS27" t="s">
        <v>503</v>
      </c>
      <c r="AT27" t="s">
        <v>508</v>
      </c>
      <c r="AU27">
        <v>13315</v>
      </c>
      <c r="AY27" t="s">
        <v>529</v>
      </c>
      <c r="BB27" t="s">
        <v>550</v>
      </c>
      <c r="BE27" t="s">
        <v>581</v>
      </c>
    </row>
    <row r="28" spans="1:57">
      <c r="A28" s="1">
        <f>HYPERLINK("https://lsnyc.legalserver.org/matter/dynamic-profile/view/1847429","17-1847429")</f>
        <v>0</v>
      </c>
      <c r="B28" t="s">
        <v>59</v>
      </c>
      <c r="C28" t="s">
        <v>80</v>
      </c>
      <c r="D28" t="s">
        <v>104</v>
      </c>
      <c r="F28" t="s">
        <v>126</v>
      </c>
      <c r="G28" t="s">
        <v>170</v>
      </c>
      <c r="H28" t="s">
        <v>215</v>
      </c>
      <c r="I28" t="s">
        <v>261</v>
      </c>
      <c r="J28" t="s">
        <v>288</v>
      </c>
      <c r="K28" t="s">
        <v>289</v>
      </c>
      <c r="L28">
        <v>11203</v>
      </c>
      <c r="M28" t="s">
        <v>290</v>
      </c>
      <c r="N28" t="s">
        <v>291</v>
      </c>
      <c r="O28" t="s">
        <v>293</v>
      </c>
      <c r="Q28">
        <v>6</v>
      </c>
      <c r="R28" t="s">
        <v>345</v>
      </c>
      <c r="S28" t="s">
        <v>347</v>
      </c>
      <c r="U28" t="s">
        <v>349</v>
      </c>
      <c r="V28" t="s">
        <v>350</v>
      </c>
      <c r="W28" t="s">
        <v>350</v>
      </c>
      <c r="Y28" t="s">
        <v>352</v>
      </c>
      <c r="AA28" t="s">
        <v>373</v>
      </c>
      <c r="AB28">
        <v>2018</v>
      </c>
      <c r="AC28">
        <v>929.66</v>
      </c>
      <c r="AD28">
        <v>929.66</v>
      </c>
      <c r="AE28">
        <v>16.5</v>
      </c>
      <c r="AF28" t="s">
        <v>381</v>
      </c>
      <c r="AH28" t="s">
        <v>384</v>
      </c>
      <c r="AI28" t="s">
        <v>429</v>
      </c>
      <c r="AJ28" t="s">
        <v>449</v>
      </c>
      <c r="AK28">
        <v>40</v>
      </c>
      <c r="AM28">
        <v>1</v>
      </c>
      <c r="AN28">
        <v>2</v>
      </c>
      <c r="AO28">
        <v>23.51</v>
      </c>
      <c r="AR28" t="s">
        <v>501</v>
      </c>
      <c r="AS28" t="s">
        <v>503</v>
      </c>
      <c r="AT28" t="s">
        <v>508</v>
      </c>
      <c r="AU28">
        <v>4800</v>
      </c>
      <c r="AW28" t="s">
        <v>350</v>
      </c>
      <c r="AY28" t="s">
        <v>529</v>
      </c>
      <c r="BB28" t="s">
        <v>538</v>
      </c>
      <c r="BE28" t="s">
        <v>565</v>
      </c>
    </row>
    <row r="29" spans="1:57">
      <c r="A29" s="1">
        <f>HYPERLINK("https://lsnyc.legalserver.org/matter/dynamic-profile/view/1863802","18-1863802")</f>
        <v>0</v>
      </c>
      <c r="B29" t="s">
        <v>70</v>
      </c>
      <c r="C29" t="s">
        <v>80</v>
      </c>
      <c r="D29" t="s">
        <v>105</v>
      </c>
      <c r="F29" t="s">
        <v>150</v>
      </c>
      <c r="G29" t="s">
        <v>195</v>
      </c>
      <c r="H29" t="s">
        <v>240</v>
      </c>
      <c r="I29" t="s">
        <v>280</v>
      </c>
      <c r="J29" t="s">
        <v>288</v>
      </c>
      <c r="K29" t="s">
        <v>289</v>
      </c>
      <c r="L29">
        <v>11235</v>
      </c>
      <c r="M29" t="s">
        <v>290</v>
      </c>
      <c r="N29" t="s">
        <v>291</v>
      </c>
      <c r="O29" t="s">
        <v>292</v>
      </c>
      <c r="P29" t="s">
        <v>322</v>
      </c>
      <c r="Q29">
        <v>26</v>
      </c>
      <c r="R29" t="s">
        <v>340</v>
      </c>
      <c r="S29" t="s">
        <v>346</v>
      </c>
      <c r="U29" t="s">
        <v>348</v>
      </c>
      <c r="V29" t="s">
        <v>350</v>
      </c>
      <c r="W29" t="s">
        <v>350</v>
      </c>
      <c r="Y29" t="s">
        <v>352</v>
      </c>
      <c r="AA29" t="s">
        <v>374</v>
      </c>
      <c r="AB29">
        <v>2018</v>
      </c>
      <c r="AC29">
        <v>0</v>
      </c>
      <c r="AD29">
        <v>806</v>
      </c>
      <c r="AE29">
        <v>201.85</v>
      </c>
      <c r="AF29" t="s">
        <v>381</v>
      </c>
      <c r="AH29" t="s">
        <v>409</v>
      </c>
      <c r="AI29" t="s">
        <v>441</v>
      </c>
      <c r="AJ29" t="s">
        <v>473</v>
      </c>
      <c r="AK29">
        <v>40</v>
      </c>
      <c r="AM29">
        <v>1</v>
      </c>
      <c r="AN29">
        <v>0</v>
      </c>
      <c r="AO29">
        <v>108.73</v>
      </c>
      <c r="AR29" t="s">
        <v>500</v>
      </c>
      <c r="AS29" t="s">
        <v>506</v>
      </c>
      <c r="AT29" t="s">
        <v>508</v>
      </c>
      <c r="AU29">
        <v>13200</v>
      </c>
      <c r="AV29" t="s">
        <v>516</v>
      </c>
      <c r="AW29" t="s">
        <v>290</v>
      </c>
      <c r="AY29" t="s">
        <v>522</v>
      </c>
      <c r="BB29" t="s">
        <v>551</v>
      </c>
      <c r="BE29" t="s">
        <v>582</v>
      </c>
    </row>
    <row r="30" spans="1:57">
      <c r="A30" s="1">
        <f>HYPERLINK("https://lsnyc.legalserver.org/matter/dynamic-profile/view/1864611","18-1864611")</f>
        <v>0</v>
      </c>
      <c r="B30" t="s">
        <v>59</v>
      </c>
      <c r="C30" t="s">
        <v>80</v>
      </c>
      <c r="D30" t="s">
        <v>106</v>
      </c>
      <c r="F30" t="s">
        <v>151</v>
      </c>
      <c r="G30" t="s">
        <v>196</v>
      </c>
      <c r="H30" t="s">
        <v>241</v>
      </c>
      <c r="I30" t="s">
        <v>281</v>
      </c>
      <c r="J30" t="s">
        <v>288</v>
      </c>
      <c r="K30" t="s">
        <v>289</v>
      </c>
      <c r="L30">
        <v>11236</v>
      </c>
      <c r="M30" t="s">
        <v>290</v>
      </c>
      <c r="N30" t="s">
        <v>291</v>
      </c>
      <c r="O30" t="s">
        <v>297</v>
      </c>
      <c r="P30" t="s">
        <v>323</v>
      </c>
      <c r="Q30">
        <v>11</v>
      </c>
      <c r="R30" t="s">
        <v>339</v>
      </c>
      <c r="S30" t="s">
        <v>346</v>
      </c>
      <c r="U30" t="s">
        <v>349</v>
      </c>
      <c r="V30" t="s">
        <v>350</v>
      </c>
      <c r="W30" t="s">
        <v>350</v>
      </c>
      <c r="Y30" t="s">
        <v>352</v>
      </c>
      <c r="AA30" t="s">
        <v>375</v>
      </c>
      <c r="AB30">
        <v>2018</v>
      </c>
      <c r="AC30">
        <v>0</v>
      </c>
      <c r="AD30">
        <v>1450</v>
      </c>
      <c r="AE30">
        <v>71.2</v>
      </c>
      <c r="AF30" t="s">
        <v>381</v>
      </c>
      <c r="AH30" t="s">
        <v>410</v>
      </c>
      <c r="AI30" t="s">
        <v>442</v>
      </c>
      <c r="AJ30" t="s">
        <v>474</v>
      </c>
      <c r="AK30">
        <v>6</v>
      </c>
      <c r="AM30">
        <v>1</v>
      </c>
      <c r="AN30">
        <v>1</v>
      </c>
      <c r="AO30">
        <v>9.48</v>
      </c>
      <c r="AR30" t="s">
        <v>501</v>
      </c>
      <c r="AT30" t="s">
        <v>508</v>
      </c>
      <c r="AU30">
        <v>1560</v>
      </c>
      <c r="AV30" t="s">
        <v>516</v>
      </c>
      <c r="AW30" t="s">
        <v>290</v>
      </c>
      <c r="AY30" t="s">
        <v>522</v>
      </c>
      <c r="BB30" t="s">
        <v>538</v>
      </c>
      <c r="BE30" t="s">
        <v>583</v>
      </c>
    </row>
    <row r="31" spans="1:57">
      <c r="A31" s="1">
        <f>HYPERLINK("https://lsnyc.legalserver.org/matter/dynamic-profile/view/1865150","18-1865150")</f>
        <v>0</v>
      </c>
      <c r="B31" t="s">
        <v>71</v>
      </c>
      <c r="C31" t="s">
        <v>80</v>
      </c>
      <c r="D31" t="s">
        <v>107</v>
      </c>
      <c r="F31" t="s">
        <v>152</v>
      </c>
      <c r="G31" t="s">
        <v>197</v>
      </c>
      <c r="H31" t="s">
        <v>242</v>
      </c>
      <c r="J31" t="s">
        <v>288</v>
      </c>
      <c r="K31" t="s">
        <v>289</v>
      </c>
      <c r="L31">
        <v>11205</v>
      </c>
      <c r="M31" t="s">
        <v>290</v>
      </c>
      <c r="N31" t="s">
        <v>291</v>
      </c>
      <c r="Q31">
        <v>23</v>
      </c>
      <c r="S31" t="s">
        <v>346</v>
      </c>
      <c r="U31" t="s">
        <v>349</v>
      </c>
      <c r="V31" t="s">
        <v>350</v>
      </c>
      <c r="Y31" t="s">
        <v>352</v>
      </c>
      <c r="AA31" t="s">
        <v>376</v>
      </c>
      <c r="AB31">
        <v>2018</v>
      </c>
      <c r="AC31">
        <v>16</v>
      </c>
      <c r="AD31">
        <v>606.9</v>
      </c>
      <c r="AE31">
        <v>37.9</v>
      </c>
      <c r="AF31" t="s">
        <v>381</v>
      </c>
      <c r="AH31" t="s">
        <v>411</v>
      </c>
      <c r="AJ31" t="s">
        <v>475</v>
      </c>
      <c r="AK31">
        <v>98</v>
      </c>
      <c r="AL31" t="s">
        <v>493</v>
      </c>
      <c r="AM31">
        <v>1</v>
      </c>
      <c r="AN31">
        <v>2</v>
      </c>
      <c r="AO31">
        <v>13.4</v>
      </c>
      <c r="AR31" t="s">
        <v>501</v>
      </c>
      <c r="AT31" t="s">
        <v>508</v>
      </c>
      <c r="AU31">
        <v>2784</v>
      </c>
      <c r="AW31" t="s">
        <v>290</v>
      </c>
      <c r="AX31" t="s">
        <v>520</v>
      </c>
      <c r="AY31" t="s">
        <v>530</v>
      </c>
      <c r="BB31" t="s">
        <v>537</v>
      </c>
      <c r="BE31" t="s">
        <v>569</v>
      </c>
    </row>
    <row r="32" spans="1:57">
      <c r="A32" s="1">
        <f>HYPERLINK("https://lsnyc.legalserver.org/matter/dynamic-profile/view/1865893","18-1865893")</f>
        <v>0</v>
      </c>
      <c r="B32" t="s">
        <v>72</v>
      </c>
      <c r="C32" t="s">
        <v>80</v>
      </c>
      <c r="D32" t="s">
        <v>108</v>
      </c>
      <c r="F32" t="s">
        <v>153</v>
      </c>
      <c r="G32" t="s">
        <v>198</v>
      </c>
      <c r="H32" t="s">
        <v>243</v>
      </c>
      <c r="I32">
        <v>815</v>
      </c>
      <c r="J32" t="s">
        <v>288</v>
      </c>
      <c r="K32" t="s">
        <v>289</v>
      </c>
      <c r="L32">
        <v>11203</v>
      </c>
      <c r="M32" t="s">
        <v>290</v>
      </c>
      <c r="N32" t="s">
        <v>291</v>
      </c>
      <c r="O32" t="s">
        <v>297</v>
      </c>
      <c r="P32" t="s">
        <v>324</v>
      </c>
      <c r="Q32">
        <v>1</v>
      </c>
      <c r="R32" t="s">
        <v>339</v>
      </c>
      <c r="S32" t="s">
        <v>346</v>
      </c>
      <c r="U32" t="s">
        <v>349</v>
      </c>
      <c r="V32" t="s">
        <v>350</v>
      </c>
      <c r="W32" t="s">
        <v>350</v>
      </c>
      <c r="Y32" t="s">
        <v>352</v>
      </c>
      <c r="AA32" t="s">
        <v>377</v>
      </c>
      <c r="AB32">
        <v>2018</v>
      </c>
      <c r="AC32">
        <v>231</v>
      </c>
      <c r="AD32">
        <v>231</v>
      </c>
      <c r="AE32">
        <v>31</v>
      </c>
      <c r="AF32" t="s">
        <v>381</v>
      </c>
      <c r="AH32" t="s">
        <v>412</v>
      </c>
      <c r="AI32" t="s">
        <v>443</v>
      </c>
      <c r="AJ32" t="s">
        <v>476</v>
      </c>
      <c r="AK32">
        <v>293</v>
      </c>
      <c r="AM32">
        <v>1</v>
      </c>
      <c r="AN32">
        <v>0</v>
      </c>
      <c r="AO32">
        <v>98.55</v>
      </c>
      <c r="AR32" t="s">
        <v>500</v>
      </c>
      <c r="AS32" t="s">
        <v>503</v>
      </c>
      <c r="AT32" t="s">
        <v>508</v>
      </c>
      <c r="AU32">
        <v>11964</v>
      </c>
      <c r="AV32" t="s">
        <v>516</v>
      </c>
      <c r="AW32" t="s">
        <v>290</v>
      </c>
      <c r="AY32" t="s">
        <v>522</v>
      </c>
      <c r="BB32" t="s">
        <v>548</v>
      </c>
      <c r="BE32" t="s">
        <v>584</v>
      </c>
    </row>
    <row r="33" spans="1:58">
      <c r="A33" s="1">
        <f>HYPERLINK("https://lsnyc.legalserver.org/matter/dynamic-profile/view/1849461","17-1849461")</f>
        <v>0</v>
      </c>
      <c r="B33" t="s">
        <v>63</v>
      </c>
      <c r="C33" t="s">
        <v>80</v>
      </c>
      <c r="D33" t="s">
        <v>109</v>
      </c>
      <c r="F33" t="s">
        <v>154</v>
      </c>
      <c r="G33" t="s">
        <v>199</v>
      </c>
      <c r="H33" t="s">
        <v>244</v>
      </c>
      <c r="I33" t="s">
        <v>280</v>
      </c>
      <c r="J33" t="s">
        <v>288</v>
      </c>
      <c r="K33" t="s">
        <v>289</v>
      </c>
      <c r="L33">
        <v>11221</v>
      </c>
      <c r="M33" t="s">
        <v>290</v>
      </c>
      <c r="N33" t="s">
        <v>291</v>
      </c>
      <c r="P33" t="s">
        <v>325</v>
      </c>
      <c r="Q33">
        <v>4</v>
      </c>
      <c r="R33" t="s">
        <v>343</v>
      </c>
      <c r="S33" t="s">
        <v>347</v>
      </c>
      <c r="U33" t="s">
        <v>348</v>
      </c>
      <c r="V33" t="s">
        <v>350</v>
      </c>
      <c r="W33" t="s">
        <v>290</v>
      </c>
      <c r="X33" t="s">
        <v>348</v>
      </c>
      <c r="Y33" t="s">
        <v>353</v>
      </c>
      <c r="AA33" t="s">
        <v>357</v>
      </c>
      <c r="AB33">
        <v>2018</v>
      </c>
      <c r="AC33">
        <v>1259</v>
      </c>
      <c r="AD33">
        <v>1259</v>
      </c>
      <c r="AE33">
        <v>17.45</v>
      </c>
      <c r="AF33" t="s">
        <v>381</v>
      </c>
      <c r="AH33" t="s">
        <v>413</v>
      </c>
      <c r="AJ33" t="s">
        <v>477</v>
      </c>
      <c r="AK33">
        <v>16</v>
      </c>
      <c r="AL33" t="s">
        <v>494</v>
      </c>
      <c r="AM33">
        <v>1</v>
      </c>
      <c r="AN33">
        <v>0</v>
      </c>
      <c r="AO33">
        <v>117.28</v>
      </c>
      <c r="AS33" t="s">
        <v>503</v>
      </c>
      <c r="AT33" t="s">
        <v>508</v>
      </c>
      <c r="AU33">
        <v>14144</v>
      </c>
      <c r="AW33" t="s">
        <v>290</v>
      </c>
      <c r="AY33" t="s">
        <v>532</v>
      </c>
      <c r="BB33" t="s">
        <v>552</v>
      </c>
      <c r="BE33" t="s">
        <v>585</v>
      </c>
    </row>
    <row r="34" spans="1:58">
      <c r="A34" s="1">
        <f>HYPERLINK("https://lsnyc.legalserver.org/matter/dynamic-profile/view/1852690","17-1852690")</f>
        <v>0</v>
      </c>
      <c r="B34" t="s">
        <v>73</v>
      </c>
      <c r="C34" t="s">
        <v>80</v>
      </c>
      <c r="D34" t="s">
        <v>110</v>
      </c>
      <c r="F34" t="s">
        <v>155</v>
      </c>
      <c r="G34" t="s">
        <v>200</v>
      </c>
      <c r="H34" t="s">
        <v>245</v>
      </c>
      <c r="I34" t="s">
        <v>282</v>
      </c>
      <c r="J34" t="s">
        <v>288</v>
      </c>
      <c r="K34" t="s">
        <v>289</v>
      </c>
      <c r="L34">
        <v>11212</v>
      </c>
      <c r="M34" t="s">
        <v>290</v>
      </c>
      <c r="N34" t="s">
        <v>291</v>
      </c>
      <c r="O34" t="s">
        <v>298</v>
      </c>
      <c r="Q34">
        <v>29</v>
      </c>
      <c r="S34" t="s">
        <v>347</v>
      </c>
      <c r="U34" t="s">
        <v>349</v>
      </c>
      <c r="V34" t="s">
        <v>350</v>
      </c>
      <c r="W34" t="s">
        <v>350</v>
      </c>
      <c r="Y34" t="s">
        <v>352</v>
      </c>
      <c r="AA34" t="s">
        <v>357</v>
      </c>
      <c r="AB34">
        <v>2018</v>
      </c>
      <c r="AC34">
        <v>350</v>
      </c>
      <c r="AD34">
        <v>318.6</v>
      </c>
      <c r="AE34">
        <v>10.7</v>
      </c>
      <c r="AF34" t="s">
        <v>381</v>
      </c>
      <c r="AH34" t="s">
        <v>414</v>
      </c>
      <c r="AI34" t="s">
        <v>444</v>
      </c>
      <c r="AJ34" t="s">
        <v>478</v>
      </c>
      <c r="AK34">
        <v>112</v>
      </c>
      <c r="AL34" t="s">
        <v>495</v>
      </c>
      <c r="AM34">
        <v>2</v>
      </c>
      <c r="AN34">
        <v>3</v>
      </c>
      <c r="AO34">
        <v>43.82</v>
      </c>
      <c r="AR34" t="s">
        <v>501</v>
      </c>
      <c r="AS34" t="s">
        <v>503</v>
      </c>
      <c r="AT34" t="s">
        <v>509</v>
      </c>
      <c r="AU34">
        <v>12612</v>
      </c>
      <c r="AW34" t="s">
        <v>350</v>
      </c>
      <c r="AY34" t="s">
        <v>528</v>
      </c>
      <c r="BB34" t="s">
        <v>543</v>
      </c>
      <c r="BE34" t="s">
        <v>106</v>
      </c>
    </row>
    <row r="35" spans="1:58">
      <c r="A35" s="1">
        <f>HYPERLINK("https://lsnyc.legalserver.org/matter/dynamic-profile/view/1860411","18-1860411")</f>
        <v>0</v>
      </c>
      <c r="B35" t="s">
        <v>74</v>
      </c>
      <c r="C35" t="s">
        <v>80</v>
      </c>
      <c r="D35" t="s">
        <v>111</v>
      </c>
      <c r="F35" t="s">
        <v>156</v>
      </c>
      <c r="G35" t="s">
        <v>201</v>
      </c>
      <c r="H35" t="s">
        <v>246</v>
      </c>
      <c r="I35" t="s">
        <v>283</v>
      </c>
      <c r="J35" t="s">
        <v>288</v>
      </c>
      <c r="K35" t="s">
        <v>289</v>
      </c>
      <c r="L35">
        <v>11226</v>
      </c>
      <c r="M35" t="s">
        <v>290</v>
      </c>
      <c r="N35" t="s">
        <v>291</v>
      </c>
      <c r="O35" t="s">
        <v>298</v>
      </c>
      <c r="P35" t="s">
        <v>326</v>
      </c>
      <c r="Q35">
        <v>38</v>
      </c>
      <c r="R35" t="s">
        <v>339</v>
      </c>
      <c r="S35" t="s">
        <v>346</v>
      </c>
      <c r="U35" t="s">
        <v>349</v>
      </c>
      <c r="V35" t="s">
        <v>350</v>
      </c>
      <c r="W35" t="s">
        <v>350</v>
      </c>
      <c r="Y35" t="s">
        <v>352</v>
      </c>
      <c r="Z35" t="s">
        <v>355</v>
      </c>
      <c r="AA35" t="s">
        <v>357</v>
      </c>
      <c r="AB35">
        <v>2018</v>
      </c>
      <c r="AC35">
        <v>909.13</v>
      </c>
      <c r="AD35">
        <v>909.13</v>
      </c>
      <c r="AE35">
        <v>30.5</v>
      </c>
      <c r="AF35" t="s">
        <v>381</v>
      </c>
      <c r="AH35" t="s">
        <v>415</v>
      </c>
      <c r="AI35" t="s">
        <v>445</v>
      </c>
      <c r="AJ35" t="s">
        <v>479</v>
      </c>
      <c r="AK35">
        <v>80</v>
      </c>
      <c r="AL35" t="s">
        <v>493</v>
      </c>
      <c r="AM35">
        <v>2</v>
      </c>
      <c r="AN35">
        <v>1</v>
      </c>
      <c r="AO35">
        <v>91.19</v>
      </c>
      <c r="AR35" t="s">
        <v>501</v>
      </c>
      <c r="AS35" t="s">
        <v>503</v>
      </c>
      <c r="AT35" t="s">
        <v>508</v>
      </c>
      <c r="AU35">
        <v>18620</v>
      </c>
      <c r="AY35" t="s">
        <v>529</v>
      </c>
      <c r="AZ35" t="s">
        <v>534</v>
      </c>
      <c r="BB35" t="s">
        <v>553</v>
      </c>
      <c r="BE35" t="s">
        <v>586</v>
      </c>
    </row>
    <row r="36" spans="1:58">
      <c r="A36" s="1">
        <f>HYPERLINK("https://lsnyc.legalserver.org/matter/dynamic-profile/view/1865146","18-1865146")</f>
        <v>0</v>
      </c>
      <c r="B36" t="s">
        <v>75</v>
      </c>
      <c r="C36" t="s">
        <v>80</v>
      </c>
      <c r="D36" t="s">
        <v>107</v>
      </c>
      <c r="F36" t="s">
        <v>157</v>
      </c>
      <c r="G36" t="s">
        <v>202</v>
      </c>
      <c r="H36" t="s">
        <v>247</v>
      </c>
      <c r="I36">
        <v>10</v>
      </c>
      <c r="J36" t="s">
        <v>288</v>
      </c>
      <c r="K36" t="s">
        <v>289</v>
      </c>
      <c r="L36">
        <v>11209</v>
      </c>
      <c r="M36" t="s">
        <v>290</v>
      </c>
      <c r="N36" t="s">
        <v>291</v>
      </c>
      <c r="O36" t="s">
        <v>293</v>
      </c>
      <c r="P36" t="s">
        <v>327</v>
      </c>
      <c r="Q36">
        <v>0</v>
      </c>
      <c r="R36" t="s">
        <v>339</v>
      </c>
      <c r="S36" t="s">
        <v>346</v>
      </c>
      <c r="U36" t="s">
        <v>349</v>
      </c>
      <c r="V36" t="s">
        <v>350</v>
      </c>
      <c r="W36" t="s">
        <v>350</v>
      </c>
      <c r="Y36" t="s">
        <v>352</v>
      </c>
      <c r="Z36" t="s">
        <v>356</v>
      </c>
      <c r="AA36" t="s">
        <v>357</v>
      </c>
      <c r="AB36">
        <v>2018</v>
      </c>
      <c r="AC36">
        <v>1150</v>
      </c>
      <c r="AD36">
        <v>1150</v>
      </c>
      <c r="AE36">
        <v>33.5</v>
      </c>
      <c r="AF36" t="s">
        <v>381</v>
      </c>
      <c r="AH36" t="s">
        <v>416</v>
      </c>
      <c r="AJ36" t="s">
        <v>480</v>
      </c>
      <c r="AK36">
        <v>10</v>
      </c>
      <c r="AM36">
        <v>2</v>
      </c>
      <c r="AN36">
        <v>2</v>
      </c>
      <c r="AO36">
        <v>60.54</v>
      </c>
      <c r="AR36" t="s">
        <v>501</v>
      </c>
      <c r="AT36" t="s">
        <v>511</v>
      </c>
      <c r="AU36">
        <v>15194.55</v>
      </c>
      <c r="AW36" t="s">
        <v>290</v>
      </c>
      <c r="AY36" t="s">
        <v>530</v>
      </c>
      <c r="BB36" t="s">
        <v>537</v>
      </c>
      <c r="BE36" t="s">
        <v>587</v>
      </c>
    </row>
    <row r="37" spans="1:58">
      <c r="A37" s="1">
        <f>HYPERLINK("https://lsnyc.legalserver.org/matter/dynamic-profile/view/1868240","18-1868240")</f>
        <v>0</v>
      </c>
      <c r="B37" t="s">
        <v>63</v>
      </c>
      <c r="C37" t="s">
        <v>80</v>
      </c>
      <c r="D37" t="s">
        <v>112</v>
      </c>
      <c r="F37" t="s">
        <v>158</v>
      </c>
      <c r="G37" t="s">
        <v>203</v>
      </c>
      <c r="H37" t="s">
        <v>248</v>
      </c>
      <c r="I37">
        <v>1</v>
      </c>
      <c r="J37" t="s">
        <v>288</v>
      </c>
      <c r="K37" t="s">
        <v>289</v>
      </c>
      <c r="L37">
        <v>11221</v>
      </c>
      <c r="M37" t="s">
        <v>290</v>
      </c>
      <c r="N37" t="s">
        <v>291</v>
      </c>
      <c r="O37" t="s">
        <v>297</v>
      </c>
      <c r="P37" t="s">
        <v>328</v>
      </c>
      <c r="Q37">
        <v>13</v>
      </c>
      <c r="R37" t="s">
        <v>340</v>
      </c>
      <c r="S37" t="s">
        <v>346</v>
      </c>
      <c r="U37" t="s">
        <v>348</v>
      </c>
      <c r="V37" t="s">
        <v>350</v>
      </c>
      <c r="W37" t="s">
        <v>350</v>
      </c>
      <c r="Y37" t="s">
        <v>352</v>
      </c>
      <c r="AA37" t="s">
        <v>378</v>
      </c>
      <c r="AB37">
        <v>2018</v>
      </c>
      <c r="AC37">
        <v>800</v>
      </c>
      <c r="AD37">
        <v>800</v>
      </c>
      <c r="AE37">
        <v>20.25</v>
      </c>
      <c r="AF37" t="s">
        <v>381</v>
      </c>
      <c r="AH37" t="s">
        <v>417</v>
      </c>
      <c r="AJ37" t="s">
        <v>481</v>
      </c>
      <c r="AK37">
        <v>3</v>
      </c>
      <c r="AL37" t="s">
        <v>496</v>
      </c>
      <c r="AM37">
        <v>2</v>
      </c>
      <c r="AN37">
        <v>0</v>
      </c>
      <c r="AO37">
        <v>80.19</v>
      </c>
      <c r="AR37" t="s">
        <v>500</v>
      </c>
      <c r="AS37" t="s">
        <v>503</v>
      </c>
      <c r="AT37" t="s">
        <v>508</v>
      </c>
      <c r="AU37">
        <v>13200</v>
      </c>
      <c r="AW37" t="s">
        <v>290</v>
      </c>
      <c r="AY37" t="s">
        <v>522</v>
      </c>
      <c r="BB37" t="s">
        <v>554</v>
      </c>
      <c r="BE37" t="s">
        <v>588</v>
      </c>
    </row>
    <row r="38" spans="1:58">
      <c r="A38" s="1">
        <f>HYPERLINK("https://lsnyc.legalserver.org/matter/dynamic-profile/view/0788304","15-0788304")</f>
        <v>0</v>
      </c>
      <c r="B38" t="s">
        <v>76</v>
      </c>
      <c r="C38" t="s">
        <v>80</v>
      </c>
      <c r="D38" t="s">
        <v>113</v>
      </c>
      <c r="F38" t="s">
        <v>159</v>
      </c>
      <c r="G38" t="s">
        <v>179</v>
      </c>
      <c r="H38" t="s">
        <v>249</v>
      </c>
      <c r="I38" t="s">
        <v>263</v>
      </c>
      <c r="J38" t="s">
        <v>288</v>
      </c>
      <c r="K38" t="s">
        <v>289</v>
      </c>
      <c r="L38">
        <v>11206</v>
      </c>
      <c r="M38" t="s">
        <v>290</v>
      </c>
      <c r="N38" t="s">
        <v>290</v>
      </c>
      <c r="O38" t="s">
        <v>298</v>
      </c>
      <c r="P38" t="s">
        <v>329</v>
      </c>
      <c r="Q38">
        <v>23</v>
      </c>
      <c r="R38" t="s">
        <v>343</v>
      </c>
      <c r="S38" t="s">
        <v>347</v>
      </c>
      <c r="U38" t="s">
        <v>349</v>
      </c>
      <c r="V38" t="s">
        <v>350</v>
      </c>
      <c r="Y38" t="s">
        <v>353</v>
      </c>
      <c r="AA38" t="s">
        <v>359</v>
      </c>
      <c r="AB38">
        <v>2018</v>
      </c>
      <c r="AC38">
        <v>2086</v>
      </c>
      <c r="AD38">
        <v>2086</v>
      </c>
      <c r="AE38">
        <v>40.8</v>
      </c>
      <c r="AF38" t="s">
        <v>381</v>
      </c>
      <c r="AH38" t="s">
        <v>418</v>
      </c>
      <c r="AJ38" t="s">
        <v>482</v>
      </c>
      <c r="AK38">
        <v>0</v>
      </c>
      <c r="AL38" t="s">
        <v>494</v>
      </c>
      <c r="AM38">
        <v>5</v>
      </c>
      <c r="AN38">
        <v>3</v>
      </c>
      <c r="AO38">
        <v>57.23</v>
      </c>
      <c r="AT38" t="s">
        <v>508</v>
      </c>
      <c r="AU38">
        <v>23400</v>
      </c>
      <c r="AW38" t="s">
        <v>290</v>
      </c>
      <c r="AY38" t="s">
        <v>529</v>
      </c>
      <c r="BB38" t="s">
        <v>537</v>
      </c>
      <c r="BE38" t="s">
        <v>589</v>
      </c>
    </row>
    <row r="39" spans="1:58">
      <c r="A39" s="1">
        <f>HYPERLINK("https://lsnyc.legalserver.org/matter/dynamic-profile/view/0822640","16-0822640")</f>
        <v>0</v>
      </c>
      <c r="B39" t="s">
        <v>77</v>
      </c>
      <c r="C39" t="s">
        <v>80</v>
      </c>
      <c r="D39" t="s">
        <v>114</v>
      </c>
      <c r="F39" t="s">
        <v>160</v>
      </c>
      <c r="G39" t="s">
        <v>204</v>
      </c>
      <c r="H39" t="s">
        <v>250</v>
      </c>
      <c r="I39" t="s">
        <v>284</v>
      </c>
      <c r="J39" t="s">
        <v>288</v>
      </c>
      <c r="K39" t="s">
        <v>289</v>
      </c>
      <c r="L39">
        <v>11213</v>
      </c>
      <c r="M39" t="s">
        <v>290</v>
      </c>
      <c r="N39" t="s">
        <v>291</v>
      </c>
      <c r="Q39">
        <v>0</v>
      </c>
      <c r="R39" t="s">
        <v>344</v>
      </c>
      <c r="S39" t="s">
        <v>346</v>
      </c>
      <c r="U39" t="s">
        <v>349</v>
      </c>
      <c r="V39" t="s">
        <v>350</v>
      </c>
      <c r="Y39" t="s">
        <v>353</v>
      </c>
      <c r="AA39" t="s">
        <v>359</v>
      </c>
      <c r="AB39">
        <v>2018</v>
      </c>
      <c r="AC39">
        <v>0</v>
      </c>
      <c r="AD39">
        <v>0</v>
      </c>
      <c r="AE39">
        <v>169.8</v>
      </c>
      <c r="AF39" t="s">
        <v>381</v>
      </c>
      <c r="AH39" t="s">
        <v>419</v>
      </c>
      <c r="AJ39" t="s">
        <v>483</v>
      </c>
      <c r="AK39">
        <v>0</v>
      </c>
      <c r="AM39">
        <v>1</v>
      </c>
      <c r="AN39">
        <v>0</v>
      </c>
      <c r="AO39">
        <v>0</v>
      </c>
      <c r="AT39" t="s">
        <v>508</v>
      </c>
      <c r="AU39">
        <v>0</v>
      </c>
      <c r="AY39" t="s">
        <v>79</v>
      </c>
      <c r="BB39" t="s">
        <v>544</v>
      </c>
      <c r="BE39" t="s">
        <v>590</v>
      </c>
    </row>
    <row r="40" spans="1:58">
      <c r="A40" s="1">
        <f>HYPERLINK("https://lsnyc.legalserver.org/matter/dynamic-profile/view/0796434","16-0796434")</f>
        <v>0</v>
      </c>
      <c r="B40" t="s">
        <v>77</v>
      </c>
      <c r="C40" t="s">
        <v>80</v>
      </c>
      <c r="D40" t="s">
        <v>115</v>
      </c>
      <c r="F40" t="s">
        <v>160</v>
      </c>
      <c r="G40" t="s">
        <v>204</v>
      </c>
      <c r="H40" t="s">
        <v>250</v>
      </c>
      <c r="I40" t="s">
        <v>284</v>
      </c>
      <c r="J40" t="s">
        <v>288</v>
      </c>
      <c r="K40" t="s">
        <v>289</v>
      </c>
      <c r="L40">
        <v>11213</v>
      </c>
      <c r="M40" t="s">
        <v>290</v>
      </c>
      <c r="N40" t="s">
        <v>291</v>
      </c>
      <c r="O40" t="s">
        <v>293</v>
      </c>
      <c r="P40" t="s">
        <v>330</v>
      </c>
      <c r="Q40">
        <v>10</v>
      </c>
      <c r="R40" t="s">
        <v>343</v>
      </c>
      <c r="S40" t="s">
        <v>346</v>
      </c>
      <c r="U40" t="s">
        <v>349</v>
      </c>
      <c r="V40" t="s">
        <v>350</v>
      </c>
      <c r="Y40" t="s">
        <v>353</v>
      </c>
      <c r="AA40" t="s">
        <v>359</v>
      </c>
      <c r="AB40">
        <v>2018</v>
      </c>
      <c r="AC40">
        <v>227</v>
      </c>
      <c r="AD40">
        <v>227</v>
      </c>
      <c r="AE40">
        <v>232.55</v>
      </c>
      <c r="AF40" t="s">
        <v>381</v>
      </c>
      <c r="AH40" t="s">
        <v>419</v>
      </c>
      <c r="AJ40" t="s">
        <v>483</v>
      </c>
      <c r="AK40">
        <v>0</v>
      </c>
      <c r="AL40" t="s">
        <v>494</v>
      </c>
      <c r="AM40">
        <v>1</v>
      </c>
      <c r="AN40">
        <v>0</v>
      </c>
      <c r="AO40">
        <v>40.78</v>
      </c>
      <c r="AT40" t="s">
        <v>508</v>
      </c>
      <c r="AU40">
        <v>4800</v>
      </c>
      <c r="AW40" t="s">
        <v>290</v>
      </c>
      <c r="AY40" t="s">
        <v>529</v>
      </c>
      <c r="BB40" t="s">
        <v>555</v>
      </c>
      <c r="BE40" t="s">
        <v>591</v>
      </c>
    </row>
    <row r="41" spans="1:58">
      <c r="A41" s="1">
        <f>HYPERLINK("https://lsnyc.legalserver.org/matter/dynamic-profile/view/1870688","18-1870688")</f>
        <v>0</v>
      </c>
      <c r="B41" t="s">
        <v>75</v>
      </c>
      <c r="C41" t="s">
        <v>80</v>
      </c>
      <c r="D41" t="s">
        <v>116</v>
      </c>
      <c r="F41" t="s">
        <v>161</v>
      </c>
      <c r="G41" t="s">
        <v>205</v>
      </c>
      <c r="H41" t="s">
        <v>251</v>
      </c>
      <c r="I41">
        <v>1</v>
      </c>
      <c r="J41" t="s">
        <v>288</v>
      </c>
      <c r="K41" t="s">
        <v>289</v>
      </c>
      <c r="L41">
        <v>11238</v>
      </c>
      <c r="M41" t="s">
        <v>290</v>
      </c>
      <c r="N41" t="s">
        <v>291</v>
      </c>
      <c r="O41" t="s">
        <v>294</v>
      </c>
      <c r="P41" t="s">
        <v>331</v>
      </c>
      <c r="Q41">
        <v>8</v>
      </c>
      <c r="R41" t="s">
        <v>340</v>
      </c>
      <c r="S41" t="s">
        <v>346</v>
      </c>
      <c r="U41" t="s">
        <v>349</v>
      </c>
      <c r="V41" t="s">
        <v>350</v>
      </c>
      <c r="Y41" t="s">
        <v>352</v>
      </c>
      <c r="AA41" t="s">
        <v>379</v>
      </c>
      <c r="AB41">
        <v>2018</v>
      </c>
      <c r="AC41">
        <v>1350</v>
      </c>
      <c r="AD41">
        <v>1350</v>
      </c>
      <c r="AE41">
        <v>80.5</v>
      </c>
      <c r="AF41" t="s">
        <v>381</v>
      </c>
      <c r="AH41" t="s">
        <v>420</v>
      </c>
      <c r="AJ41" t="s">
        <v>484</v>
      </c>
      <c r="AK41">
        <v>16</v>
      </c>
      <c r="AL41" t="s">
        <v>493</v>
      </c>
      <c r="AM41">
        <v>1</v>
      </c>
      <c r="AN41">
        <v>0</v>
      </c>
      <c r="AO41">
        <v>0</v>
      </c>
      <c r="AR41" t="s">
        <v>500</v>
      </c>
      <c r="AT41" t="s">
        <v>508</v>
      </c>
      <c r="AU41">
        <v>0</v>
      </c>
      <c r="AY41" t="s">
        <v>530</v>
      </c>
      <c r="BB41" t="s">
        <v>544</v>
      </c>
      <c r="BE41" t="s">
        <v>592</v>
      </c>
    </row>
    <row r="42" spans="1:58">
      <c r="A42" s="1">
        <f>HYPERLINK("https://lsnyc.legalserver.org/matter/dynamic-profile/view/1857343","18-1857343")</f>
        <v>0</v>
      </c>
      <c r="B42" t="s">
        <v>68</v>
      </c>
      <c r="C42" t="s">
        <v>80</v>
      </c>
      <c r="D42" t="s">
        <v>117</v>
      </c>
      <c r="F42" t="s">
        <v>162</v>
      </c>
      <c r="G42" t="s">
        <v>206</v>
      </c>
      <c r="H42" t="s">
        <v>252</v>
      </c>
      <c r="I42">
        <v>408</v>
      </c>
      <c r="J42" t="s">
        <v>288</v>
      </c>
      <c r="K42" t="s">
        <v>289</v>
      </c>
      <c r="L42">
        <v>11216</v>
      </c>
      <c r="M42" t="s">
        <v>290</v>
      </c>
      <c r="N42" t="s">
        <v>291</v>
      </c>
      <c r="P42" t="s">
        <v>332</v>
      </c>
      <c r="Q42">
        <v>0</v>
      </c>
      <c r="R42" t="s">
        <v>345</v>
      </c>
      <c r="S42" t="s">
        <v>347</v>
      </c>
      <c r="U42" t="s">
        <v>349</v>
      </c>
      <c r="V42" t="s">
        <v>350</v>
      </c>
      <c r="W42" t="s">
        <v>350</v>
      </c>
      <c r="Y42" t="s">
        <v>352</v>
      </c>
      <c r="AA42" t="s">
        <v>380</v>
      </c>
      <c r="AB42">
        <v>2018</v>
      </c>
      <c r="AC42">
        <v>0</v>
      </c>
      <c r="AD42">
        <v>0</v>
      </c>
      <c r="AE42">
        <v>68.90000000000001</v>
      </c>
      <c r="AF42" t="s">
        <v>381</v>
      </c>
      <c r="AH42" t="s">
        <v>421</v>
      </c>
      <c r="AJ42" t="s">
        <v>485</v>
      </c>
      <c r="AK42">
        <v>0</v>
      </c>
      <c r="AL42" t="s">
        <v>493</v>
      </c>
      <c r="AM42">
        <v>1</v>
      </c>
      <c r="AN42">
        <v>0</v>
      </c>
      <c r="AO42">
        <v>248.76</v>
      </c>
      <c r="AP42" t="s">
        <v>498</v>
      </c>
      <c r="AT42" t="s">
        <v>508</v>
      </c>
      <c r="AU42">
        <v>30000</v>
      </c>
      <c r="AY42" t="s">
        <v>68</v>
      </c>
      <c r="BB42" t="s">
        <v>537</v>
      </c>
      <c r="BE42" t="s">
        <v>593</v>
      </c>
      <c r="BF42" t="s">
        <v>600</v>
      </c>
    </row>
    <row r="43" spans="1:58">
      <c r="A43" s="1">
        <f>HYPERLINK("https://lsnyc.legalserver.org/matter/dynamic-profile/view/1865792","18-1865792")</f>
        <v>0</v>
      </c>
      <c r="B43" t="s">
        <v>78</v>
      </c>
      <c r="C43" t="s">
        <v>80</v>
      </c>
      <c r="D43" t="s">
        <v>118</v>
      </c>
      <c r="F43" t="s">
        <v>134</v>
      </c>
      <c r="G43" t="s">
        <v>207</v>
      </c>
      <c r="H43" t="s">
        <v>253</v>
      </c>
      <c r="J43" t="s">
        <v>288</v>
      </c>
      <c r="K43" t="s">
        <v>289</v>
      </c>
      <c r="L43">
        <v>11233</v>
      </c>
      <c r="M43" t="s">
        <v>290</v>
      </c>
      <c r="N43" t="s">
        <v>291</v>
      </c>
      <c r="Q43">
        <v>0</v>
      </c>
      <c r="S43" t="s">
        <v>346</v>
      </c>
      <c r="U43" t="s">
        <v>349</v>
      </c>
      <c r="V43" t="s">
        <v>350</v>
      </c>
      <c r="Y43" t="s">
        <v>352</v>
      </c>
      <c r="AA43" t="s">
        <v>380</v>
      </c>
      <c r="AB43">
        <v>2018</v>
      </c>
      <c r="AC43">
        <v>0</v>
      </c>
      <c r="AD43">
        <v>0</v>
      </c>
      <c r="AE43">
        <v>36.35</v>
      </c>
      <c r="AF43" t="s">
        <v>381</v>
      </c>
      <c r="AH43" t="s">
        <v>422</v>
      </c>
      <c r="AJ43" t="s">
        <v>486</v>
      </c>
      <c r="AK43">
        <v>0</v>
      </c>
      <c r="AM43">
        <v>1</v>
      </c>
      <c r="AN43">
        <v>0</v>
      </c>
      <c r="AO43">
        <v>95.68000000000001</v>
      </c>
      <c r="AR43" t="s">
        <v>500</v>
      </c>
      <c r="AT43" t="s">
        <v>508</v>
      </c>
      <c r="AU43">
        <v>11616</v>
      </c>
      <c r="AW43" t="s">
        <v>290</v>
      </c>
      <c r="AY43" t="s">
        <v>533</v>
      </c>
      <c r="BB43" t="s">
        <v>556</v>
      </c>
      <c r="BE43" t="s">
        <v>594</v>
      </c>
      <c r="BF43" t="s">
        <v>600</v>
      </c>
    </row>
    <row r="44" spans="1:58">
      <c r="A44" s="1">
        <f>HYPERLINK("https://lsnyc.legalserver.org/matter/dynamic-profile/view/1867910","18-1867910")</f>
        <v>0</v>
      </c>
      <c r="B44" t="s">
        <v>79</v>
      </c>
      <c r="C44" t="s">
        <v>80</v>
      </c>
      <c r="D44" t="s">
        <v>119</v>
      </c>
      <c r="F44" t="s">
        <v>163</v>
      </c>
      <c r="G44" t="s">
        <v>208</v>
      </c>
      <c r="H44" t="s">
        <v>254</v>
      </c>
      <c r="I44" t="s">
        <v>285</v>
      </c>
      <c r="J44" t="s">
        <v>288</v>
      </c>
      <c r="K44" t="s">
        <v>289</v>
      </c>
      <c r="L44">
        <v>11225</v>
      </c>
      <c r="M44" t="s">
        <v>290</v>
      </c>
      <c r="N44" t="s">
        <v>291</v>
      </c>
      <c r="O44" t="s">
        <v>292</v>
      </c>
      <c r="P44" t="s">
        <v>333</v>
      </c>
      <c r="Q44">
        <v>29</v>
      </c>
      <c r="R44" t="s">
        <v>340</v>
      </c>
      <c r="S44" t="s">
        <v>346</v>
      </c>
      <c r="U44" t="s">
        <v>348</v>
      </c>
      <c r="V44" t="s">
        <v>350</v>
      </c>
      <c r="W44" t="s">
        <v>350</v>
      </c>
      <c r="Y44" t="s">
        <v>352</v>
      </c>
      <c r="Z44" t="s">
        <v>356</v>
      </c>
      <c r="AA44" t="s">
        <v>380</v>
      </c>
      <c r="AB44">
        <v>2018</v>
      </c>
      <c r="AC44">
        <v>970.46</v>
      </c>
      <c r="AD44">
        <v>970.46</v>
      </c>
      <c r="AE44">
        <v>30.1</v>
      </c>
      <c r="AF44" t="s">
        <v>381</v>
      </c>
      <c r="AH44" t="s">
        <v>423</v>
      </c>
      <c r="AJ44" t="s">
        <v>487</v>
      </c>
      <c r="AK44">
        <v>72</v>
      </c>
      <c r="AL44" t="s">
        <v>493</v>
      </c>
      <c r="AM44">
        <v>2</v>
      </c>
      <c r="AN44">
        <v>0</v>
      </c>
      <c r="AO44">
        <v>200.49</v>
      </c>
      <c r="AP44" t="s">
        <v>499</v>
      </c>
      <c r="AR44" t="s">
        <v>500</v>
      </c>
      <c r="AS44" t="s">
        <v>503</v>
      </c>
      <c r="AT44" t="s">
        <v>509</v>
      </c>
      <c r="AU44">
        <v>33000</v>
      </c>
      <c r="AW44" t="s">
        <v>290</v>
      </c>
      <c r="AY44" t="s">
        <v>522</v>
      </c>
      <c r="AZ44" t="s">
        <v>535</v>
      </c>
      <c r="BB44" t="s">
        <v>537</v>
      </c>
      <c r="BE44" t="s">
        <v>595</v>
      </c>
      <c r="BF44" t="s">
        <v>600</v>
      </c>
    </row>
    <row r="45" spans="1:58">
      <c r="A45" s="1">
        <f>HYPERLINK("https://lsnyc.legalserver.org/matter/dynamic-profile/view/1870779","18-1870779")</f>
        <v>0</v>
      </c>
      <c r="B45" t="s">
        <v>66</v>
      </c>
      <c r="C45" t="s">
        <v>80</v>
      </c>
      <c r="D45" t="s">
        <v>120</v>
      </c>
      <c r="F45" t="s">
        <v>164</v>
      </c>
      <c r="G45" t="s">
        <v>209</v>
      </c>
      <c r="H45" t="s">
        <v>255</v>
      </c>
      <c r="I45">
        <v>2</v>
      </c>
      <c r="J45" t="s">
        <v>288</v>
      </c>
      <c r="K45" t="s">
        <v>289</v>
      </c>
      <c r="L45">
        <v>11225</v>
      </c>
      <c r="M45" t="s">
        <v>290</v>
      </c>
      <c r="N45" t="s">
        <v>291</v>
      </c>
      <c r="O45" t="s">
        <v>292</v>
      </c>
      <c r="P45" t="s">
        <v>334</v>
      </c>
      <c r="Q45">
        <v>24</v>
      </c>
      <c r="R45" t="s">
        <v>339</v>
      </c>
      <c r="S45" t="s">
        <v>346</v>
      </c>
      <c r="U45" t="s">
        <v>348</v>
      </c>
      <c r="V45" t="s">
        <v>350</v>
      </c>
      <c r="Y45" t="s">
        <v>352</v>
      </c>
      <c r="AA45" t="s">
        <v>380</v>
      </c>
      <c r="AB45">
        <v>2018</v>
      </c>
      <c r="AC45">
        <v>700</v>
      </c>
      <c r="AD45">
        <v>1505</v>
      </c>
      <c r="AE45">
        <v>13.5</v>
      </c>
      <c r="AF45" t="s">
        <v>381</v>
      </c>
      <c r="AH45" t="s">
        <v>424</v>
      </c>
      <c r="AJ45" t="s">
        <v>488</v>
      </c>
      <c r="AK45">
        <v>8</v>
      </c>
      <c r="AL45" t="s">
        <v>496</v>
      </c>
      <c r="AM45">
        <v>2</v>
      </c>
      <c r="AN45">
        <v>0</v>
      </c>
      <c r="AO45">
        <v>74.51000000000001</v>
      </c>
      <c r="AR45" t="s">
        <v>500</v>
      </c>
      <c r="AT45" t="s">
        <v>508</v>
      </c>
      <c r="AU45">
        <v>12264</v>
      </c>
      <c r="AW45" t="s">
        <v>290</v>
      </c>
      <c r="AY45" t="s">
        <v>522</v>
      </c>
      <c r="BB45" t="s">
        <v>548</v>
      </c>
      <c r="BE45" t="s">
        <v>596</v>
      </c>
    </row>
    <row r="46" spans="1:58">
      <c r="A46" s="1">
        <f>HYPERLINK("https://lsnyc.legalserver.org/matter/dynamic-profile/view/1868996","18-1868996")</f>
        <v>0</v>
      </c>
      <c r="B46" t="s">
        <v>79</v>
      </c>
      <c r="C46" t="s">
        <v>80</v>
      </c>
      <c r="D46" t="s">
        <v>121</v>
      </c>
      <c r="F46" t="s">
        <v>165</v>
      </c>
      <c r="G46" t="s">
        <v>210</v>
      </c>
      <c r="H46" t="s">
        <v>256</v>
      </c>
      <c r="I46" t="s">
        <v>286</v>
      </c>
      <c r="J46" t="s">
        <v>288</v>
      </c>
      <c r="K46" t="s">
        <v>289</v>
      </c>
      <c r="L46">
        <v>11216</v>
      </c>
      <c r="M46" t="s">
        <v>290</v>
      </c>
      <c r="N46" t="s">
        <v>291</v>
      </c>
      <c r="O46" t="s">
        <v>296</v>
      </c>
      <c r="P46" t="s">
        <v>335</v>
      </c>
      <c r="Q46">
        <v>22</v>
      </c>
      <c r="R46" t="s">
        <v>340</v>
      </c>
      <c r="S46" t="s">
        <v>346</v>
      </c>
      <c r="U46" t="s">
        <v>348</v>
      </c>
      <c r="V46" t="s">
        <v>350</v>
      </c>
      <c r="W46" t="s">
        <v>350</v>
      </c>
      <c r="Y46" t="s">
        <v>352</v>
      </c>
      <c r="Z46" t="s">
        <v>356</v>
      </c>
      <c r="AA46" t="s">
        <v>380</v>
      </c>
      <c r="AB46">
        <v>2018</v>
      </c>
      <c r="AC46">
        <v>151</v>
      </c>
      <c r="AD46">
        <v>1300</v>
      </c>
      <c r="AE46">
        <v>19.35</v>
      </c>
      <c r="AF46" t="s">
        <v>381</v>
      </c>
      <c r="AH46" t="s">
        <v>425</v>
      </c>
      <c r="AI46" t="s">
        <v>446</v>
      </c>
      <c r="AJ46" t="s">
        <v>489</v>
      </c>
      <c r="AK46">
        <v>64</v>
      </c>
      <c r="AL46" t="s">
        <v>497</v>
      </c>
      <c r="AM46">
        <v>3</v>
      </c>
      <c r="AN46">
        <v>0</v>
      </c>
      <c r="AO46">
        <v>98.73</v>
      </c>
      <c r="AR46" t="s">
        <v>501</v>
      </c>
      <c r="AS46" t="s">
        <v>507</v>
      </c>
      <c r="AT46" t="s">
        <v>508</v>
      </c>
      <c r="AU46">
        <v>20516</v>
      </c>
      <c r="AW46" t="s">
        <v>290</v>
      </c>
      <c r="AY46" t="s">
        <v>528</v>
      </c>
      <c r="BA46" t="s">
        <v>536</v>
      </c>
      <c r="BB46" t="s">
        <v>557</v>
      </c>
      <c r="BE46" t="s">
        <v>597</v>
      </c>
      <c r="BF46" t="s">
        <v>601</v>
      </c>
    </row>
    <row r="47" spans="1:58">
      <c r="A47" s="1">
        <f>HYPERLINK("https://lsnyc.legalserver.org/matter/dynamic-profile/view/1869119","18-1869119")</f>
        <v>0</v>
      </c>
      <c r="B47" t="s">
        <v>59</v>
      </c>
      <c r="C47" t="s">
        <v>80</v>
      </c>
      <c r="D47" t="s">
        <v>122</v>
      </c>
      <c r="F47" t="s">
        <v>166</v>
      </c>
      <c r="G47" t="s">
        <v>211</v>
      </c>
      <c r="H47" t="s">
        <v>257</v>
      </c>
      <c r="I47" t="s">
        <v>276</v>
      </c>
      <c r="J47" t="s">
        <v>288</v>
      </c>
      <c r="K47" t="s">
        <v>289</v>
      </c>
      <c r="L47">
        <v>11209</v>
      </c>
      <c r="M47" t="s">
        <v>290</v>
      </c>
      <c r="N47" t="s">
        <v>291</v>
      </c>
      <c r="O47" t="s">
        <v>297</v>
      </c>
      <c r="P47" t="s">
        <v>336</v>
      </c>
      <c r="Q47">
        <v>17</v>
      </c>
      <c r="R47" t="s">
        <v>339</v>
      </c>
      <c r="S47" t="s">
        <v>346</v>
      </c>
      <c r="U47" t="s">
        <v>349</v>
      </c>
      <c r="V47" t="s">
        <v>350</v>
      </c>
      <c r="W47" t="s">
        <v>350</v>
      </c>
      <c r="Y47" t="s">
        <v>352</v>
      </c>
      <c r="AA47" t="s">
        <v>380</v>
      </c>
      <c r="AB47">
        <v>2018</v>
      </c>
      <c r="AC47">
        <v>0</v>
      </c>
      <c r="AD47">
        <v>1064</v>
      </c>
      <c r="AE47">
        <v>84</v>
      </c>
      <c r="AF47" t="s">
        <v>381</v>
      </c>
      <c r="AH47" t="s">
        <v>426</v>
      </c>
      <c r="AJ47" t="s">
        <v>490</v>
      </c>
      <c r="AK47">
        <v>54</v>
      </c>
      <c r="AM47">
        <v>1</v>
      </c>
      <c r="AN47">
        <v>0</v>
      </c>
      <c r="AO47">
        <v>86.17</v>
      </c>
      <c r="AR47" t="s">
        <v>500</v>
      </c>
      <c r="AS47" t="s">
        <v>506</v>
      </c>
      <c r="AT47" t="s">
        <v>508</v>
      </c>
      <c r="AU47">
        <v>10461</v>
      </c>
      <c r="AW47" t="s">
        <v>290</v>
      </c>
      <c r="AY47" t="s">
        <v>522</v>
      </c>
      <c r="BB47" t="s">
        <v>548</v>
      </c>
      <c r="BE47" t="s">
        <v>598</v>
      </c>
    </row>
    <row r="48" spans="1:58">
      <c r="A48" s="1">
        <f>HYPERLINK("https://lsnyc.legalserver.org/matter/dynamic-profile/view/1868556","18-1868556")</f>
        <v>0</v>
      </c>
      <c r="B48" t="s">
        <v>72</v>
      </c>
      <c r="C48" t="s">
        <v>80</v>
      </c>
      <c r="D48" t="s">
        <v>123</v>
      </c>
      <c r="F48" t="s">
        <v>167</v>
      </c>
      <c r="G48" t="s">
        <v>212</v>
      </c>
      <c r="H48" t="s">
        <v>258</v>
      </c>
      <c r="I48" t="s">
        <v>287</v>
      </c>
      <c r="J48" t="s">
        <v>288</v>
      </c>
      <c r="K48" t="s">
        <v>289</v>
      </c>
      <c r="L48">
        <v>11206</v>
      </c>
      <c r="M48" t="s">
        <v>290</v>
      </c>
      <c r="N48" t="s">
        <v>291</v>
      </c>
      <c r="O48" t="s">
        <v>293</v>
      </c>
      <c r="P48" t="s">
        <v>337</v>
      </c>
      <c r="Q48">
        <v>16</v>
      </c>
      <c r="S48" t="s">
        <v>346</v>
      </c>
      <c r="U48" t="s">
        <v>349</v>
      </c>
      <c r="V48" t="s">
        <v>350</v>
      </c>
      <c r="W48" t="s">
        <v>350</v>
      </c>
      <c r="Y48" t="s">
        <v>354</v>
      </c>
      <c r="AA48" t="s">
        <v>380</v>
      </c>
      <c r="AB48">
        <v>2018</v>
      </c>
      <c r="AC48">
        <v>332</v>
      </c>
      <c r="AD48">
        <v>332</v>
      </c>
      <c r="AE48">
        <v>37.6</v>
      </c>
      <c r="AF48" t="s">
        <v>381</v>
      </c>
      <c r="AH48" t="s">
        <v>427</v>
      </c>
      <c r="AI48">
        <v>8287453</v>
      </c>
      <c r="AJ48" t="s">
        <v>491</v>
      </c>
      <c r="AK48">
        <v>240</v>
      </c>
      <c r="AL48" t="s">
        <v>494</v>
      </c>
      <c r="AM48">
        <v>1</v>
      </c>
      <c r="AN48">
        <v>0</v>
      </c>
      <c r="AO48">
        <v>117.79</v>
      </c>
      <c r="AR48" t="s">
        <v>500</v>
      </c>
      <c r="AS48" t="s">
        <v>503</v>
      </c>
      <c r="AT48" t="s">
        <v>508</v>
      </c>
      <c r="AU48">
        <v>14300</v>
      </c>
      <c r="AY48" t="s">
        <v>529</v>
      </c>
      <c r="BB48" t="s">
        <v>540</v>
      </c>
      <c r="BE48" t="s">
        <v>599</v>
      </c>
    </row>
    <row r="49" spans="1:57">
      <c r="A49" s="1">
        <f>HYPERLINK("https://lsnyc.legalserver.org/matter/dynamic-profile/view/1868821","18-1868821")</f>
        <v>0</v>
      </c>
      <c r="B49" t="s">
        <v>59</v>
      </c>
      <c r="C49" t="s">
        <v>80</v>
      </c>
      <c r="D49" t="s">
        <v>124</v>
      </c>
      <c r="F49" t="s">
        <v>168</v>
      </c>
      <c r="G49" t="s">
        <v>213</v>
      </c>
      <c r="H49" t="s">
        <v>259</v>
      </c>
      <c r="J49" t="s">
        <v>288</v>
      </c>
      <c r="K49" t="s">
        <v>289</v>
      </c>
      <c r="L49">
        <v>11203</v>
      </c>
      <c r="M49" t="s">
        <v>290</v>
      </c>
      <c r="N49" t="s">
        <v>291</v>
      </c>
      <c r="O49" t="s">
        <v>292</v>
      </c>
      <c r="P49" t="s">
        <v>338</v>
      </c>
      <c r="Q49">
        <v>18</v>
      </c>
      <c r="R49" t="s">
        <v>340</v>
      </c>
      <c r="S49" t="s">
        <v>346</v>
      </c>
      <c r="U49" t="s">
        <v>348</v>
      </c>
      <c r="V49" t="s">
        <v>350</v>
      </c>
      <c r="W49" t="s">
        <v>350</v>
      </c>
      <c r="Y49" t="s">
        <v>352</v>
      </c>
      <c r="AA49" t="s">
        <v>380</v>
      </c>
      <c r="AB49">
        <v>2018</v>
      </c>
      <c r="AC49">
        <v>1500</v>
      </c>
      <c r="AD49">
        <v>2300</v>
      </c>
      <c r="AE49">
        <v>13.7</v>
      </c>
      <c r="AF49" t="s">
        <v>381</v>
      </c>
      <c r="AH49" t="s">
        <v>428</v>
      </c>
      <c r="AI49" t="s">
        <v>447</v>
      </c>
      <c r="AJ49" t="s">
        <v>492</v>
      </c>
      <c r="AK49">
        <v>0</v>
      </c>
      <c r="AM49">
        <v>3</v>
      </c>
      <c r="AN49">
        <v>2</v>
      </c>
      <c r="AO49">
        <v>139.48</v>
      </c>
      <c r="AR49" t="s">
        <v>501</v>
      </c>
      <c r="AS49" t="s">
        <v>503</v>
      </c>
      <c r="AT49" t="s">
        <v>508</v>
      </c>
      <c r="AU49">
        <v>41036</v>
      </c>
      <c r="AW49" t="s">
        <v>290</v>
      </c>
      <c r="AY49" t="s">
        <v>528</v>
      </c>
      <c r="BB49" t="s">
        <v>558</v>
      </c>
      <c r="BE49" t="s">
        <v>578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602</v>
      </c>
      <c r="B1" s="2" t="s">
        <v>603</v>
      </c>
    </row>
    <row r="3" spans="1:2">
      <c r="A3" s="1" t="s">
        <v>604</v>
      </c>
      <c r="B3" t="s">
        <v>615</v>
      </c>
    </row>
    <row r="4" spans="1:2">
      <c r="A4" s="1" t="s">
        <v>605</v>
      </c>
      <c r="B4">
        <v>3</v>
      </c>
    </row>
    <row r="5" spans="1:2">
      <c r="A5" s="1" t="s">
        <v>606</v>
      </c>
      <c r="B5">
        <v>53</v>
      </c>
    </row>
    <row r="6" spans="1:2">
      <c r="A6" s="1" t="s">
        <v>607</v>
      </c>
      <c r="B6">
        <v>22</v>
      </c>
    </row>
    <row r="7" spans="1:2">
      <c r="A7" s="1" t="s">
        <v>608</v>
      </c>
      <c r="B7">
        <v>2</v>
      </c>
    </row>
    <row r="8" spans="1:2">
      <c r="A8" s="1" t="s">
        <v>609</v>
      </c>
      <c r="B8">
        <v>1</v>
      </c>
    </row>
    <row r="9" spans="1:2">
      <c r="A9" s="1" t="s">
        <v>610</v>
      </c>
      <c r="B9">
        <v>1</v>
      </c>
    </row>
    <row r="10" spans="1:2">
      <c r="A10" s="1" t="s">
        <v>611</v>
      </c>
      <c r="B10">
        <v>3</v>
      </c>
    </row>
    <row r="11" spans="1:2">
      <c r="A11" s="1" t="s">
        <v>612</v>
      </c>
      <c r="B11">
        <v>3</v>
      </c>
    </row>
    <row r="12" spans="1:2">
      <c r="A12" s="1" t="s">
        <v>613</v>
      </c>
      <c r="B12">
        <v>323</v>
      </c>
    </row>
    <row r="13" spans="1:2">
      <c r="A13" s="1" t="s">
        <v>614</v>
      </c>
      <c r="B13">
        <v>411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F412"/>
  <sheetViews>
    <sheetView workbookViewId="0"/>
  </sheetViews>
  <sheetFormatPr defaultRowHeight="15"/>
  <cols>
    <col min="1" max="1" width="20.7109375" style="1" customWidth="1"/>
  </cols>
  <sheetData>
    <row r="1" spans="1:58">
      <c r="A1" s="2" t="s">
        <v>0</v>
      </c>
      <c r="B1" s="2" t="s">
        <v>32</v>
      </c>
      <c r="C1" s="2" t="s">
        <v>54</v>
      </c>
      <c r="D1" s="2" t="s">
        <v>55</v>
      </c>
      <c r="E1" s="2" t="s">
        <v>31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616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56</v>
      </c>
      <c r="BF1" s="2" t="s">
        <v>57</v>
      </c>
    </row>
    <row r="2" spans="1:58">
      <c r="A2" s="1">
        <f>HYPERLINK("https://lsnyc.legalserver.org/matter/dynamic-profile/view/1884869","18-1884869")</f>
        <v>0</v>
      </c>
      <c r="B2" t="s">
        <v>605</v>
      </c>
      <c r="E2" t="s">
        <v>381</v>
      </c>
      <c r="F2" t="s">
        <v>69</v>
      </c>
      <c r="G2" t="s">
        <v>636</v>
      </c>
      <c r="H2" t="s">
        <v>637</v>
      </c>
      <c r="I2" t="s">
        <v>806</v>
      </c>
      <c r="J2" t="s">
        <v>828</v>
      </c>
      <c r="K2" t="s">
        <v>887</v>
      </c>
      <c r="L2" t="s">
        <v>1474</v>
      </c>
      <c r="M2" t="s">
        <v>1841</v>
      </c>
      <c r="N2" t="s">
        <v>288</v>
      </c>
      <c r="O2" t="s">
        <v>289</v>
      </c>
      <c r="P2">
        <v>11212</v>
      </c>
      <c r="Q2" t="s">
        <v>290</v>
      </c>
      <c r="R2" t="s">
        <v>291</v>
      </c>
      <c r="S2" t="s">
        <v>293</v>
      </c>
      <c r="T2" t="s">
        <v>2035</v>
      </c>
      <c r="U2">
        <v>-1</v>
      </c>
      <c r="V2" t="s">
        <v>339</v>
      </c>
      <c r="W2" t="s">
        <v>346</v>
      </c>
      <c r="X2" t="s">
        <v>2438</v>
      </c>
      <c r="Y2" t="s">
        <v>349</v>
      </c>
      <c r="Z2" t="s">
        <v>350</v>
      </c>
      <c r="AA2" t="s">
        <v>350</v>
      </c>
      <c r="AC2" t="s">
        <v>353</v>
      </c>
      <c r="AD2" t="s">
        <v>356</v>
      </c>
      <c r="AE2" t="s">
        <v>2447</v>
      </c>
      <c r="AF2">
        <v>2019</v>
      </c>
      <c r="AG2">
        <v>0</v>
      </c>
      <c r="AH2">
        <v>855</v>
      </c>
      <c r="AI2">
        <v>5.1</v>
      </c>
      <c r="AJ2" t="s">
        <v>2506</v>
      </c>
      <c r="AL2" t="s">
        <v>2956</v>
      </c>
      <c r="AM2">
        <v>111</v>
      </c>
      <c r="AN2" t="s">
        <v>494</v>
      </c>
      <c r="AO2">
        <v>1</v>
      </c>
      <c r="AP2">
        <v>1</v>
      </c>
      <c r="AQ2">
        <v>48.77</v>
      </c>
      <c r="AU2" t="s">
        <v>3330</v>
      </c>
      <c r="AV2" t="s">
        <v>508</v>
      </c>
      <c r="AW2">
        <v>8028</v>
      </c>
      <c r="BA2" t="s">
        <v>3341</v>
      </c>
      <c r="BB2" t="s">
        <v>535</v>
      </c>
      <c r="BC2" t="s">
        <v>299</v>
      </c>
      <c r="BD2" t="s">
        <v>3356</v>
      </c>
      <c r="BE2" t="s">
        <v>806</v>
      </c>
    </row>
    <row r="3" spans="1:58">
      <c r="A3" s="1">
        <f>HYPERLINK("https://lsnyc.legalserver.org/matter/dynamic-profile/view/1894755","19-1894755")</f>
        <v>0</v>
      </c>
      <c r="B3" t="s">
        <v>605</v>
      </c>
      <c r="E3" t="s">
        <v>381</v>
      </c>
      <c r="F3" t="s">
        <v>64</v>
      </c>
      <c r="G3" t="s">
        <v>636</v>
      </c>
      <c r="H3" t="s">
        <v>638</v>
      </c>
      <c r="I3" t="s">
        <v>597</v>
      </c>
      <c r="J3" t="s">
        <v>829</v>
      </c>
      <c r="K3" t="s">
        <v>1147</v>
      </c>
      <c r="L3" t="s">
        <v>1475</v>
      </c>
      <c r="M3" t="s">
        <v>1842</v>
      </c>
      <c r="N3" t="s">
        <v>288</v>
      </c>
      <c r="O3" t="s">
        <v>289</v>
      </c>
      <c r="P3">
        <v>11213</v>
      </c>
      <c r="Q3" t="s">
        <v>290</v>
      </c>
      <c r="R3" t="s">
        <v>290</v>
      </c>
      <c r="S3" t="s">
        <v>295</v>
      </c>
      <c r="T3" t="s">
        <v>2036</v>
      </c>
      <c r="U3">
        <v>13</v>
      </c>
      <c r="V3" t="s">
        <v>339</v>
      </c>
      <c r="W3" t="s">
        <v>346</v>
      </c>
      <c r="X3" t="s">
        <v>2438</v>
      </c>
      <c r="Y3" t="s">
        <v>349</v>
      </c>
      <c r="Z3" t="s">
        <v>350</v>
      </c>
      <c r="AC3" t="s">
        <v>353</v>
      </c>
      <c r="AE3" t="s">
        <v>372</v>
      </c>
      <c r="AF3">
        <v>2019</v>
      </c>
      <c r="AG3">
        <v>0</v>
      </c>
      <c r="AH3">
        <v>1385</v>
      </c>
      <c r="AI3">
        <v>14.6</v>
      </c>
      <c r="AJ3" t="s">
        <v>2507</v>
      </c>
      <c r="AK3" t="s">
        <v>2899</v>
      </c>
      <c r="AL3" t="s">
        <v>2957</v>
      </c>
      <c r="AM3">
        <v>0</v>
      </c>
      <c r="AO3">
        <v>2</v>
      </c>
      <c r="AP3">
        <v>3</v>
      </c>
      <c r="AQ3">
        <v>35.12</v>
      </c>
      <c r="AT3" t="s">
        <v>501</v>
      </c>
      <c r="AV3" t="s">
        <v>508</v>
      </c>
      <c r="AW3">
        <v>10596</v>
      </c>
      <c r="BA3" t="s">
        <v>3342</v>
      </c>
      <c r="BD3" t="s">
        <v>3357</v>
      </c>
      <c r="BE3" t="s">
        <v>597</v>
      </c>
      <c r="BF3" t="s">
        <v>600</v>
      </c>
    </row>
    <row r="4" spans="1:58">
      <c r="A4" s="1">
        <f>HYPERLINK("https://lsnyc.legalserver.org/matter/dynamic-profile/view/1897651","19-1897651")</f>
        <v>0</v>
      </c>
      <c r="B4" t="s">
        <v>605</v>
      </c>
      <c r="E4" t="s">
        <v>381</v>
      </c>
      <c r="F4" t="s">
        <v>618</v>
      </c>
      <c r="G4" t="s">
        <v>636</v>
      </c>
      <c r="H4" t="s">
        <v>639</v>
      </c>
      <c r="I4" t="s">
        <v>807</v>
      </c>
      <c r="J4" t="s">
        <v>830</v>
      </c>
      <c r="K4" t="s">
        <v>1148</v>
      </c>
      <c r="L4" t="s">
        <v>1476</v>
      </c>
      <c r="M4" t="s">
        <v>1843</v>
      </c>
      <c r="N4" t="s">
        <v>288</v>
      </c>
      <c r="O4" t="s">
        <v>289</v>
      </c>
      <c r="P4">
        <v>11206</v>
      </c>
      <c r="Q4" t="s">
        <v>290</v>
      </c>
      <c r="R4" t="s">
        <v>290</v>
      </c>
      <c r="S4" t="s">
        <v>295</v>
      </c>
      <c r="T4" t="s">
        <v>2037</v>
      </c>
      <c r="U4">
        <v>20</v>
      </c>
      <c r="V4" t="s">
        <v>340</v>
      </c>
      <c r="W4" t="s">
        <v>346</v>
      </c>
      <c r="X4" t="s">
        <v>2438</v>
      </c>
      <c r="Y4" t="s">
        <v>349</v>
      </c>
      <c r="Z4" t="s">
        <v>350</v>
      </c>
      <c r="AA4" t="s">
        <v>350</v>
      </c>
      <c r="AC4" t="s">
        <v>353</v>
      </c>
      <c r="AE4" t="s">
        <v>357</v>
      </c>
      <c r="AF4">
        <v>2019</v>
      </c>
      <c r="AG4">
        <v>0</v>
      </c>
      <c r="AH4">
        <v>261</v>
      </c>
      <c r="AI4">
        <v>47.8</v>
      </c>
      <c r="AJ4" t="s">
        <v>2508</v>
      </c>
      <c r="AL4" t="s">
        <v>2958</v>
      </c>
      <c r="AM4">
        <v>488</v>
      </c>
      <c r="AN4" t="s">
        <v>495</v>
      </c>
      <c r="AO4">
        <v>1</v>
      </c>
      <c r="AP4">
        <v>0</v>
      </c>
      <c r="AQ4">
        <v>0</v>
      </c>
      <c r="AU4" t="s">
        <v>503</v>
      </c>
      <c r="AV4" t="s">
        <v>508</v>
      </c>
      <c r="AW4">
        <v>0</v>
      </c>
      <c r="BA4" t="s">
        <v>3341</v>
      </c>
      <c r="BD4" t="s">
        <v>544</v>
      </c>
      <c r="BE4" t="s">
        <v>807</v>
      </c>
      <c r="BF4" t="s">
        <v>600</v>
      </c>
    </row>
    <row r="5" spans="1:58">
      <c r="A5" s="1">
        <f>HYPERLINK("https://lsnyc.legalserver.org/matter/dynamic-profile/view/1876612","18-1876612")</f>
        <v>0</v>
      </c>
      <c r="B5" t="s">
        <v>606</v>
      </c>
      <c r="E5" t="s">
        <v>381</v>
      </c>
      <c r="F5" t="s">
        <v>72</v>
      </c>
      <c r="G5" t="s">
        <v>636</v>
      </c>
      <c r="H5" t="s">
        <v>640</v>
      </c>
      <c r="I5" t="s">
        <v>586</v>
      </c>
      <c r="J5" t="s">
        <v>831</v>
      </c>
      <c r="K5" t="s">
        <v>1149</v>
      </c>
      <c r="L5" t="s">
        <v>1477</v>
      </c>
      <c r="M5" t="s">
        <v>1844</v>
      </c>
      <c r="N5" t="s">
        <v>288</v>
      </c>
      <c r="O5" t="s">
        <v>289</v>
      </c>
      <c r="P5">
        <v>11225</v>
      </c>
      <c r="Q5" t="s">
        <v>290</v>
      </c>
      <c r="R5" t="s">
        <v>290</v>
      </c>
      <c r="S5" t="s">
        <v>292</v>
      </c>
      <c r="T5" t="s">
        <v>2038</v>
      </c>
      <c r="U5">
        <v>15</v>
      </c>
      <c r="V5" t="s">
        <v>339</v>
      </c>
      <c r="W5" t="s">
        <v>346</v>
      </c>
      <c r="X5" t="s">
        <v>2438</v>
      </c>
      <c r="Y5" t="s">
        <v>348</v>
      </c>
      <c r="Z5" t="s">
        <v>350</v>
      </c>
      <c r="AA5" t="s">
        <v>350</v>
      </c>
      <c r="AC5" t="s">
        <v>352</v>
      </c>
      <c r="AE5" t="s">
        <v>2448</v>
      </c>
      <c r="AF5">
        <v>2018</v>
      </c>
      <c r="AG5">
        <v>1218.89</v>
      </c>
      <c r="AH5">
        <v>1218.89</v>
      </c>
      <c r="AI5">
        <v>24.9</v>
      </c>
      <c r="AJ5" t="s">
        <v>2509</v>
      </c>
      <c r="AL5" t="s">
        <v>2959</v>
      </c>
      <c r="AM5">
        <v>22</v>
      </c>
      <c r="AN5" t="s">
        <v>493</v>
      </c>
      <c r="AO5">
        <v>1</v>
      </c>
      <c r="AP5">
        <v>0</v>
      </c>
      <c r="AQ5">
        <v>123.56</v>
      </c>
      <c r="AT5" t="s">
        <v>501</v>
      </c>
      <c r="AU5" t="s">
        <v>3330</v>
      </c>
      <c r="AV5" t="s">
        <v>508</v>
      </c>
      <c r="AW5">
        <v>15000</v>
      </c>
      <c r="BA5" t="s">
        <v>522</v>
      </c>
      <c r="BB5" t="s">
        <v>3350</v>
      </c>
      <c r="BC5" t="s">
        <v>3354</v>
      </c>
      <c r="BD5" t="s">
        <v>3358</v>
      </c>
      <c r="BE5" t="s">
        <v>674</v>
      </c>
    </row>
    <row r="6" spans="1:58">
      <c r="A6" s="1">
        <f>HYPERLINK("https://lsnyc.legalserver.org/matter/dynamic-profile/view/1884476","18-1884476")</f>
        <v>0</v>
      </c>
      <c r="B6" t="s">
        <v>606</v>
      </c>
      <c r="E6" t="s">
        <v>381</v>
      </c>
      <c r="F6" t="s">
        <v>60</v>
      </c>
      <c r="G6" t="s">
        <v>636</v>
      </c>
      <c r="H6" t="s">
        <v>641</v>
      </c>
      <c r="I6" t="s">
        <v>808</v>
      </c>
      <c r="J6" t="s">
        <v>832</v>
      </c>
      <c r="K6" t="s">
        <v>1150</v>
      </c>
      <c r="L6" t="s">
        <v>1478</v>
      </c>
      <c r="M6" t="s">
        <v>276</v>
      </c>
      <c r="N6" t="s">
        <v>288</v>
      </c>
      <c r="O6" t="s">
        <v>289</v>
      </c>
      <c r="P6">
        <v>11226</v>
      </c>
      <c r="Q6" t="s">
        <v>290</v>
      </c>
      <c r="R6" t="s">
        <v>290</v>
      </c>
      <c r="S6" t="s">
        <v>295</v>
      </c>
      <c r="T6" t="s">
        <v>2039</v>
      </c>
      <c r="U6">
        <v>6</v>
      </c>
      <c r="V6" t="s">
        <v>339</v>
      </c>
      <c r="W6" t="s">
        <v>346</v>
      </c>
      <c r="X6" t="s">
        <v>2439</v>
      </c>
      <c r="Y6" t="s">
        <v>348</v>
      </c>
      <c r="Z6" t="s">
        <v>350</v>
      </c>
      <c r="AA6" t="s">
        <v>350</v>
      </c>
      <c r="AC6" t="s">
        <v>352</v>
      </c>
      <c r="AD6" t="s">
        <v>356</v>
      </c>
      <c r="AE6" t="s">
        <v>367</v>
      </c>
      <c r="AF6">
        <v>2018</v>
      </c>
      <c r="AG6">
        <v>0</v>
      </c>
      <c r="AH6">
        <v>1047</v>
      </c>
      <c r="AI6">
        <v>21.1</v>
      </c>
      <c r="AJ6" t="s">
        <v>2510</v>
      </c>
      <c r="AL6" t="s">
        <v>2960</v>
      </c>
      <c r="AM6">
        <v>8</v>
      </c>
      <c r="AN6" t="s">
        <v>493</v>
      </c>
      <c r="AO6">
        <v>1</v>
      </c>
      <c r="AP6">
        <v>0</v>
      </c>
      <c r="AQ6">
        <v>181.22</v>
      </c>
      <c r="AT6" t="s">
        <v>500</v>
      </c>
      <c r="AU6" t="s">
        <v>507</v>
      </c>
      <c r="AV6" t="s">
        <v>508</v>
      </c>
      <c r="AW6">
        <v>22000</v>
      </c>
      <c r="BA6" t="s">
        <v>3341</v>
      </c>
      <c r="BD6" t="s">
        <v>537</v>
      </c>
      <c r="BE6" t="s">
        <v>808</v>
      </c>
    </row>
    <row r="7" spans="1:58">
      <c r="A7" s="1">
        <f>HYPERLINK("https://lsnyc.legalserver.org/matter/dynamic-profile/view/1878745","18-1878745")</f>
        <v>0</v>
      </c>
      <c r="B7" t="s">
        <v>606</v>
      </c>
      <c r="E7" t="s">
        <v>381</v>
      </c>
      <c r="F7" t="s">
        <v>60</v>
      </c>
      <c r="G7" t="s">
        <v>636</v>
      </c>
      <c r="H7" t="s">
        <v>642</v>
      </c>
      <c r="I7" t="s">
        <v>590</v>
      </c>
      <c r="J7" t="s">
        <v>833</v>
      </c>
      <c r="K7" t="s">
        <v>1151</v>
      </c>
      <c r="L7" t="s">
        <v>1479</v>
      </c>
      <c r="M7" t="s">
        <v>1845</v>
      </c>
      <c r="N7" t="s">
        <v>288</v>
      </c>
      <c r="O7" t="s">
        <v>289</v>
      </c>
      <c r="P7">
        <v>11225</v>
      </c>
      <c r="Q7" t="s">
        <v>290</v>
      </c>
      <c r="R7" t="s">
        <v>290</v>
      </c>
      <c r="S7" t="s">
        <v>292</v>
      </c>
      <c r="T7" t="s">
        <v>2040</v>
      </c>
      <c r="U7">
        <v>18</v>
      </c>
      <c r="V7" t="s">
        <v>340</v>
      </c>
      <c r="W7" t="s">
        <v>346</v>
      </c>
      <c r="X7" t="s">
        <v>2438</v>
      </c>
      <c r="Y7" t="s">
        <v>348</v>
      </c>
      <c r="Z7" t="s">
        <v>350</v>
      </c>
      <c r="AA7" t="s">
        <v>350</v>
      </c>
      <c r="AC7" t="s">
        <v>352</v>
      </c>
      <c r="AD7" t="s">
        <v>356</v>
      </c>
      <c r="AE7" t="s">
        <v>367</v>
      </c>
      <c r="AF7">
        <v>2018</v>
      </c>
      <c r="AG7">
        <v>1060</v>
      </c>
      <c r="AH7">
        <v>1060</v>
      </c>
      <c r="AI7">
        <v>61.7</v>
      </c>
      <c r="AJ7" t="s">
        <v>2511</v>
      </c>
      <c r="AL7" t="s">
        <v>2961</v>
      </c>
      <c r="AM7">
        <v>222</v>
      </c>
      <c r="AN7" t="s">
        <v>493</v>
      </c>
      <c r="AO7">
        <v>2</v>
      </c>
      <c r="AP7">
        <v>0</v>
      </c>
      <c r="AQ7">
        <v>135.97</v>
      </c>
      <c r="AT7" t="s">
        <v>500</v>
      </c>
      <c r="AU7" t="s">
        <v>503</v>
      </c>
      <c r="AV7" t="s">
        <v>508</v>
      </c>
      <c r="AW7">
        <v>22380</v>
      </c>
      <c r="BA7" t="s">
        <v>3341</v>
      </c>
      <c r="BD7" t="s">
        <v>547</v>
      </c>
      <c r="BE7" t="s">
        <v>590</v>
      </c>
    </row>
    <row r="8" spans="1:58">
      <c r="A8" s="1">
        <f>HYPERLINK("https://lsnyc.legalserver.org/matter/dynamic-profile/view/1883451","18-1883451")</f>
        <v>0</v>
      </c>
      <c r="B8" t="s">
        <v>606</v>
      </c>
      <c r="E8" t="s">
        <v>381</v>
      </c>
      <c r="F8" t="s">
        <v>72</v>
      </c>
      <c r="G8" t="s">
        <v>636</v>
      </c>
      <c r="H8" t="s">
        <v>643</v>
      </c>
      <c r="I8" t="s">
        <v>586</v>
      </c>
      <c r="J8" t="s">
        <v>834</v>
      </c>
      <c r="K8" t="s">
        <v>1152</v>
      </c>
      <c r="L8" t="s">
        <v>1480</v>
      </c>
      <c r="M8" t="s">
        <v>1846</v>
      </c>
      <c r="N8" t="s">
        <v>288</v>
      </c>
      <c r="O8" t="s">
        <v>289</v>
      </c>
      <c r="P8">
        <v>11221</v>
      </c>
      <c r="Q8" t="s">
        <v>290</v>
      </c>
      <c r="R8" t="s">
        <v>290</v>
      </c>
      <c r="S8" t="s">
        <v>292</v>
      </c>
      <c r="T8" t="s">
        <v>2041</v>
      </c>
      <c r="U8">
        <v>0</v>
      </c>
      <c r="V8" t="s">
        <v>340</v>
      </c>
      <c r="W8" t="s">
        <v>346</v>
      </c>
      <c r="X8" t="s">
        <v>2438</v>
      </c>
      <c r="Y8" t="s">
        <v>348</v>
      </c>
      <c r="Z8" t="s">
        <v>350</v>
      </c>
      <c r="AC8" t="s">
        <v>352</v>
      </c>
      <c r="AE8" t="s">
        <v>367</v>
      </c>
      <c r="AF8">
        <v>2018</v>
      </c>
      <c r="AG8">
        <v>0</v>
      </c>
      <c r="AH8">
        <v>1600</v>
      </c>
      <c r="AI8">
        <v>29.85</v>
      </c>
      <c r="AJ8" t="s">
        <v>2512</v>
      </c>
      <c r="AL8" t="s">
        <v>2962</v>
      </c>
      <c r="AM8">
        <v>0</v>
      </c>
      <c r="AO8">
        <v>2</v>
      </c>
      <c r="AP8">
        <v>1</v>
      </c>
      <c r="AQ8">
        <v>196.34</v>
      </c>
      <c r="AT8" t="s">
        <v>501</v>
      </c>
      <c r="AV8" t="s">
        <v>508</v>
      </c>
      <c r="AW8">
        <v>40800</v>
      </c>
      <c r="BA8" t="s">
        <v>522</v>
      </c>
      <c r="BD8" t="s">
        <v>540</v>
      </c>
      <c r="BE8" t="s">
        <v>3422</v>
      </c>
    </row>
    <row r="9" spans="1:58">
      <c r="A9" s="1">
        <f>HYPERLINK("https://lsnyc.legalserver.org/matter/dynamic-profile/view/1881041","18-1881041")</f>
        <v>0</v>
      </c>
      <c r="B9" t="s">
        <v>606</v>
      </c>
      <c r="E9" t="s">
        <v>381</v>
      </c>
      <c r="F9" t="s">
        <v>619</v>
      </c>
      <c r="G9" t="s">
        <v>636</v>
      </c>
      <c r="H9" t="s">
        <v>644</v>
      </c>
      <c r="I9" t="s">
        <v>586</v>
      </c>
      <c r="J9" t="s">
        <v>148</v>
      </c>
      <c r="K9" t="s">
        <v>1153</v>
      </c>
      <c r="L9" t="s">
        <v>1481</v>
      </c>
      <c r="M9" t="s">
        <v>1847</v>
      </c>
      <c r="N9" t="s">
        <v>288</v>
      </c>
      <c r="O9" t="s">
        <v>289</v>
      </c>
      <c r="P9">
        <v>11216</v>
      </c>
      <c r="Q9" t="s">
        <v>290</v>
      </c>
      <c r="R9" t="s">
        <v>290</v>
      </c>
      <c r="S9" t="s">
        <v>292</v>
      </c>
      <c r="T9" t="s">
        <v>2042</v>
      </c>
      <c r="U9">
        <v>40</v>
      </c>
      <c r="V9" t="s">
        <v>339</v>
      </c>
      <c r="W9" t="s">
        <v>346</v>
      </c>
      <c r="X9" t="s">
        <v>2438</v>
      </c>
      <c r="Y9" t="s">
        <v>348</v>
      </c>
      <c r="Z9" t="s">
        <v>350</v>
      </c>
      <c r="AC9" t="s">
        <v>352</v>
      </c>
      <c r="AD9" t="s">
        <v>356</v>
      </c>
      <c r="AE9" t="s">
        <v>367</v>
      </c>
      <c r="AF9">
        <v>2018</v>
      </c>
      <c r="AG9">
        <v>0</v>
      </c>
      <c r="AH9">
        <v>829</v>
      </c>
      <c r="AI9">
        <v>5.5</v>
      </c>
      <c r="AJ9" t="s">
        <v>2513</v>
      </c>
      <c r="AM9">
        <v>136</v>
      </c>
      <c r="AO9">
        <v>2</v>
      </c>
      <c r="AP9">
        <v>0</v>
      </c>
      <c r="AQ9">
        <v>3.32</v>
      </c>
      <c r="AT9" t="s">
        <v>500</v>
      </c>
      <c r="AU9" t="s">
        <v>507</v>
      </c>
      <c r="AV9" t="s">
        <v>508</v>
      </c>
      <c r="AW9">
        <v>546</v>
      </c>
      <c r="BA9" t="s">
        <v>522</v>
      </c>
      <c r="BD9" t="s">
        <v>540</v>
      </c>
      <c r="BE9" t="s">
        <v>662</v>
      </c>
    </row>
    <row r="10" spans="1:58">
      <c r="A10" s="1">
        <f>HYPERLINK("https://lsnyc.legalserver.org/matter/dynamic-profile/view/1883704","18-1883704")</f>
        <v>0</v>
      </c>
      <c r="B10" t="s">
        <v>606</v>
      </c>
      <c r="E10" t="s">
        <v>381</v>
      </c>
      <c r="F10" t="s">
        <v>68</v>
      </c>
      <c r="G10" t="s">
        <v>636</v>
      </c>
      <c r="H10" t="s">
        <v>645</v>
      </c>
      <c r="I10" t="s">
        <v>809</v>
      </c>
      <c r="J10" t="s">
        <v>835</v>
      </c>
      <c r="K10" t="s">
        <v>1154</v>
      </c>
      <c r="L10" t="s">
        <v>1482</v>
      </c>
      <c r="M10" t="s">
        <v>1848</v>
      </c>
      <c r="N10" t="s">
        <v>288</v>
      </c>
      <c r="O10" t="s">
        <v>289</v>
      </c>
      <c r="P10">
        <v>11221</v>
      </c>
      <c r="Q10" t="s">
        <v>290</v>
      </c>
      <c r="R10" t="s">
        <v>290</v>
      </c>
      <c r="S10" t="s">
        <v>292</v>
      </c>
      <c r="T10" t="s">
        <v>2043</v>
      </c>
      <c r="U10">
        <v>9</v>
      </c>
      <c r="V10" t="s">
        <v>339</v>
      </c>
      <c r="W10" t="s">
        <v>346</v>
      </c>
      <c r="X10" t="s">
        <v>2440</v>
      </c>
      <c r="Y10" t="s">
        <v>348</v>
      </c>
      <c r="Z10" t="s">
        <v>350</v>
      </c>
      <c r="AA10" t="s">
        <v>350</v>
      </c>
      <c r="AC10" t="s">
        <v>352</v>
      </c>
      <c r="AD10" t="s">
        <v>356</v>
      </c>
      <c r="AE10" t="s">
        <v>367</v>
      </c>
      <c r="AF10">
        <v>2018</v>
      </c>
      <c r="AG10">
        <v>0</v>
      </c>
      <c r="AH10">
        <v>1293</v>
      </c>
      <c r="AI10">
        <v>16.9</v>
      </c>
      <c r="AJ10" t="s">
        <v>2514</v>
      </c>
      <c r="AL10" t="s">
        <v>2963</v>
      </c>
      <c r="AM10">
        <v>104</v>
      </c>
      <c r="AO10">
        <v>2</v>
      </c>
      <c r="AP10">
        <v>0</v>
      </c>
      <c r="AQ10">
        <v>118.3</v>
      </c>
      <c r="AT10" t="s">
        <v>500</v>
      </c>
      <c r="AU10" t="s">
        <v>503</v>
      </c>
      <c r="AV10" t="s">
        <v>508</v>
      </c>
      <c r="AW10">
        <v>19472</v>
      </c>
      <c r="BA10" t="s">
        <v>522</v>
      </c>
      <c r="BB10" t="s">
        <v>3350</v>
      </c>
      <c r="BC10" t="s">
        <v>299</v>
      </c>
      <c r="BD10" t="s">
        <v>3359</v>
      </c>
      <c r="BE10" t="s">
        <v>809</v>
      </c>
    </row>
    <row r="11" spans="1:58">
      <c r="A11" s="1">
        <f>HYPERLINK("https://lsnyc.legalserver.org/matter/dynamic-profile/view/1879780","18-1879780")</f>
        <v>0</v>
      </c>
      <c r="B11" t="s">
        <v>606</v>
      </c>
      <c r="E11" t="s">
        <v>381</v>
      </c>
      <c r="F11" t="s">
        <v>620</v>
      </c>
      <c r="G11" t="s">
        <v>636</v>
      </c>
      <c r="H11" t="s">
        <v>646</v>
      </c>
      <c r="I11" t="s">
        <v>560</v>
      </c>
      <c r="J11" t="s">
        <v>836</v>
      </c>
      <c r="K11" t="s">
        <v>180</v>
      </c>
      <c r="L11" t="s">
        <v>1483</v>
      </c>
      <c r="M11" t="s">
        <v>1849</v>
      </c>
      <c r="N11" t="s">
        <v>288</v>
      </c>
      <c r="O11" t="s">
        <v>289</v>
      </c>
      <c r="P11">
        <v>11225</v>
      </c>
      <c r="Q11" t="s">
        <v>290</v>
      </c>
      <c r="R11" t="s">
        <v>290</v>
      </c>
      <c r="S11" t="s">
        <v>293</v>
      </c>
      <c r="T11" t="s">
        <v>2044</v>
      </c>
      <c r="U11">
        <v>20</v>
      </c>
      <c r="V11" t="s">
        <v>339</v>
      </c>
      <c r="W11" t="s">
        <v>346</v>
      </c>
      <c r="X11" t="s">
        <v>2438</v>
      </c>
      <c r="Y11" t="s">
        <v>348</v>
      </c>
      <c r="Z11" t="s">
        <v>350</v>
      </c>
      <c r="AA11" t="s">
        <v>350</v>
      </c>
      <c r="AC11" t="s">
        <v>352</v>
      </c>
      <c r="AD11" t="s">
        <v>356</v>
      </c>
      <c r="AE11" t="s">
        <v>2449</v>
      </c>
      <c r="AF11">
        <v>2019</v>
      </c>
      <c r="AG11">
        <v>896</v>
      </c>
      <c r="AH11">
        <v>918.76</v>
      </c>
      <c r="AI11">
        <v>60.46</v>
      </c>
      <c r="AJ11" t="s">
        <v>2515</v>
      </c>
      <c r="AL11" t="s">
        <v>2964</v>
      </c>
      <c r="AM11">
        <v>123</v>
      </c>
      <c r="AN11" t="s">
        <v>493</v>
      </c>
      <c r="AO11">
        <v>1</v>
      </c>
      <c r="AP11">
        <v>0</v>
      </c>
      <c r="AQ11">
        <v>114.25</v>
      </c>
      <c r="AT11" t="s">
        <v>500</v>
      </c>
      <c r="AU11" t="s">
        <v>503</v>
      </c>
      <c r="AV11" t="s">
        <v>508</v>
      </c>
      <c r="AW11">
        <v>13869.6</v>
      </c>
      <c r="BA11" t="s">
        <v>3341</v>
      </c>
      <c r="BB11" t="s">
        <v>534</v>
      </c>
      <c r="BD11" t="s">
        <v>3360</v>
      </c>
      <c r="BE11" t="s">
        <v>560</v>
      </c>
      <c r="BF11" t="s">
        <v>600</v>
      </c>
    </row>
    <row r="12" spans="1:58">
      <c r="A12" s="1">
        <f>HYPERLINK("https://lsnyc.legalserver.org/matter/dynamic-profile/view/1877278","18-1877278")</f>
        <v>0</v>
      </c>
      <c r="B12" t="s">
        <v>606</v>
      </c>
      <c r="E12" t="s">
        <v>381</v>
      </c>
      <c r="F12" t="s">
        <v>60</v>
      </c>
      <c r="G12" t="s">
        <v>636</v>
      </c>
      <c r="H12" t="s">
        <v>647</v>
      </c>
      <c r="I12" t="s">
        <v>577</v>
      </c>
      <c r="J12" t="s">
        <v>837</v>
      </c>
      <c r="K12" t="s">
        <v>180</v>
      </c>
      <c r="L12" t="s">
        <v>1484</v>
      </c>
      <c r="M12">
        <v>1</v>
      </c>
      <c r="N12" t="s">
        <v>288</v>
      </c>
      <c r="O12" t="s">
        <v>289</v>
      </c>
      <c r="P12">
        <v>11221</v>
      </c>
      <c r="Q12" t="s">
        <v>290</v>
      </c>
      <c r="R12" t="s">
        <v>290</v>
      </c>
      <c r="S12" t="s">
        <v>293</v>
      </c>
      <c r="T12" t="s">
        <v>2045</v>
      </c>
      <c r="U12">
        <v>4</v>
      </c>
      <c r="V12" t="s">
        <v>340</v>
      </c>
      <c r="W12" t="s">
        <v>346</v>
      </c>
      <c r="X12" t="s">
        <v>2438</v>
      </c>
      <c r="Y12" t="s">
        <v>348</v>
      </c>
      <c r="Z12" t="s">
        <v>350</v>
      </c>
      <c r="AA12" t="s">
        <v>350</v>
      </c>
      <c r="AC12" t="s">
        <v>352</v>
      </c>
      <c r="AE12" t="s">
        <v>2449</v>
      </c>
      <c r="AF12">
        <v>2019</v>
      </c>
      <c r="AG12">
        <v>700</v>
      </c>
      <c r="AH12">
        <v>700</v>
      </c>
      <c r="AI12">
        <v>74.95</v>
      </c>
      <c r="AJ12" t="s">
        <v>2516</v>
      </c>
      <c r="AL12" t="s">
        <v>2965</v>
      </c>
      <c r="AM12">
        <v>6</v>
      </c>
      <c r="AN12" t="s">
        <v>496</v>
      </c>
      <c r="AO12">
        <v>1</v>
      </c>
      <c r="AP12">
        <v>0</v>
      </c>
      <c r="AQ12">
        <v>148.27</v>
      </c>
      <c r="AT12" t="s">
        <v>500</v>
      </c>
      <c r="AV12" t="s">
        <v>508</v>
      </c>
      <c r="AW12">
        <v>18000</v>
      </c>
      <c r="AY12" t="s">
        <v>290</v>
      </c>
      <c r="BA12" t="s">
        <v>60</v>
      </c>
      <c r="BD12" t="s">
        <v>537</v>
      </c>
      <c r="BE12" t="s">
        <v>577</v>
      </c>
    </row>
    <row r="13" spans="1:58">
      <c r="A13" s="1">
        <f>HYPERLINK("https://lsnyc.legalserver.org/matter/dynamic-profile/view/1887418","19-1887418")</f>
        <v>0</v>
      </c>
      <c r="B13" t="s">
        <v>606</v>
      </c>
      <c r="E13" t="s">
        <v>381</v>
      </c>
      <c r="F13" t="s">
        <v>621</v>
      </c>
      <c r="G13" t="s">
        <v>636</v>
      </c>
      <c r="H13" t="s">
        <v>648</v>
      </c>
      <c r="I13" t="s">
        <v>810</v>
      </c>
      <c r="J13" t="s">
        <v>838</v>
      </c>
      <c r="K13" t="s">
        <v>1155</v>
      </c>
      <c r="L13" t="s">
        <v>1485</v>
      </c>
      <c r="M13" t="s">
        <v>276</v>
      </c>
      <c r="N13" t="s">
        <v>288</v>
      </c>
      <c r="O13" t="s">
        <v>289</v>
      </c>
      <c r="P13">
        <v>11226</v>
      </c>
      <c r="Q13" t="s">
        <v>290</v>
      </c>
      <c r="R13" t="s">
        <v>290</v>
      </c>
      <c r="S13" t="s">
        <v>295</v>
      </c>
      <c r="T13" t="s">
        <v>2046</v>
      </c>
      <c r="U13">
        <v>7</v>
      </c>
      <c r="V13" t="s">
        <v>339</v>
      </c>
      <c r="W13" t="s">
        <v>346</v>
      </c>
      <c r="X13" t="s">
        <v>2438</v>
      </c>
      <c r="Y13" t="s">
        <v>348</v>
      </c>
      <c r="Z13" t="s">
        <v>350</v>
      </c>
      <c r="AC13" t="s">
        <v>352</v>
      </c>
      <c r="AE13" t="s">
        <v>2447</v>
      </c>
      <c r="AF13">
        <v>2019</v>
      </c>
      <c r="AG13">
        <v>0</v>
      </c>
      <c r="AH13">
        <v>1150</v>
      </c>
      <c r="AI13">
        <v>8.4</v>
      </c>
      <c r="AJ13" t="s">
        <v>2517</v>
      </c>
      <c r="AL13" t="s">
        <v>2966</v>
      </c>
      <c r="AM13">
        <v>20</v>
      </c>
      <c r="AO13">
        <v>1</v>
      </c>
      <c r="AP13">
        <v>2</v>
      </c>
      <c r="AQ13">
        <v>138.59</v>
      </c>
      <c r="AT13" t="s">
        <v>501</v>
      </c>
      <c r="AU13" t="s">
        <v>503</v>
      </c>
      <c r="AV13" t="s">
        <v>508</v>
      </c>
      <c r="AW13">
        <v>28800</v>
      </c>
      <c r="BA13" t="s">
        <v>3341</v>
      </c>
      <c r="BD13" t="s">
        <v>3358</v>
      </c>
      <c r="BE13" t="s">
        <v>810</v>
      </c>
    </row>
    <row r="14" spans="1:58">
      <c r="A14" s="1">
        <f>HYPERLINK("https://lsnyc.legalserver.org/matter/dynamic-profile/view/1874962","18-1874962")</f>
        <v>0</v>
      </c>
      <c r="B14" t="s">
        <v>606</v>
      </c>
      <c r="E14" t="s">
        <v>381</v>
      </c>
      <c r="F14" t="s">
        <v>63</v>
      </c>
      <c r="G14" t="s">
        <v>636</v>
      </c>
      <c r="H14" t="s">
        <v>649</v>
      </c>
      <c r="I14" t="s">
        <v>561</v>
      </c>
      <c r="J14" t="s">
        <v>839</v>
      </c>
      <c r="K14" t="s">
        <v>1156</v>
      </c>
      <c r="L14" t="s">
        <v>1486</v>
      </c>
      <c r="M14" t="s">
        <v>1843</v>
      </c>
      <c r="N14" t="s">
        <v>288</v>
      </c>
      <c r="O14" t="s">
        <v>289</v>
      </c>
      <c r="P14">
        <v>11225</v>
      </c>
      <c r="Q14" t="s">
        <v>290</v>
      </c>
      <c r="R14" t="s">
        <v>291</v>
      </c>
      <c r="S14" t="s">
        <v>293</v>
      </c>
      <c r="T14" t="s">
        <v>2047</v>
      </c>
      <c r="U14">
        <v>15</v>
      </c>
      <c r="V14" t="s">
        <v>339</v>
      </c>
      <c r="W14" t="s">
        <v>346</v>
      </c>
      <c r="X14" t="s">
        <v>2438</v>
      </c>
      <c r="Y14" t="s">
        <v>348</v>
      </c>
      <c r="Z14" t="s">
        <v>350</v>
      </c>
      <c r="AA14" t="s">
        <v>350</v>
      </c>
      <c r="AC14" t="s">
        <v>352</v>
      </c>
      <c r="AD14" t="s">
        <v>356</v>
      </c>
      <c r="AE14" t="s">
        <v>2447</v>
      </c>
      <c r="AF14">
        <v>2019</v>
      </c>
      <c r="AG14">
        <v>0</v>
      </c>
      <c r="AH14">
        <v>1071</v>
      </c>
      <c r="AI14">
        <v>30.95</v>
      </c>
      <c r="AJ14" t="s">
        <v>2518</v>
      </c>
      <c r="AK14" t="s">
        <v>2900</v>
      </c>
      <c r="AL14" t="s">
        <v>2967</v>
      </c>
      <c r="AM14">
        <v>0</v>
      </c>
      <c r="AN14" t="s">
        <v>493</v>
      </c>
      <c r="AO14">
        <v>3</v>
      </c>
      <c r="AP14">
        <v>0</v>
      </c>
      <c r="AQ14">
        <v>162.66</v>
      </c>
      <c r="AT14" t="s">
        <v>500</v>
      </c>
      <c r="AU14" t="s">
        <v>503</v>
      </c>
      <c r="AV14" t="s">
        <v>508</v>
      </c>
      <c r="AW14">
        <v>33800</v>
      </c>
      <c r="BA14" t="s">
        <v>63</v>
      </c>
      <c r="BD14" t="s">
        <v>537</v>
      </c>
      <c r="BE14" t="s">
        <v>561</v>
      </c>
      <c r="BF14" t="s">
        <v>600</v>
      </c>
    </row>
    <row r="15" spans="1:58">
      <c r="A15" s="1">
        <f>HYPERLINK("https://lsnyc.legalserver.org/matter/dynamic-profile/view/1886438","18-1886438")</f>
        <v>0</v>
      </c>
      <c r="B15" t="s">
        <v>606</v>
      </c>
      <c r="E15" t="s">
        <v>381</v>
      </c>
      <c r="F15" t="s">
        <v>622</v>
      </c>
      <c r="G15" t="s">
        <v>636</v>
      </c>
      <c r="H15" t="s">
        <v>650</v>
      </c>
      <c r="I15" t="s">
        <v>811</v>
      </c>
      <c r="J15" t="s">
        <v>840</v>
      </c>
      <c r="K15" t="s">
        <v>1157</v>
      </c>
      <c r="L15" t="s">
        <v>1487</v>
      </c>
      <c r="M15" t="s">
        <v>1850</v>
      </c>
      <c r="N15" t="s">
        <v>288</v>
      </c>
      <c r="O15" t="s">
        <v>289</v>
      </c>
      <c r="P15">
        <v>11220</v>
      </c>
      <c r="Q15" t="s">
        <v>290</v>
      </c>
      <c r="R15" t="s">
        <v>290</v>
      </c>
      <c r="S15" t="s">
        <v>295</v>
      </c>
      <c r="T15" t="s">
        <v>2048</v>
      </c>
      <c r="U15">
        <v>18</v>
      </c>
      <c r="V15" t="s">
        <v>339</v>
      </c>
      <c r="W15" t="s">
        <v>346</v>
      </c>
      <c r="X15" t="s">
        <v>2438</v>
      </c>
      <c r="Y15" t="s">
        <v>349</v>
      </c>
      <c r="Z15" t="s">
        <v>350</v>
      </c>
      <c r="AC15" t="s">
        <v>352</v>
      </c>
      <c r="AE15" t="s">
        <v>2447</v>
      </c>
      <c r="AF15">
        <v>2019</v>
      </c>
      <c r="AG15">
        <v>0</v>
      </c>
      <c r="AH15">
        <v>1289</v>
      </c>
      <c r="AI15">
        <v>27.1</v>
      </c>
      <c r="AJ15" t="s">
        <v>2519</v>
      </c>
      <c r="AL15" t="s">
        <v>2968</v>
      </c>
      <c r="AM15">
        <v>22</v>
      </c>
      <c r="AO15">
        <v>2</v>
      </c>
      <c r="AP15">
        <v>1</v>
      </c>
      <c r="AQ15">
        <v>110.68</v>
      </c>
      <c r="AT15" t="s">
        <v>502</v>
      </c>
      <c r="AV15" t="s">
        <v>508</v>
      </c>
      <c r="AW15">
        <v>23000</v>
      </c>
      <c r="BA15" t="s">
        <v>522</v>
      </c>
      <c r="BD15" t="s">
        <v>537</v>
      </c>
      <c r="BE15" t="s">
        <v>798</v>
      </c>
    </row>
    <row r="16" spans="1:58">
      <c r="A16" s="1">
        <f>HYPERLINK("https://lsnyc.legalserver.org/matter/dynamic-profile/view/1883723","18-1883723")</f>
        <v>0</v>
      </c>
      <c r="B16" t="s">
        <v>606</v>
      </c>
      <c r="E16" t="s">
        <v>381</v>
      </c>
      <c r="F16" t="s">
        <v>65</v>
      </c>
      <c r="G16" t="s">
        <v>636</v>
      </c>
      <c r="H16" t="s">
        <v>645</v>
      </c>
      <c r="I16" t="s">
        <v>92</v>
      </c>
      <c r="J16" t="s">
        <v>841</v>
      </c>
      <c r="K16" t="s">
        <v>1158</v>
      </c>
      <c r="L16" t="s">
        <v>1488</v>
      </c>
      <c r="M16" t="s">
        <v>1851</v>
      </c>
      <c r="N16" t="s">
        <v>288</v>
      </c>
      <c r="O16" t="s">
        <v>289</v>
      </c>
      <c r="P16">
        <v>11203</v>
      </c>
      <c r="Q16" t="s">
        <v>290</v>
      </c>
      <c r="R16" t="s">
        <v>290</v>
      </c>
      <c r="S16" t="s">
        <v>2029</v>
      </c>
      <c r="T16" t="s">
        <v>2049</v>
      </c>
      <c r="U16">
        <v>39</v>
      </c>
      <c r="V16" t="s">
        <v>339</v>
      </c>
      <c r="W16" t="s">
        <v>346</v>
      </c>
      <c r="X16" t="s">
        <v>2438</v>
      </c>
      <c r="Y16" t="s">
        <v>349</v>
      </c>
      <c r="Z16" t="s">
        <v>350</v>
      </c>
      <c r="AA16" t="s">
        <v>350</v>
      </c>
      <c r="AC16" t="s">
        <v>352</v>
      </c>
      <c r="AD16" t="s">
        <v>356</v>
      </c>
      <c r="AE16" t="s">
        <v>2447</v>
      </c>
      <c r="AF16">
        <v>2019</v>
      </c>
      <c r="AG16">
        <v>0</v>
      </c>
      <c r="AH16">
        <v>670.13</v>
      </c>
      <c r="AI16">
        <v>48.3</v>
      </c>
      <c r="AJ16" t="s">
        <v>2520</v>
      </c>
      <c r="AM16">
        <v>0</v>
      </c>
      <c r="AN16" t="s">
        <v>493</v>
      </c>
      <c r="AO16">
        <v>1</v>
      </c>
      <c r="AP16">
        <v>0</v>
      </c>
      <c r="AQ16">
        <v>101.81</v>
      </c>
      <c r="AT16" t="s">
        <v>500</v>
      </c>
      <c r="AV16" t="s">
        <v>508</v>
      </c>
      <c r="AW16">
        <v>12360</v>
      </c>
      <c r="BA16" t="s">
        <v>65</v>
      </c>
      <c r="BD16" t="s">
        <v>3361</v>
      </c>
      <c r="BE16" t="s">
        <v>92</v>
      </c>
    </row>
    <row r="17" spans="1:58">
      <c r="A17" s="1">
        <f>HYPERLINK("https://lsnyc.legalserver.org/matter/dynamic-profile/view/1888789","19-1888789")</f>
        <v>0</v>
      </c>
      <c r="B17" t="s">
        <v>606</v>
      </c>
      <c r="E17" t="s">
        <v>381</v>
      </c>
      <c r="F17" t="s">
        <v>619</v>
      </c>
      <c r="G17" t="s">
        <v>636</v>
      </c>
      <c r="H17" t="s">
        <v>651</v>
      </c>
      <c r="I17" t="s">
        <v>586</v>
      </c>
      <c r="J17" t="s">
        <v>842</v>
      </c>
      <c r="K17" t="s">
        <v>1159</v>
      </c>
      <c r="L17" t="s">
        <v>1489</v>
      </c>
      <c r="M17" t="s">
        <v>1852</v>
      </c>
      <c r="N17" t="s">
        <v>288</v>
      </c>
      <c r="O17" t="s">
        <v>289</v>
      </c>
      <c r="P17">
        <v>11226</v>
      </c>
      <c r="Q17" t="s">
        <v>290</v>
      </c>
      <c r="R17" t="s">
        <v>290</v>
      </c>
      <c r="T17" t="s">
        <v>2050</v>
      </c>
      <c r="U17">
        <v>19</v>
      </c>
      <c r="V17" t="s">
        <v>339</v>
      </c>
      <c r="W17" t="s">
        <v>346</v>
      </c>
      <c r="X17" t="s">
        <v>2438</v>
      </c>
      <c r="Y17" t="s">
        <v>348</v>
      </c>
      <c r="Z17" t="s">
        <v>350</v>
      </c>
      <c r="AC17" t="s">
        <v>352</v>
      </c>
      <c r="AE17" t="s">
        <v>2450</v>
      </c>
      <c r="AF17">
        <v>2019</v>
      </c>
      <c r="AG17">
        <v>0</v>
      </c>
      <c r="AH17">
        <v>0</v>
      </c>
      <c r="AI17">
        <v>4.7</v>
      </c>
      <c r="AJ17" t="s">
        <v>2521</v>
      </c>
      <c r="AL17" t="s">
        <v>2969</v>
      </c>
      <c r="AM17">
        <v>57</v>
      </c>
      <c r="AO17">
        <v>1</v>
      </c>
      <c r="AP17">
        <v>0</v>
      </c>
      <c r="AQ17">
        <v>167.17</v>
      </c>
      <c r="AV17" t="s">
        <v>508</v>
      </c>
      <c r="AW17">
        <v>20880</v>
      </c>
      <c r="BA17" t="s">
        <v>3343</v>
      </c>
      <c r="BD17" t="s">
        <v>3362</v>
      </c>
      <c r="BE17" t="s">
        <v>766</v>
      </c>
    </row>
    <row r="18" spans="1:58">
      <c r="A18" s="1">
        <f>HYPERLINK("https://lsnyc.legalserver.org/matter/dynamic-profile/view/1889105","19-1889105")</f>
        <v>0</v>
      </c>
      <c r="B18" t="s">
        <v>606</v>
      </c>
      <c r="E18" t="s">
        <v>381</v>
      </c>
      <c r="F18" t="s">
        <v>621</v>
      </c>
      <c r="G18" t="s">
        <v>636</v>
      </c>
      <c r="H18" t="s">
        <v>652</v>
      </c>
      <c r="I18" t="s">
        <v>809</v>
      </c>
      <c r="J18" t="s">
        <v>163</v>
      </c>
      <c r="K18" t="s">
        <v>1160</v>
      </c>
      <c r="L18" t="s">
        <v>1490</v>
      </c>
      <c r="M18" t="s">
        <v>1853</v>
      </c>
      <c r="N18" t="s">
        <v>288</v>
      </c>
      <c r="O18" t="s">
        <v>289</v>
      </c>
      <c r="P18">
        <v>11219</v>
      </c>
      <c r="Q18" t="s">
        <v>290</v>
      </c>
      <c r="R18" t="s">
        <v>290</v>
      </c>
      <c r="T18" t="s">
        <v>2051</v>
      </c>
      <c r="U18">
        <v>1</v>
      </c>
      <c r="V18" t="s">
        <v>339</v>
      </c>
      <c r="W18" t="s">
        <v>346</v>
      </c>
      <c r="X18" t="s">
        <v>2438</v>
      </c>
      <c r="Y18" t="s">
        <v>349</v>
      </c>
      <c r="Z18" t="s">
        <v>350</v>
      </c>
      <c r="AC18" t="s">
        <v>352</v>
      </c>
      <c r="AE18" t="s">
        <v>2451</v>
      </c>
      <c r="AF18">
        <v>2019</v>
      </c>
      <c r="AG18">
        <v>0</v>
      </c>
      <c r="AH18">
        <v>1200</v>
      </c>
      <c r="AI18">
        <v>13.4</v>
      </c>
      <c r="AJ18" t="s">
        <v>2522</v>
      </c>
      <c r="AL18" t="s">
        <v>2970</v>
      </c>
      <c r="AM18">
        <v>2</v>
      </c>
      <c r="AO18">
        <v>1</v>
      </c>
      <c r="AP18">
        <v>0</v>
      </c>
      <c r="AQ18">
        <v>116.53</v>
      </c>
      <c r="AT18" t="s">
        <v>500</v>
      </c>
      <c r="AV18" t="s">
        <v>508</v>
      </c>
      <c r="AW18">
        <v>14554.8</v>
      </c>
      <c r="BA18" t="s">
        <v>3343</v>
      </c>
      <c r="BD18" t="s">
        <v>3363</v>
      </c>
      <c r="BE18" t="s">
        <v>809</v>
      </c>
    </row>
    <row r="19" spans="1:58">
      <c r="A19" s="1">
        <f>HYPERLINK("https://lsnyc.legalserver.org/matter/dynamic-profile/view/1887330","19-1887330")</f>
        <v>0</v>
      </c>
      <c r="B19" t="s">
        <v>606</v>
      </c>
      <c r="E19" t="s">
        <v>381</v>
      </c>
      <c r="F19" t="s">
        <v>60</v>
      </c>
      <c r="G19" t="s">
        <v>636</v>
      </c>
      <c r="H19" t="s">
        <v>653</v>
      </c>
      <c r="I19" t="s">
        <v>809</v>
      </c>
      <c r="J19" t="s">
        <v>843</v>
      </c>
      <c r="K19" t="s">
        <v>1161</v>
      </c>
      <c r="L19" t="s">
        <v>1491</v>
      </c>
      <c r="M19" t="s">
        <v>261</v>
      </c>
      <c r="N19" t="s">
        <v>288</v>
      </c>
      <c r="O19" t="s">
        <v>289</v>
      </c>
      <c r="P19">
        <v>11216</v>
      </c>
      <c r="Q19" t="s">
        <v>290</v>
      </c>
      <c r="R19" t="s">
        <v>290</v>
      </c>
      <c r="S19" t="s">
        <v>292</v>
      </c>
      <c r="T19" t="s">
        <v>2052</v>
      </c>
      <c r="U19">
        <v>19</v>
      </c>
      <c r="V19" t="s">
        <v>339</v>
      </c>
      <c r="W19" t="s">
        <v>346</v>
      </c>
      <c r="X19" t="s">
        <v>2439</v>
      </c>
      <c r="Y19" t="s">
        <v>348</v>
      </c>
      <c r="Z19" t="s">
        <v>350</v>
      </c>
      <c r="AA19" t="s">
        <v>350</v>
      </c>
      <c r="AC19" t="s">
        <v>352</v>
      </c>
      <c r="AE19" t="s">
        <v>370</v>
      </c>
      <c r="AF19">
        <v>2019</v>
      </c>
      <c r="AG19">
        <v>0</v>
      </c>
      <c r="AH19">
        <v>0</v>
      </c>
      <c r="AI19">
        <v>23.5</v>
      </c>
      <c r="AJ19" t="s">
        <v>2523</v>
      </c>
      <c r="AM19">
        <v>0</v>
      </c>
      <c r="AO19">
        <v>2</v>
      </c>
      <c r="AP19">
        <v>0</v>
      </c>
      <c r="AQ19">
        <v>110.57</v>
      </c>
      <c r="AT19" t="s">
        <v>500</v>
      </c>
      <c r="AU19" t="s">
        <v>507</v>
      </c>
      <c r="AV19" t="s">
        <v>508</v>
      </c>
      <c r="AW19">
        <v>18200.25</v>
      </c>
      <c r="BA19" t="s">
        <v>3342</v>
      </c>
      <c r="BD19" t="s">
        <v>3364</v>
      </c>
      <c r="BE19" t="s">
        <v>593</v>
      </c>
    </row>
    <row r="20" spans="1:58">
      <c r="A20" s="1">
        <f>HYPERLINK("https://lsnyc.legalserver.org/matter/dynamic-profile/view/1890636","19-1890636")</f>
        <v>0</v>
      </c>
      <c r="B20" t="s">
        <v>606</v>
      </c>
      <c r="E20" t="s">
        <v>381</v>
      </c>
      <c r="F20" t="s">
        <v>72</v>
      </c>
      <c r="G20" t="s">
        <v>636</v>
      </c>
      <c r="H20" t="s">
        <v>654</v>
      </c>
      <c r="I20" t="s">
        <v>567</v>
      </c>
      <c r="J20" t="s">
        <v>844</v>
      </c>
      <c r="K20" t="s">
        <v>1162</v>
      </c>
      <c r="L20" t="s">
        <v>1492</v>
      </c>
      <c r="M20" t="s">
        <v>1854</v>
      </c>
      <c r="N20" t="s">
        <v>288</v>
      </c>
      <c r="O20" t="s">
        <v>289</v>
      </c>
      <c r="P20">
        <v>11226</v>
      </c>
      <c r="Q20" t="s">
        <v>290</v>
      </c>
      <c r="R20" t="s">
        <v>290</v>
      </c>
      <c r="S20" t="s">
        <v>295</v>
      </c>
      <c r="T20" t="s">
        <v>2053</v>
      </c>
      <c r="U20">
        <v>3</v>
      </c>
      <c r="V20" t="s">
        <v>340</v>
      </c>
      <c r="W20" t="s">
        <v>346</v>
      </c>
      <c r="X20" t="s">
        <v>2438</v>
      </c>
      <c r="Y20" t="s">
        <v>348</v>
      </c>
      <c r="Z20" t="s">
        <v>350</v>
      </c>
      <c r="AC20" t="s">
        <v>352</v>
      </c>
      <c r="AE20" t="s">
        <v>370</v>
      </c>
      <c r="AF20">
        <v>2019</v>
      </c>
      <c r="AG20">
        <v>0</v>
      </c>
      <c r="AH20">
        <v>843</v>
      </c>
      <c r="AI20">
        <v>2.7</v>
      </c>
      <c r="AJ20" t="s">
        <v>2524</v>
      </c>
      <c r="AL20" t="s">
        <v>2971</v>
      </c>
      <c r="AM20">
        <v>76</v>
      </c>
      <c r="AO20">
        <v>1</v>
      </c>
      <c r="AP20">
        <v>0</v>
      </c>
      <c r="AQ20">
        <v>80.98999999999999</v>
      </c>
      <c r="AT20" t="s">
        <v>500</v>
      </c>
      <c r="AU20" t="s">
        <v>299</v>
      </c>
      <c r="AV20" t="s">
        <v>508</v>
      </c>
      <c r="AW20">
        <v>10116</v>
      </c>
      <c r="BA20" t="s">
        <v>3341</v>
      </c>
      <c r="BD20" t="s">
        <v>554</v>
      </c>
      <c r="BE20" t="s">
        <v>3423</v>
      </c>
    </row>
    <row r="21" spans="1:58">
      <c r="A21" s="1">
        <f>HYPERLINK("https://lsnyc.legalserver.org/matter/dynamic-profile/view/1886800","19-1886800")</f>
        <v>0</v>
      </c>
      <c r="B21" t="s">
        <v>606</v>
      </c>
      <c r="E21" t="s">
        <v>381</v>
      </c>
      <c r="F21" t="s">
        <v>619</v>
      </c>
      <c r="G21" t="s">
        <v>636</v>
      </c>
      <c r="H21" t="s">
        <v>655</v>
      </c>
      <c r="I21" t="s">
        <v>586</v>
      </c>
      <c r="J21" t="s">
        <v>153</v>
      </c>
      <c r="K21" t="s">
        <v>1163</v>
      </c>
      <c r="L21" t="s">
        <v>1493</v>
      </c>
      <c r="N21" t="s">
        <v>288</v>
      </c>
      <c r="O21" t="s">
        <v>289</v>
      </c>
      <c r="P21">
        <v>11225</v>
      </c>
      <c r="Q21" t="s">
        <v>290</v>
      </c>
      <c r="R21" t="s">
        <v>290</v>
      </c>
      <c r="S21" t="s">
        <v>292</v>
      </c>
      <c r="T21" t="s">
        <v>2054</v>
      </c>
      <c r="U21">
        <v>18</v>
      </c>
      <c r="V21" t="s">
        <v>340</v>
      </c>
      <c r="W21" t="s">
        <v>346</v>
      </c>
      <c r="X21" t="s">
        <v>2438</v>
      </c>
      <c r="Y21" t="s">
        <v>348</v>
      </c>
      <c r="Z21" t="s">
        <v>350</v>
      </c>
      <c r="AC21" t="s">
        <v>352</v>
      </c>
      <c r="AE21" t="s">
        <v>370</v>
      </c>
      <c r="AF21">
        <v>2019</v>
      </c>
      <c r="AG21">
        <v>0</v>
      </c>
      <c r="AH21">
        <v>1095.65</v>
      </c>
      <c r="AI21">
        <v>17.3</v>
      </c>
      <c r="AJ21" t="s">
        <v>2525</v>
      </c>
      <c r="AL21" t="s">
        <v>2972</v>
      </c>
      <c r="AM21">
        <v>72</v>
      </c>
      <c r="AO21">
        <v>3</v>
      </c>
      <c r="AP21">
        <v>3</v>
      </c>
      <c r="AQ21">
        <v>142.26</v>
      </c>
      <c r="AT21" t="s">
        <v>502</v>
      </c>
      <c r="AV21" t="s">
        <v>509</v>
      </c>
      <c r="AW21">
        <v>48000</v>
      </c>
      <c r="BA21" t="s">
        <v>3342</v>
      </c>
      <c r="BD21" t="s">
        <v>537</v>
      </c>
      <c r="BE21" t="s">
        <v>3424</v>
      </c>
    </row>
    <row r="22" spans="1:58">
      <c r="A22" s="1">
        <f>HYPERLINK("https://lsnyc.legalserver.org/matter/dynamic-profile/view/1887999","19-1887999")</f>
        <v>0</v>
      </c>
      <c r="B22" t="s">
        <v>606</v>
      </c>
      <c r="E22" t="s">
        <v>381</v>
      </c>
      <c r="F22" t="s">
        <v>72</v>
      </c>
      <c r="G22" t="s">
        <v>636</v>
      </c>
      <c r="H22" t="s">
        <v>656</v>
      </c>
      <c r="I22" t="s">
        <v>808</v>
      </c>
      <c r="J22" t="s">
        <v>845</v>
      </c>
      <c r="K22" t="s">
        <v>1164</v>
      </c>
      <c r="L22" t="s">
        <v>1494</v>
      </c>
      <c r="M22" t="s">
        <v>1855</v>
      </c>
      <c r="N22" t="s">
        <v>288</v>
      </c>
      <c r="O22" t="s">
        <v>289</v>
      </c>
      <c r="P22">
        <v>11221</v>
      </c>
      <c r="Q22" t="s">
        <v>290</v>
      </c>
      <c r="R22" t="s">
        <v>290</v>
      </c>
      <c r="S22" t="s">
        <v>293</v>
      </c>
      <c r="T22" t="s">
        <v>2055</v>
      </c>
      <c r="U22">
        <v>26</v>
      </c>
      <c r="V22" t="s">
        <v>340</v>
      </c>
      <c r="W22" t="s">
        <v>346</v>
      </c>
      <c r="X22" t="s">
        <v>2438</v>
      </c>
      <c r="Y22" t="s">
        <v>348</v>
      </c>
      <c r="Z22" t="s">
        <v>350</v>
      </c>
      <c r="AC22" t="s">
        <v>352</v>
      </c>
      <c r="AE22" t="s">
        <v>370</v>
      </c>
      <c r="AF22">
        <v>2019</v>
      </c>
      <c r="AG22">
        <v>0</v>
      </c>
      <c r="AH22">
        <v>677.9400000000001</v>
      </c>
      <c r="AI22">
        <v>22.45</v>
      </c>
      <c r="AJ22" t="s">
        <v>2526</v>
      </c>
      <c r="AL22" t="s">
        <v>2973</v>
      </c>
      <c r="AM22">
        <v>25</v>
      </c>
      <c r="AN22" t="s">
        <v>493</v>
      </c>
      <c r="AO22">
        <v>1</v>
      </c>
      <c r="AP22">
        <v>0</v>
      </c>
      <c r="AQ22">
        <v>174.37</v>
      </c>
      <c r="AT22" t="s">
        <v>500</v>
      </c>
      <c r="AU22" t="s">
        <v>503</v>
      </c>
      <c r="AV22" t="s">
        <v>508</v>
      </c>
      <c r="AW22">
        <v>21168</v>
      </c>
      <c r="BA22" t="s">
        <v>3341</v>
      </c>
      <c r="BD22" t="s">
        <v>3365</v>
      </c>
      <c r="BE22" t="s">
        <v>808</v>
      </c>
    </row>
    <row r="23" spans="1:58">
      <c r="A23" s="1">
        <f>HYPERLINK("https://lsnyc.legalserver.org/matter/dynamic-profile/view/1887029","19-1887029")</f>
        <v>0</v>
      </c>
      <c r="B23" t="s">
        <v>606</v>
      </c>
      <c r="E23" t="s">
        <v>381</v>
      </c>
      <c r="F23" t="s">
        <v>619</v>
      </c>
      <c r="G23" t="s">
        <v>636</v>
      </c>
      <c r="H23" t="s">
        <v>657</v>
      </c>
      <c r="I23" t="s">
        <v>586</v>
      </c>
      <c r="J23" t="s">
        <v>146</v>
      </c>
      <c r="K23" t="s">
        <v>1165</v>
      </c>
      <c r="L23" t="s">
        <v>1495</v>
      </c>
      <c r="M23" t="s">
        <v>1856</v>
      </c>
      <c r="N23" t="s">
        <v>288</v>
      </c>
      <c r="O23" t="s">
        <v>289</v>
      </c>
      <c r="P23">
        <v>11210</v>
      </c>
      <c r="Q23" t="s">
        <v>290</v>
      </c>
      <c r="R23" t="s">
        <v>290</v>
      </c>
      <c r="S23" t="s">
        <v>295</v>
      </c>
      <c r="T23" t="s">
        <v>2056</v>
      </c>
      <c r="U23">
        <v>7</v>
      </c>
      <c r="V23" t="s">
        <v>339</v>
      </c>
      <c r="W23" t="s">
        <v>346</v>
      </c>
      <c r="X23" t="s">
        <v>2438</v>
      </c>
      <c r="Y23" t="s">
        <v>349</v>
      </c>
      <c r="Z23" t="s">
        <v>350</v>
      </c>
      <c r="AC23" t="s">
        <v>352</v>
      </c>
      <c r="AE23" t="s">
        <v>370</v>
      </c>
      <c r="AF23">
        <v>2019</v>
      </c>
      <c r="AG23">
        <v>0</v>
      </c>
      <c r="AH23">
        <v>1933</v>
      </c>
      <c r="AI23">
        <v>12.1</v>
      </c>
      <c r="AJ23" t="s">
        <v>2527</v>
      </c>
      <c r="AL23" t="s">
        <v>2974</v>
      </c>
      <c r="AM23">
        <v>48</v>
      </c>
      <c r="AO23">
        <v>2</v>
      </c>
      <c r="AP23">
        <v>0</v>
      </c>
      <c r="AQ23">
        <v>102.96</v>
      </c>
      <c r="AT23" t="s">
        <v>500</v>
      </c>
      <c r="AU23" t="s">
        <v>503</v>
      </c>
      <c r="AV23" t="s">
        <v>508</v>
      </c>
      <c r="AW23">
        <v>16947</v>
      </c>
      <c r="BA23" t="s">
        <v>3341</v>
      </c>
      <c r="BD23" t="s">
        <v>540</v>
      </c>
      <c r="BE23" t="s">
        <v>767</v>
      </c>
    </row>
    <row r="24" spans="1:58">
      <c r="A24" s="1">
        <f>HYPERLINK("https://lsnyc.legalserver.org/matter/dynamic-profile/view/1872906","18-1872906")</f>
        <v>0</v>
      </c>
      <c r="B24" t="s">
        <v>606</v>
      </c>
      <c r="E24" t="s">
        <v>381</v>
      </c>
      <c r="F24" t="s">
        <v>77</v>
      </c>
      <c r="G24" t="s">
        <v>636</v>
      </c>
      <c r="H24" t="s">
        <v>658</v>
      </c>
      <c r="I24" t="s">
        <v>812</v>
      </c>
      <c r="J24" t="s">
        <v>134</v>
      </c>
      <c r="K24" t="s">
        <v>1166</v>
      </c>
      <c r="L24" t="s">
        <v>1496</v>
      </c>
      <c r="M24">
        <v>11203</v>
      </c>
      <c r="N24" t="s">
        <v>288</v>
      </c>
      <c r="O24" t="s">
        <v>289</v>
      </c>
      <c r="P24">
        <v>11203</v>
      </c>
      <c r="Q24" t="s">
        <v>290</v>
      </c>
      <c r="R24" t="s">
        <v>290</v>
      </c>
      <c r="S24" t="s">
        <v>297</v>
      </c>
      <c r="T24" t="s">
        <v>2057</v>
      </c>
      <c r="U24">
        <v>1</v>
      </c>
      <c r="V24" t="s">
        <v>339</v>
      </c>
      <c r="W24" t="s">
        <v>346</v>
      </c>
      <c r="X24" t="s">
        <v>2438</v>
      </c>
      <c r="Y24" t="s">
        <v>349</v>
      </c>
      <c r="Z24" t="s">
        <v>350</v>
      </c>
      <c r="AA24" t="s">
        <v>350</v>
      </c>
      <c r="AC24" t="s">
        <v>352</v>
      </c>
      <c r="AE24" t="s">
        <v>370</v>
      </c>
      <c r="AF24">
        <v>2019</v>
      </c>
      <c r="AG24">
        <v>0</v>
      </c>
      <c r="AH24">
        <v>1956</v>
      </c>
      <c r="AI24">
        <v>50.05</v>
      </c>
      <c r="AJ24" t="s">
        <v>2528</v>
      </c>
      <c r="AL24" t="s">
        <v>2975</v>
      </c>
      <c r="AM24">
        <v>2</v>
      </c>
      <c r="AN24" t="s">
        <v>496</v>
      </c>
      <c r="AO24">
        <v>1</v>
      </c>
      <c r="AP24">
        <v>3</v>
      </c>
      <c r="AQ24">
        <v>22.95</v>
      </c>
      <c r="AT24" t="s">
        <v>501</v>
      </c>
      <c r="AU24" t="s">
        <v>3331</v>
      </c>
      <c r="AV24" t="s">
        <v>508</v>
      </c>
      <c r="AW24">
        <v>5760</v>
      </c>
      <c r="AY24" t="s">
        <v>290</v>
      </c>
      <c r="BA24" t="s">
        <v>522</v>
      </c>
      <c r="BD24" t="s">
        <v>3366</v>
      </c>
      <c r="BE24" t="s">
        <v>571</v>
      </c>
    </row>
    <row r="25" spans="1:58">
      <c r="A25" s="1">
        <f>HYPERLINK("https://lsnyc.legalserver.org/matter/dynamic-profile/view/1887239","19-1887239")</f>
        <v>0</v>
      </c>
      <c r="B25" t="s">
        <v>606</v>
      </c>
      <c r="E25" t="s">
        <v>381</v>
      </c>
      <c r="F25" t="s">
        <v>623</v>
      </c>
      <c r="G25" t="s">
        <v>636</v>
      </c>
      <c r="H25" t="s">
        <v>659</v>
      </c>
      <c r="I25" t="s">
        <v>560</v>
      </c>
      <c r="J25" t="s">
        <v>846</v>
      </c>
      <c r="K25" t="s">
        <v>1167</v>
      </c>
      <c r="L25" t="s">
        <v>1497</v>
      </c>
      <c r="M25" t="s">
        <v>1857</v>
      </c>
      <c r="N25" t="s">
        <v>288</v>
      </c>
      <c r="O25" t="s">
        <v>289</v>
      </c>
      <c r="P25">
        <v>11226</v>
      </c>
      <c r="Q25" t="s">
        <v>290</v>
      </c>
      <c r="R25" t="s">
        <v>290</v>
      </c>
      <c r="S25" t="s">
        <v>295</v>
      </c>
      <c r="T25" t="s">
        <v>2058</v>
      </c>
      <c r="U25">
        <v>1</v>
      </c>
      <c r="V25" t="s">
        <v>340</v>
      </c>
      <c r="W25" t="s">
        <v>346</v>
      </c>
      <c r="X25" t="s">
        <v>2441</v>
      </c>
      <c r="Y25" t="s">
        <v>348</v>
      </c>
      <c r="Z25" t="s">
        <v>350</v>
      </c>
      <c r="AC25" t="s">
        <v>352</v>
      </c>
      <c r="AE25" t="s">
        <v>370</v>
      </c>
      <c r="AF25">
        <v>2019</v>
      </c>
      <c r="AG25">
        <v>0</v>
      </c>
      <c r="AH25">
        <v>1515</v>
      </c>
      <c r="AI25">
        <v>21.05</v>
      </c>
      <c r="AJ25" t="s">
        <v>2529</v>
      </c>
      <c r="AK25" t="s">
        <v>2901</v>
      </c>
      <c r="AL25" t="s">
        <v>2976</v>
      </c>
      <c r="AM25">
        <v>6</v>
      </c>
      <c r="AN25" t="s">
        <v>3319</v>
      </c>
      <c r="AO25">
        <v>1</v>
      </c>
      <c r="AP25">
        <v>2</v>
      </c>
      <c r="AQ25">
        <v>184.22</v>
      </c>
      <c r="AT25" t="s">
        <v>501</v>
      </c>
      <c r="AU25" t="s">
        <v>3331</v>
      </c>
      <c r="AV25" t="s">
        <v>508</v>
      </c>
      <c r="AW25">
        <v>38280</v>
      </c>
      <c r="BA25" t="s">
        <v>3342</v>
      </c>
      <c r="BD25" t="s">
        <v>3367</v>
      </c>
      <c r="BE25" t="s">
        <v>3425</v>
      </c>
    </row>
    <row r="26" spans="1:58">
      <c r="A26" s="1">
        <f>HYPERLINK("https://lsnyc.legalserver.org/matter/dynamic-profile/view/1890456","19-1890456")</f>
        <v>0</v>
      </c>
      <c r="B26" t="s">
        <v>606</v>
      </c>
      <c r="E26" t="s">
        <v>381</v>
      </c>
      <c r="F26" t="s">
        <v>68</v>
      </c>
      <c r="G26" t="s">
        <v>636</v>
      </c>
      <c r="H26" t="s">
        <v>660</v>
      </c>
      <c r="I26" t="s">
        <v>813</v>
      </c>
      <c r="J26" t="s">
        <v>847</v>
      </c>
      <c r="K26" t="s">
        <v>1168</v>
      </c>
      <c r="L26" t="s">
        <v>1498</v>
      </c>
      <c r="M26" t="s">
        <v>1858</v>
      </c>
      <c r="N26" t="s">
        <v>288</v>
      </c>
      <c r="O26" t="s">
        <v>289</v>
      </c>
      <c r="P26">
        <v>11221</v>
      </c>
      <c r="Q26" t="s">
        <v>290</v>
      </c>
      <c r="R26" t="s">
        <v>290</v>
      </c>
      <c r="S26" t="s">
        <v>293</v>
      </c>
      <c r="T26" t="s">
        <v>2059</v>
      </c>
      <c r="U26">
        <v>18</v>
      </c>
      <c r="V26" t="s">
        <v>339</v>
      </c>
      <c r="W26" t="s">
        <v>346</v>
      </c>
      <c r="X26" t="s">
        <v>2438</v>
      </c>
      <c r="Y26" t="s">
        <v>348</v>
      </c>
      <c r="Z26" t="s">
        <v>350</v>
      </c>
      <c r="AA26" t="s">
        <v>350</v>
      </c>
      <c r="AC26" t="s">
        <v>352</v>
      </c>
      <c r="AD26" t="s">
        <v>356</v>
      </c>
      <c r="AE26" t="s">
        <v>2452</v>
      </c>
      <c r="AF26">
        <v>2019</v>
      </c>
      <c r="AG26">
        <v>0</v>
      </c>
      <c r="AH26">
        <v>0</v>
      </c>
      <c r="AI26">
        <v>16.55</v>
      </c>
      <c r="AJ26" t="s">
        <v>2530</v>
      </c>
      <c r="AL26" t="s">
        <v>2977</v>
      </c>
      <c r="AM26">
        <v>30</v>
      </c>
      <c r="AN26" t="s">
        <v>493</v>
      </c>
      <c r="AO26">
        <v>1</v>
      </c>
      <c r="AP26">
        <v>1</v>
      </c>
      <c r="AQ26">
        <v>42.01</v>
      </c>
      <c r="AU26" t="s">
        <v>3330</v>
      </c>
      <c r="AV26" t="s">
        <v>508</v>
      </c>
      <c r="AW26">
        <v>7104</v>
      </c>
      <c r="BA26" t="s">
        <v>68</v>
      </c>
      <c r="BB26" t="s">
        <v>3350</v>
      </c>
      <c r="BC26" t="s">
        <v>299</v>
      </c>
      <c r="BD26" t="s">
        <v>554</v>
      </c>
      <c r="BE26" t="s">
        <v>813</v>
      </c>
    </row>
    <row r="27" spans="1:58">
      <c r="A27" s="1">
        <f>HYPERLINK("https://lsnyc.legalserver.org/matter/dynamic-profile/view/1892477","19-1892477")</f>
        <v>0</v>
      </c>
      <c r="B27" t="s">
        <v>606</v>
      </c>
      <c r="E27" t="s">
        <v>381</v>
      </c>
      <c r="F27" t="s">
        <v>68</v>
      </c>
      <c r="G27" t="s">
        <v>636</v>
      </c>
      <c r="H27" t="s">
        <v>661</v>
      </c>
      <c r="I27" t="s">
        <v>813</v>
      </c>
      <c r="J27" t="s">
        <v>848</v>
      </c>
      <c r="K27" t="s">
        <v>1169</v>
      </c>
      <c r="L27" t="s">
        <v>1499</v>
      </c>
      <c r="M27" t="s">
        <v>1859</v>
      </c>
      <c r="N27" t="s">
        <v>288</v>
      </c>
      <c r="O27" t="s">
        <v>289</v>
      </c>
      <c r="P27">
        <v>11226</v>
      </c>
      <c r="Q27" t="s">
        <v>290</v>
      </c>
      <c r="R27" t="s">
        <v>290</v>
      </c>
      <c r="S27" t="s">
        <v>295</v>
      </c>
      <c r="T27" t="s">
        <v>2060</v>
      </c>
      <c r="U27">
        <v>33</v>
      </c>
      <c r="V27" t="s">
        <v>339</v>
      </c>
      <c r="W27" t="s">
        <v>346</v>
      </c>
      <c r="X27" t="s">
        <v>2439</v>
      </c>
      <c r="Y27" t="s">
        <v>348</v>
      </c>
      <c r="Z27" t="s">
        <v>350</v>
      </c>
      <c r="AA27" t="s">
        <v>350</v>
      </c>
      <c r="AC27" t="s">
        <v>352</v>
      </c>
      <c r="AD27" t="s">
        <v>356</v>
      </c>
      <c r="AE27" t="s">
        <v>372</v>
      </c>
      <c r="AF27">
        <v>2019</v>
      </c>
      <c r="AG27">
        <v>0</v>
      </c>
      <c r="AH27">
        <v>1100</v>
      </c>
      <c r="AI27">
        <v>14</v>
      </c>
      <c r="AJ27" t="s">
        <v>2531</v>
      </c>
      <c r="AL27" t="s">
        <v>2978</v>
      </c>
      <c r="AM27">
        <v>143</v>
      </c>
      <c r="AN27" t="s">
        <v>3320</v>
      </c>
      <c r="AO27">
        <v>1</v>
      </c>
      <c r="AP27">
        <v>0</v>
      </c>
      <c r="AQ27">
        <v>270.62</v>
      </c>
      <c r="AT27" t="s">
        <v>500</v>
      </c>
      <c r="AU27" t="s">
        <v>503</v>
      </c>
      <c r="AV27" t="s">
        <v>508</v>
      </c>
      <c r="AW27">
        <v>33800</v>
      </c>
      <c r="BA27" t="s">
        <v>3342</v>
      </c>
      <c r="BB27" t="s">
        <v>3350</v>
      </c>
      <c r="BD27" t="s">
        <v>537</v>
      </c>
      <c r="BE27" t="s">
        <v>813</v>
      </c>
    </row>
    <row r="28" spans="1:58">
      <c r="A28" s="1">
        <f>HYPERLINK("https://lsnyc.legalserver.org/matter/dynamic-profile/view/1894088","19-1894088")</f>
        <v>0</v>
      </c>
      <c r="B28" t="s">
        <v>606</v>
      </c>
      <c r="E28" t="s">
        <v>381</v>
      </c>
      <c r="F28" t="s">
        <v>624</v>
      </c>
      <c r="G28" t="s">
        <v>636</v>
      </c>
      <c r="H28" t="s">
        <v>662</v>
      </c>
      <c r="I28" t="s">
        <v>814</v>
      </c>
      <c r="J28" t="s">
        <v>849</v>
      </c>
      <c r="K28" t="s">
        <v>1170</v>
      </c>
      <c r="L28" t="s">
        <v>1500</v>
      </c>
      <c r="M28" t="s">
        <v>1860</v>
      </c>
      <c r="N28" t="s">
        <v>288</v>
      </c>
      <c r="O28" t="s">
        <v>289</v>
      </c>
      <c r="P28">
        <v>11213</v>
      </c>
      <c r="Q28" t="s">
        <v>290</v>
      </c>
      <c r="R28" t="s">
        <v>290</v>
      </c>
      <c r="S28" t="s">
        <v>295</v>
      </c>
      <c r="T28" t="s">
        <v>2061</v>
      </c>
      <c r="U28">
        <v>38</v>
      </c>
      <c r="V28" t="s">
        <v>339</v>
      </c>
      <c r="W28" t="s">
        <v>346</v>
      </c>
      <c r="X28" t="s">
        <v>2439</v>
      </c>
      <c r="Y28" t="s">
        <v>349</v>
      </c>
      <c r="Z28" t="s">
        <v>350</v>
      </c>
      <c r="AC28" t="s">
        <v>352</v>
      </c>
      <c r="AE28" t="s">
        <v>372</v>
      </c>
      <c r="AF28">
        <v>2019</v>
      </c>
      <c r="AG28">
        <v>0</v>
      </c>
      <c r="AH28">
        <v>1030</v>
      </c>
      <c r="AI28">
        <v>11.55</v>
      </c>
      <c r="AJ28" t="s">
        <v>2532</v>
      </c>
      <c r="AL28" t="s">
        <v>2979</v>
      </c>
      <c r="AM28">
        <v>6</v>
      </c>
      <c r="AO28">
        <v>4</v>
      </c>
      <c r="AP28">
        <v>0</v>
      </c>
      <c r="AQ28">
        <v>0</v>
      </c>
      <c r="AT28" t="s">
        <v>501</v>
      </c>
      <c r="AU28" t="s">
        <v>299</v>
      </c>
      <c r="AV28" t="s">
        <v>508</v>
      </c>
      <c r="AW28">
        <v>0</v>
      </c>
      <c r="BA28" t="s">
        <v>3341</v>
      </c>
      <c r="BD28" t="s">
        <v>3368</v>
      </c>
      <c r="BE28" t="s">
        <v>3426</v>
      </c>
    </row>
    <row r="29" spans="1:58">
      <c r="A29" s="1">
        <f>HYPERLINK("https://lsnyc.legalserver.org/matter/dynamic-profile/view/1891730","19-1891730")</f>
        <v>0</v>
      </c>
      <c r="B29" t="s">
        <v>606</v>
      </c>
      <c r="E29" t="s">
        <v>381</v>
      </c>
      <c r="F29" t="s">
        <v>619</v>
      </c>
      <c r="G29" t="s">
        <v>636</v>
      </c>
      <c r="H29" t="s">
        <v>663</v>
      </c>
      <c r="I29" t="s">
        <v>586</v>
      </c>
      <c r="J29" t="s">
        <v>850</v>
      </c>
      <c r="K29" t="s">
        <v>1171</v>
      </c>
      <c r="L29" t="s">
        <v>1501</v>
      </c>
      <c r="M29" t="s">
        <v>1861</v>
      </c>
      <c r="N29" t="s">
        <v>288</v>
      </c>
      <c r="O29" t="s">
        <v>289</v>
      </c>
      <c r="P29">
        <v>11226</v>
      </c>
      <c r="Q29" t="s">
        <v>290</v>
      </c>
      <c r="R29" t="s">
        <v>290</v>
      </c>
      <c r="S29" t="s">
        <v>295</v>
      </c>
      <c r="T29" t="s">
        <v>2062</v>
      </c>
      <c r="U29">
        <v>15</v>
      </c>
      <c r="V29" t="s">
        <v>339</v>
      </c>
      <c r="W29" t="s">
        <v>346</v>
      </c>
      <c r="X29" t="s">
        <v>2438</v>
      </c>
      <c r="Y29" t="s">
        <v>348</v>
      </c>
      <c r="Z29" t="s">
        <v>350</v>
      </c>
      <c r="AC29" t="s">
        <v>352</v>
      </c>
      <c r="AE29" t="s">
        <v>372</v>
      </c>
      <c r="AF29">
        <v>2019</v>
      </c>
      <c r="AG29">
        <v>0</v>
      </c>
      <c r="AH29">
        <v>939.76</v>
      </c>
      <c r="AI29">
        <v>9.1</v>
      </c>
      <c r="AJ29" t="s">
        <v>2533</v>
      </c>
      <c r="AL29" t="s">
        <v>2980</v>
      </c>
      <c r="AM29">
        <v>30</v>
      </c>
      <c r="AO29">
        <v>2</v>
      </c>
      <c r="AP29">
        <v>1</v>
      </c>
      <c r="AQ29">
        <v>210.97</v>
      </c>
      <c r="AT29" t="s">
        <v>502</v>
      </c>
      <c r="AU29" t="s">
        <v>503</v>
      </c>
      <c r="AV29" t="s">
        <v>3333</v>
      </c>
      <c r="AW29">
        <v>45000</v>
      </c>
      <c r="BA29" t="s">
        <v>3341</v>
      </c>
      <c r="BD29" t="s">
        <v>537</v>
      </c>
      <c r="BE29" t="s">
        <v>3427</v>
      </c>
    </row>
    <row r="30" spans="1:58">
      <c r="A30" s="1">
        <f>HYPERLINK("https://lsnyc.legalserver.org/matter/dynamic-profile/view/1893864","19-1893864")</f>
        <v>0</v>
      </c>
      <c r="B30" t="s">
        <v>606</v>
      </c>
      <c r="E30" t="s">
        <v>381</v>
      </c>
      <c r="F30" t="s">
        <v>622</v>
      </c>
      <c r="G30" t="s">
        <v>636</v>
      </c>
      <c r="H30" t="s">
        <v>664</v>
      </c>
      <c r="I30" t="s">
        <v>811</v>
      </c>
      <c r="J30" t="s">
        <v>851</v>
      </c>
      <c r="K30" t="s">
        <v>1172</v>
      </c>
      <c r="L30" t="s">
        <v>1502</v>
      </c>
      <c r="M30" t="s">
        <v>1862</v>
      </c>
      <c r="N30" t="s">
        <v>288</v>
      </c>
      <c r="O30" t="s">
        <v>289</v>
      </c>
      <c r="P30">
        <v>11226</v>
      </c>
      <c r="Q30" t="s">
        <v>290</v>
      </c>
      <c r="R30" t="s">
        <v>290</v>
      </c>
      <c r="S30" t="s">
        <v>295</v>
      </c>
      <c r="T30" t="s">
        <v>2063</v>
      </c>
      <c r="U30">
        <v>34</v>
      </c>
      <c r="V30" t="s">
        <v>339</v>
      </c>
      <c r="W30" t="s">
        <v>346</v>
      </c>
      <c r="X30" t="s">
        <v>2438</v>
      </c>
      <c r="Y30" t="s">
        <v>348</v>
      </c>
      <c r="Z30" t="s">
        <v>350</v>
      </c>
      <c r="AC30" t="s">
        <v>352</v>
      </c>
      <c r="AE30" t="s">
        <v>372</v>
      </c>
      <c r="AF30">
        <v>2019</v>
      </c>
      <c r="AG30">
        <v>0</v>
      </c>
      <c r="AH30">
        <v>940.4299999999999</v>
      </c>
      <c r="AI30">
        <v>20.1</v>
      </c>
      <c r="AJ30" t="s">
        <v>2534</v>
      </c>
      <c r="AL30" t="s">
        <v>2981</v>
      </c>
      <c r="AM30">
        <v>28</v>
      </c>
      <c r="AO30">
        <v>3</v>
      </c>
      <c r="AP30">
        <v>0</v>
      </c>
      <c r="AQ30">
        <v>130.82</v>
      </c>
      <c r="AT30" t="s">
        <v>500</v>
      </c>
      <c r="AU30" t="s">
        <v>506</v>
      </c>
      <c r="AV30" t="s">
        <v>508</v>
      </c>
      <c r="AW30">
        <v>27904</v>
      </c>
      <c r="BA30" t="s">
        <v>522</v>
      </c>
      <c r="BD30" t="s">
        <v>3369</v>
      </c>
      <c r="BE30" t="s">
        <v>792</v>
      </c>
    </row>
    <row r="31" spans="1:58">
      <c r="A31" s="1">
        <f>HYPERLINK("https://lsnyc.legalserver.org/matter/dynamic-profile/view/1893950","19-1893950")</f>
        <v>0</v>
      </c>
      <c r="B31" t="s">
        <v>606</v>
      </c>
      <c r="E31" t="s">
        <v>381</v>
      </c>
      <c r="F31" t="s">
        <v>620</v>
      </c>
      <c r="G31" t="s">
        <v>636</v>
      </c>
      <c r="H31" t="s">
        <v>664</v>
      </c>
      <c r="I31" t="s">
        <v>560</v>
      </c>
      <c r="J31" t="s">
        <v>852</v>
      </c>
      <c r="K31" t="s">
        <v>1173</v>
      </c>
      <c r="L31" t="s">
        <v>1503</v>
      </c>
      <c r="M31" t="s">
        <v>1862</v>
      </c>
      <c r="N31" t="s">
        <v>288</v>
      </c>
      <c r="O31" t="s">
        <v>289</v>
      </c>
      <c r="P31">
        <v>11225</v>
      </c>
      <c r="Q31" t="s">
        <v>290</v>
      </c>
      <c r="R31" t="s">
        <v>290</v>
      </c>
      <c r="S31" t="s">
        <v>292</v>
      </c>
      <c r="T31" t="s">
        <v>2064</v>
      </c>
      <c r="U31">
        <v>12</v>
      </c>
      <c r="V31" t="s">
        <v>339</v>
      </c>
      <c r="W31" t="s">
        <v>346</v>
      </c>
      <c r="X31" t="s">
        <v>2438</v>
      </c>
      <c r="Y31" t="s">
        <v>348</v>
      </c>
      <c r="Z31" t="s">
        <v>350</v>
      </c>
      <c r="AA31" t="s">
        <v>350</v>
      </c>
      <c r="AC31" t="s">
        <v>352</v>
      </c>
      <c r="AD31" t="s">
        <v>356</v>
      </c>
      <c r="AE31" t="s">
        <v>372</v>
      </c>
      <c r="AF31">
        <v>2019</v>
      </c>
      <c r="AG31">
        <v>0</v>
      </c>
      <c r="AH31">
        <v>1175</v>
      </c>
      <c r="AI31">
        <v>4.15</v>
      </c>
      <c r="AJ31" t="s">
        <v>2535</v>
      </c>
      <c r="AL31" t="s">
        <v>2982</v>
      </c>
      <c r="AM31">
        <v>0</v>
      </c>
      <c r="AN31" t="s">
        <v>493</v>
      </c>
      <c r="AO31">
        <v>2</v>
      </c>
      <c r="AP31">
        <v>0</v>
      </c>
      <c r="AQ31">
        <v>189.24</v>
      </c>
      <c r="AT31" t="s">
        <v>500</v>
      </c>
      <c r="AU31" t="s">
        <v>503</v>
      </c>
      <c r="AV31" t="s">
        <v>508</v>
      </c>
      <c r="AW31">
        <v>32000</v>
      </c>
      <c r="BA31" t="s">
        <v>522</v>
      </c>
      <c r="BD31" t="s">
        <v>537</v>
      </c>
      <c r="BE31" t="s">
        <v>808</v>
      </c>
      <c r="BF31" t="s">
        <v>600</v>
      </c>
    </row>
    <row r="32" spans="1:58">
      <c r="A32" s="1">
        <f>HYPERLINK("https://lsnyc.legalserver.org/matter/dynamic-profile/view/1892890","19-1892890")</f>
        <v>0</v>
      </c>
      <c r="B32" t="s">
        <v>606</v>
      </c>
      <c r="E32" t="s">
        <v>381</v>
      </c>
      <c r="F32" t="s">
        <v>68</v>
      </c>
      <c r="G32" t="s">
        <v>636</v>
      </c>
      <c r="H32" t="s">
        <v>665</v>
      </c>
      <c r="I32" t="s">
        <v>813</v>
      </c>
      <c r="J32" t="s">
        <v>853</v>
      </c>
      <c r="K32" t="s">
        <v>1174</v>
      </c>
      <c r="L32" t="s">
        <v>1504</v>
      </c>
      <c r="M32">
        <v>2401</v>
      </c>
      <c r="N32" t="s">
        <v>288</v>
      </c>
      <c r="O32" t="s">
        <v>289</v>
      </c>
      <c r="P32">
        <v>11224</v>
      </c>
      <c r="Q32" t="s">
        <v>290</v>
      </c>
      <c r="R32" t="s">
        <v>290</v>
      </c>
      <c r="S32" t="s">
        <v>295</v>
      </c>
      <c r="T32" t="s">
        <v>2065</v>
      </c>
      <c r="U32">
        <v>3</v>
      </c>
      <c r="V32" t="s">
        <v>339</v>
      </c>
      <c r="W32" t="s">
        <v>346</v>
      </c>
      <c r="X32" t="s">
        <v>2438</v>
      </c>
      <c r="Y32" t="s">
        <v>349</v>
      </c>
      <c r="Z32" t="s">
        <v>350</v>
      </c>
      <c r="AC32" t="s">
        <v>352</v>
      </c>
      <c r="AD32" t="s">
        <v>356</v>
      </c>
      <c r="AE32" t="s">
        <v>372</v>
      </c>
      <c r="AF32">
        <v>2019</v>
      </c>
      <c r="AG32">
        <v>0</v>
      </c>
      <c r="AH32">
        <v>1230</v>
      </c>
      <c r="AI32">
        <v>27.35</v>
      </c>
      <c r="AJ32" t="s">
        <v>2536</v>
      </c>
      <c r="AL32" t="s">
        <v>2983</v>
      </c>
      <c r="AM32">
        <v>132</v>
      </c>
      <c r="AO32">
        <v>2</v>
      </c>
      <c r="AP32">
        <v>1</v>
      </c>
      <c r="AQ32">
        <v>0</v>
      </c>
      <c r="AT32" t="s">
        <v>501</v>
      </c>
      <c r="AU32" t="s">
        <v>3331</v>
      </c>
      <c r="AV32" t="s">
        <v>508</v>
      </c>
      <c r="AW32">
        <v>0</v>
      </c>
      <c r="BA32" t="s">
        <v>3341</v>
      </c>
      <c r="BD32" t="s">
        <v>3368</v>
      </c>
      <c r="BE32" t="s">
        <v>813</v>
      </c>
    </row>
    <row r="33" spans="1:58">
      <c r="A33" s="1">
        <f>HYPERLINK("https://lsnyc.legalserver.org/matter/dynamic-profile/view/1893143","19-1893143")</f>
        <v>0</v>
      </c>
      <c r="B33" t="s">
        <v>606</v>
      </c>
      <c r="E33" t="s">
        <v>381</v>
      </c>
      <c r="F33" t="s">
        <v>60</v>
      </c>
      <c r="G33" t="s">
        <v>636</v>
      </c>
      <c r="H33" t="s">
        <v>666</v>
      </c>
      <c r="I33" t="s">
        <v>815</v>
      </c>
      <c r="J33" t="s">
        <v>854</v>
      </c>
      <c r="K33" t="s">
        <v>1175</v>
      </c>
      <c r="L33" t="s">
        <v>1505</v>
      </c>
      <c r="M33" t="s">
        <v>1863</v>
      </c>
      <c r="N33" t="s">
        <v>288</v>
      </c>
      <c r="O33" t="s">
        <v>289</v>
      </c>
      <c r="P33">
        <v>11216</v>
      </c>
      <c r="Q33" t="s">
        <v>290</v>
      </c>
      <c r="R33" t="s">
        <v>290</v>
      </c>
      <c r="S33" t="s">
        <v>292</v>
      </c>
      <c r="T33" t="s">
        <v>2066</v>
      </c>
      <c r="U33">
        <v>20</v>
      </c>
      <c r="V33" t="s">
        <v>339</v>
      </c>
      <c r="W33" t="s">
        <v>346</v>
      </c>
      <c r="X33" t="s">
        <v>2438</v>
      </c>
      <c r="Y33" t="s">
        <v>348</v>
      </c>
      <c r="Z33" t="s">
        <v>350</v>
      </c>
      <c r="AC33" t="s">
        <v>352</v>
      </c>
      <c r="AE33" t="s">
        <v>372</v>
      </c>
      <c r="AF33">
        <v>2019</v>
      </c>
      <c r="AG33">
        <v>0</v>
      </c>
      <c r="AH33">
        <v>948</v>
      </c>
      <c r="AI33">
        <v>15</v>
      </c>
      <c r="AJ33" t="s">
        <v>2537</v>
      </c>
      <c r="AL33" t="s">
        <v>2984</v>
      </c>
      <c r="AM33">
        <v>7</v>
      </c>
      <c r="AO33">
        <v>4</v>
      </c>
      <c r="AP33">
        <v>1</v>
      </c>
      <c r="AQ33">
        <v>198.87</v>
      </c>
      <c r="AT33" t="s">
        <v>501</v>
      </c>
      <c r="AU33" t="s">
        <v>503</v>
      </c>
      <c r="AV33" t="s">
        <v>508</v>
      </c>
      <c r="AW33">
        <v>60000</v>
      </c>
      <c r="BA33" t="s">
        <v>522</v>
      </c>
      <c r="BD33" t="s">
        <v>540</v>
      </c>
      <c r="BE33" t="s">
        <v>3428</v>
      </c>
    </row>
    <row r="34" spans="1:58">
      <c r="A34" s="1">
        <f>HYPERLINK("https://lsnyc.legalserver.org/matter/dynamic-profile/view/1895393","19-1895393")</f>
        <v>0</v>
      </c>
      <c r="B34" t="s">
        <v>606</v>
      </c>
      <c r="E34" t="s">
        <v>381</v>
      </c>
      <c r="F34" t="s">
        <v>621</v>
      </c>
      <c r="G34" t="s">
        <v>636</v>
      </c>
      <c r="H34" t="s">
        <v>667</v>
      </c>
      <c r="I34" t="s">
        <v>816</v>
      </c>
      <c r="J34" t="s">
        <v>855</v>
      </c>
      <c r="K34" t="s">
        <v>1176</v>
      </c>
      <c r="L34" t="s">
        <v>1506</v>
      </c>
      <c r="M34">
        <v>19</v>
      </c>
      <c r="N34" t="s">
        <v>288</v>
      </c>
      <c r="O34" t="s">
        <v>289</v>
      </c>
      <c r="P34">
        <v>11206</v>
      </c>
      <c r="Q34" t="s">
        <v>290</v>
      </c>
      <c r="R34" t="s">
        <v>290</v>
      </c>
      <c r="S34" t="s">
        <v>295</v>
      </c>
      <c r="T34" t="s">
        <v>2067</v>
      </c>
      <c r="U34">
        <v>6</v>
      </c>
      <c r="V34" t="s">
        <v>339</v>
      </c>
      <c r="W34" t="s">
        <v>346</v>
      </c>
      <c r="X34" t="s">
        <v>2438</v>
      </c>
      <c r="Y34" t="s">
        <v>349</v>
      </c>
      <c r="Z34" t="s">
        <v>350</v>
      </c>
      <c r="AC34" t="s">
        <v>352</v>
      </c>
      <c r="AD34" t="s">
        <v>356</v>
      </c>
      <c r="AE34" t="s">
        <v>372</v>
      </c>
      <c r="AF34">
        <v>2019</v>
      </c>
      <c r="AG34">
        <v>0</v>
      </c>
      <c r="AH34">
        <v>799</v>
      </c>
      <c r="AI34">
        <v>13.7</v>
      </c>
      <c r="AJ34" t="s">
        <v>2538</v>
      </c>
      <c r="AL34" t="s">
        <v>2985</v>
      </c>
      <c r="AM34">
        <v>21</v>
      </c>
      <c r="AN34" t="s">
        <v>493</v>
      </c>
      <c r="AO34">
        <v>1</v>
      </c>
      <c r="AP34">
        <v>2</v>
      </c>
      <c r="AQ34">
        <v>0</v>
      </c>
      <c r="AT34" t="s">
        <v>501</v>
      </c>
      <c r="AU34" t="s">
        <v>503</v>
      </c>
      <c r="AV34" t="s">
        <v>508</v>
      </c>
      <c r="AW34">
        <v>0</v>
      </c>
      <c r="BA34" t="s">
        <v>3341</v>
      </c>
      <c r="BD34" t="s">
        <v>3368</v>
      </c>
      <c r="BE34" t="s">
        <v>3429</v>
      </c>
    </row>
    <row r="35" spans="1:58">
      <c r="A35" s="1">
        <f>HYPERLINK("https://lsnyc.legalserver.org/matter/dynamic-profile/view/1895032","19-1895032")</f>
        <v>0</v>
      </c>
      <c r="B35" t="s">
        <v>606</v>
      </c>
      <c r="E35" t="s">
        <v>381</v>
      </c>
      <c r="F35" t="s">
        <v>68</v>
      </c>
      <c r="G35" t="s">
        <v>636</v>
      </c>
      <c r="H35" t="s">
        <v>668</v>
      </c>
      <c r="I35" t="s">
        <v>817</v>
      </c>
      <c r="J35" t="s">
        <v>134</v>
      </c>
      <c r="K35" t="s">
        <v>1177</v>
      </c>
      <c r="L35" t="s">
        <v>1507</v>
      </c>
      <c r="M35">
        <v>704</v>
      </c>
      <c r="N35" t="s">
        <v>288</v>
      </c>
      <c r="O35" t="s">
        <v>289</v>
      </c>
      <c r="P35">
        <v>11201</v>
      </c>
      <c r="Q35" t="s">
        <v>290</v>
      </c>
      <c r="R35" t="s">
        <v>290</v>
      </c>
      <c r="S35" t="s">
        <v>295</v>
      </c>
      <c r="T35" t="s">
        <v>2068</v>
      </c>
      <c r="U35">
        <v>3</v>
      </c>
      <c r="V35" t="s">
        <v>339</v>
      </c>
      <c r="W35" t="s">
        <v>346</v>
      </c>
      <c r="X35" t="s">
        <v>2438</v>
      </c>
      <c r="Y35" t="s">
        <v>349</v>
      </c>
      <c r="Z35" t="s">
        <v>350</v>
      </c>
      <c r="AA35" t="s">
        <v>350</v>
      </c>
      <c r="AC35" t="s">
        <v>352</v>
      </c>
      <c r="AD35" t="s">
        <v>2443</v>
      </c>
      <c r="AE35" t="s">
        <v>372</v>
      </c>
      <c r="AF35">
        <v>2019</v>
      </c>
      <c r="AG35">
        <v>0</v>
      </c>
      <c r="AH35">
        <v>770</v>
      </c>
      <c r="AI35">
        <v>24.45</v>
      </c>
      <c r="AJ35" t="s">
        <v>2539</v>
      </c>
      <c r="AL35" t="s">
        <v>2986</v>
      </c>
      <c r="AM35">
        <v>290</v>
      </c>
      <c r="AN35" t="s">
        <v>3320</v>
      </c>
      <c r="AO35">
        <v>1</v>
      </c>
      <c r="AP35">
        <v>0</v>
      </c>
      <c r="AQ35">
        <v>0</v>
      </c>
      <c r="AT35" t="s">
        <v>500</v>
      </c>
      <c r="AU35" t="s">
        <v>503</v>
      </c>
      <c r="AV35" t="s">
        <v>508</v>
      </c>
      <c r="AW35">
        <v>0</v>
      </c>
      <c r="BA35" t="s">
        <v>3341</v>
      </c>
      <c r="BB35" t="s">
        <v>534</v>
      </c>
      <c r="BD35" t="s">
        <v>544</v>
      </c>
      <c r="BE35" t="s">
        <v>817</v>
      </c>
    </row>
    <row r="36" spans="1:58">
      <c r="A36" s="1">
        <f>HYPERLINK("https://lsnyc.legalserver.org/matter/dynamic-profile/view/1894590","19-1894590")</f>
        <v>0</v>
      </c>
      <c r="B36" t="s">
        <v>606</v>
      </c>
      <c r="E36" t="s">
        <v>381</v>
      </c>
      <c r="F36" t="s">
        <v>623</v>
      </c>
      <c r="G36" t="s">
        <v>636</v>
      </c>
      <c r="H36" t="s">
        <v>669</v>
      </c>
      <c r="I36" t="s">
        <v>591</v>
      </c>
      <c r="J36" t="s">
        <v>856</v>
      </c>
      <c r="K36" t="s">
        <v>1178</v>
      </c>
      <c r="L36" t="s">
        <v>1508</v>
      </c>
      <c r="M36" t="s">
        <v>1864</v>
      </c>
      <c r="N36" t="s">
        <v>288</v>
      </c>
      <c r="O36" t="s">
        <v>289</v>
      </c>
      <c r="P36">
        <v>11230</v>
      </c>
      <c r="Q36" t="s">
        <v>290</v>
      </c>
      <c r="R36" t="s">
        <v>291</v>
      </c>
      <c r="S36" t="s">
        <v>295</v>
      </c>
      <c r="T36" t="s">
        <v>2069</v>
      </c>
      <c r="U36">
        <v>1</v>
      </c>
      <c r="V36" t="s">
        <v>339</v>
      </c>
      <c r="W36" t="s">
        <v>346</v>
      </c>
      <c r="X36" t="s">
        <v>2438</v>
      </c>
      <c r="Y36" t="s">
        <v>349</v>
      </c>
      <c r="Z36" t="s">
        <v>350</v>
      </c>
      <c r="AC36" t="s">
        <v>352</v>
      </c>
      <c r="AE36" t="s">
        <v>2453</v>
      </c>
      <c r="AF36">
        <v>2019</v>
      </c>
      <c r="AG36">
        <v>0</v>
      </c>
      <c r="AH36">
        <v>1350</v>
      </c>
      <c r="AI36">
        <v>22.75</v>
      </c>
      <c r="AJ36" t="s">
        <v>2540</v>
      </c>
      <c r="AK36" t="s">
        <v>2902</v>
      </c>
      <c r="AL36" t="s">
        <v>2987</v>
      </c>
      <c r="AM36">
        <v>2</v>
      </c>
      <c r="AN36" t="s">
        <v>3320</v>
      </c>
      <c r="AO36">
        <v>1</v>
      </c>
      <c r="AP36">
        <v>6</v>
      </c>
      <c r="AQ36">
        <v>13.53</v>
      </c>
      <c r="AT36" t="s">
        <v>501</v>
      </c>
      <c r="AV36" t="s">
        <v>508</v>
      </c>
      <c r="AW36">
        <v>5280</v>
      </c>
      <c r="BA36" t="s">
        <v>530</v>
      </c>
      <c r="BD36" t="s">
        <v>3370</v>
      </c>
      <c r="BE36" t="s">
        <v>3430</v>
      </c>
    </row>
    <row r="37" spans="1:58">
      <c r="A37" s="1">
        <f>HYPERLINK("https://lsnyc.legalserver.org/matter/dynamic-profile/view/1895964","19-1895964")</f>
        <v>0</v>
      </c>
      <c r="B37" t="s">
        <v>606</v>
      </c>
      <c r="E37" t="s">
        <v>381</v>
      </c>
      <c r="F37" t="s">
        <v>68</v>
      </c>
      <c r="G37" t="s">
        <v>636</v>
      </c>
      <c r="H37" t="s">
        <v>670</v>
      </c>
      <c r="I37" t="s">
        <v>818</v>
      </c>
      <c r="J37" t="s">
        <v>857</v>
      </c>
      <c r="K37" t="s">
        <v>1179</v>
      </c>
      <c r="L37" t="s">
        <v>1509</v>
      </c>
      <c r="M37" t="s">
        <v>1865</v>
      </c>
      <c r="N37" t="s">
        <v>288</v>
      </c>
      <c r="O37" t="s">
        <v>289</v>
      </c>
      <c r="P37">
        <v>11213</v>
      </c>
      <c r="Q37" t="s">
        <v>290</v>
      </c>
      <c r="R37" t="s">
        <v>291</v>
      </c>
      <c r="S37" t="s">
        <v>295</v>
      </c>
      <c r="T37" t="s">
        <v>2070</v>
      </c>
      <c r="U37">
        <v>2</v>
      </c>
      <c r="V37" t="s">
        <v>339</v>
      </c>
      <c r="W37" t="s">
        <v>346</v>
      </c>
      <c r="X37" t="s">
        <v>2441</v>
      </c>
      <c r="Y37" t="s">
        <v>349</v>
      </c>
      <c r="Z37" t="s">
        <v>350</v>
      </c>
      <c r="AA37" t="s">
        <v>350</v>
      </c>
      <c r="AC37" t="s">
        <v>352</v>
      </c>
      <c r="AD37" t="s">
        <v>356</v>
      </c>
      <c r="AE37" t="s">
        <v>2454</v>
      </c>
      <c r="AF37">
        <v>2019</v>
      </c>
      <c r="AG37">
        <v>0</v>
      </c>
      <c r="AH37">
        <v>1800</v>
      </c>
      <c r="AI37">
        <v>13</v>
      </c>
      <c r="AJ37" t="s">
        <v>2541</v>
      </c>
      <c r="AL37" t="s">
        <v>2988</v>
      </c>
      <c r="AM37">
        <v>40</v>
      </c>
      <c r="AN37" t="s">
        <v>493</v>
      </c>
      <c r="AO37">
        <v>1</v>
      </c>
      <c r="AP37">
        <v>0</v>
      </c>
      <c r="AQ37">
        <v>249.8</v>
      </c>
      <c r="AT37" t="s">
        <v>501</v>
      </c>
      <c r="AU37" t="s">
        <v>503</v>
      </c>
      <c r="AV37" t="s">
        <v>508</v>
      </c>
      <c r="AW37">
        <v>31200</v>
      </c>
      <c r="BA37" t="s">
        <v>530</v>
      </c>
      <c r="BD37" t="s">
        <v>3371</v>
      </c>
      <c r="BE37" t="s">
        <v>818</v>
      </c>
      <c r="BF37" t="s">
        <v>600</v>
      </c>
    </row>
    <row r="38" spans="1:58">
      <c r="A38" s="1">
        <f>HYPERLINK("https://lsnyc.legalserver.org/matter/dynamic-profile/view/1896357","19-1896357")</f>
        <v>0</v>
      </c>
      <c r="B38" t="s">
        <v>606</v>
      </c>
      <c r="E38" t="s">
        <v>381</v>
      </c>
      <c r="F38" t="s">
        <v>68</v>
      </c>
      <c r="G38" t="s">
        <v>636</v>
      </c>
      <c r="H38" t="s">
        <v>671</v>
      </c>
      <c r="I38" t="s">
        <v>580</v>
      </c>
      <c r="J38" t="s">
        <v>858</v>
      </c>
      <c r="K38" t="s">
        <v>1180</v>
      </c>
      <c r="L38" t="s">
        <v>1510</v>
      </c>
      <c r="M38">
        <v>16</v>
      </c>
      <c r="N38" t="s">
        <v>288</v>
      </c>
      <c r="O38" t="s">
        <v>289</v>
      </c>
      <c r="P38">
        <v>11213</v>
      </c>
      <c r="Q38" t="s">
        <v>290</v>
      </c>
      <c r="R38" t="s">
        <v>290</v>
      </c>
      <c r="S38" t="s">
        <v>293</v>
      </c>
      <c r="T38" t="s">
        <v>2071</v>
      </c>
      <c r="U38">
        <v>20</v>
      </c>
      <c r="V38" t="s">
        <v>339</v>
      </c>
      <c r="W38" t="s">
        <v>346</v>
      </c>
      <c r="X38" t="s">
        <v>2439</v>
      </c>
      <c r="Y38" t="s">
        <v>349</v>
      </c>
      <c r="Z38" t="s">
        <v>350</v>
      </c>
      <c r="AC38" t="s">
        <v>352</v>
      </c>
      <c r="AE38" t="s">
        <v>374</v>
      </c>
      <c r="AF38">
        <v>2019</v>
      </c>
      <c r="AG38">
        <v>0</v>
      </c>
      <c r="AH38">
        <v>1400</v>
      </c>
      <c r="AI38">
        <v>6.65</v>
      </c>
      <c r="AJ38" t="s">
        <v>2542</v>
      </c>
      <c r="AM38">
        <v>0</v>
      </c>
      <c r="AO38">
        <v>1</v>
      </c>
      <c r="AP38">
        <v>0</v>
      </c>
      <c r="AQ38">
        <v>115.29</v>
      </c>
      <c r="AV38" t="s">
        <v>508</v>
      </c>
      <c r="AW38">
        <v>14400</v>
      </c>
      <c r="BA38" t="s">
        <v>530</v>
      </c>
      <c r="BD38" t="s">
        <v>537</v>
      </c>
      <c r="BE38" t="s">
        <v>580</v>
      </c>
    </row>
    <row r="39" spans="1:58">
      <c r="A39" s="1">
        <f>HYPERLINK("https://lsnyc.legalserver.org/matter/dynamic-profile/view/1896848","19-1896848")</f>
        <v>0</v>
      </c>
      <c r="B39" t="s">
        <v>606</v>
      </c>
      <c r="E39" t="s">
        <v>381</v>
      </c>
      <c r="F39" t="s">
        <v>625</v>
      </c>
      <c r="G39" t="s">
        <v>636</v>
      </c>
      <c r="H39" t="s">
        <v>672</v>
      </c>
      <c r="I39" t="s">
        <v>560</v>
      </c>
      <c r="J39" t="s">
        <v>859</v>
      </c>
      <c r="K39" t="s">
        <v>1181</v>
      </c>
      <c r="L39" t="s">
        <v>1511</v>
      </c>
      <c r="M39" t="s">
        <v>1866</v>
      </c>
      <c r="N39" t="s">
        <v>288</v>
      </c>
      <c r="O39" t="s">
        <v>289</v>
      </c>
      <c r="P39">
        <v>11226</v>
      </c>
      <c r="Q39" t="s">
        <v>290</v>
      </c>
      <c r="R39" t="s">
        <v>290</v>
      </c>
      <c r="S39" t="s">
        <v>295</v>
      </c>
      <c r="T39" t="s">
        <v>2072</v>
      </c>
      <c r="U39">
        <v>20</v>
      </c>
      <c r="V39" t="s">
        <v>339</v>
      </c>
      <c r="W39" t="s">
        <v>346</v>
      </c>
      <c r="X39" t="s">
        <v>2438</v>
      </c>
      <c r="Y39" t="s">
        <v>348</v>
      </c>
      <c r="Z39" t="s">
        <v>350</v>
      </c>
      <c r="AA39" t="s">
        <v>350</v>
      </c>
      <c r="AC39" t="s">
        <v>352</v>
      </c>
      <c r="AD39" t="s">
        <v>2443</v>
      </c>
      <c r="AE39" t="s">
        <v>375</v>
      </c>
      <c r="AF39">
        <v>2019</v>
      </c>
      <c r="AG39">
        <v>0</v>
      </c>
      <c r="AH39">
        <v>1029</v>
      </c>
      <c r="AI39">
        <v>7.15</v>
      </c>
      <c r="AJ39" t="s">
        <v>2543</v>
      </c>
      <c r="AL39" t="s">
        <v>2989</v>
      </c>
      <c r="AM39">
        <v>66</v>
      </c>
      <c r="AN39" t="s">
        <v>3320</v>
      </c>
      <c r="AO39">
        <v>2</v>
      </c>
      <c r="AP39">
        <v>0</v>
      </c>
      <c r="AQ39">
        <v>55.35</v>
      </c>
      <c r="AU39" t="s">
        <v>506</v>
      </c>
      <c r="AV39" t="s">
        <v>508</v>
      </c>
      <c r="AW39">
        <v>9360</v>
      </c>
      <c r="BA39" t="s">
        <v>3341</v>
      </c>
      <c r="BD39" t="s">
        <v>543</v>
      </c>
      <c r="BE39" t="s">
        <v>592</v>
      </c>
    </row>
    <row r="40" spans="1:58">
      <c r="A40" s="1">
        <f>HYPERLINK("https://lsnyc.legalserver.org/matter/dynamic-profile/view/1896862","19-1896862")</f>
        <v>0</v>
      </c>
      <c r="B40" t="s">
        <v>606</v>
      </c>
      <c r="E40" t="s">
        <v>381</v>
      </c>
      <c r="F40" t="s">
        <v>625</v>
      </c>
      <c r="G40" t="s">
        <v>636</v>
      </c>
      <c r="H40" t="s">
        <v>672</v>
      </c>
      <c r="I40" t="s">
        <v>568</v>
      </c>
      <c r="J40" t="s">
        <v>860</v>
      </c>
      <c r="K40" t="s">
        <v>1182</v>
      </c>
      <c r="L40" t="s">
        <v>1512</v>
      </c>
      <c r="M40" t="s">
        <v>1867</v>
      </c>
      <c r="N40" t="s">
        <v>288</v>
      </c>
      <c r="O40" t="s">
        <v>289</v>
      </c>
      <c r="P40">
        <v>11226</v>
      </c>
      <c r="Q40" t="s">
        <v>290</v>
      </c>
      <c r="R40" t="s">
        <v>290</v>
      </c>
      <c r="S40" t="s">
        <v>295</v>
      </c>
      <c r="T40" t="s">
        <v>2073</v>
      </c>
      <c r="U40">
        <v>27</v>
      </c>
      <c r="V40" t="s">
        <v>339</v>
      </c>
      <c r="W40" t="s">
        <v>346</v>
      </c>
      <c r="X40" t="s">
        <v>2438</v>
      </c>
      <c r="Y40" t="s">
        <v>348</v>
      </c>
      <c r="Z40" t="s">
        <v>350</v>
      </c>
      <c r="AA40" t="s">
        <v>350</v>
      </c>
      <c r="AC40" t="s">
        <v>352</v>
      </c>
      <c r="AD40" t="s">
        <v>356</v>
      </c>
      <c r="AE40" t="s">
        <v>375</v>
      </c>
      <c r="AF40">
        <v>2019</v>
      </c>
      <c r="AG40">
        <v>0</v>
      </c>
      <c r="AH40">
        <v>851.29</v>
      </c>
      <c r="AI40">
        <v>31.85</v>
      </c>
      <c r="AJ40" t="s">
        <v>2544</v>
      </c>
      <c r="AL40" t="s">
        <v>2990</v>
      </c>
      <c r="AM40">
        <v>126</v>
      </c>
      <c r="AN40" t="s">
        <v>493</v>
      </c>
      <c r="AO40">
        <v>2</v>
      </c>
      <c r="AP40">
        <v>0</v>
      </c>
      <c r="AQ40">
        <v>11.5</v>
      </c>
      <c r="AV40" t="s">
        <v>508</v>
      </c>
      <c r="AW40">
        <v>1944</v>
      </c>
      <c r="BA40" t="s">
        <v>3341</v>
      </c>
      <c r="BD40" t="s">
        <v>538</v>
      </c>
      <c r="BE40" t="s">
        <v>560</v>
      </c>
    </row>
    <row r="41" spans="1:58">
      <c r="A41" s="1">
        <f>HYPERLINK("https://lsnyc.legalserver.org/matter/dynamic-profile/view/1898176","19-1898176")</f>
        <v>0</v>
      </c>
      <c r="B41" t="s">
        <v>606</v>
      </c>
      <c r="E41" t="s">
        <v>381</v>
      </c>
      <c r="F41" t="s">
        <v>60</v>
      </c>
      <c r="G41" t="s">
        <v>636</v>
      </c>
      <c r="H41" t="s">
        <v>673</v>
      </c>
      <c r="I41" t="s">
        <v>817</v>
      </c>
      <c r="J41" t="s">
        <v>861</v>
      </c>
      <c r="K41" t="s">
        <v>1124</v>
      </c>
      <c r="L41" t="s">
        <v>1513</v>
      </c>
      <c r="M41" t="s">
        <v>1868</v>
      </c>
      <c r="N41" t="s">
        <v>288</v>
      </c>
      <c r="O41" t="s">
        <v>289</v>
      </c>
      <c r="P41">
        <v>11218</v>
      </c>
      <c r="Q41" t="s">
        <v>290</v>
      </c>
      <c r="R41" t="s">
        <v>350</v>
      </c>
      <c r="S41" t="s">
        <v>295</v>
      </c>
      <c r="T41" t="s">
        <v>2074</v>
      </c>
      <c r="U41">
        <v>9</v>
      </c>
      <c r="V41" t="s">
        <v>340</v>
      </c>
      <c r="W41" t="s">
        <v>346</v>
      </c>
      <c r="X41" t="s">
        <v>2439</v>
      </c>
      <c r="Y41" t="s">
        <v>349</v>
      </c>
      <c r="Z41" t="s">
        <v>350</v>
      </c>
      <c r="AA41" t="s">
        <v>350</v>
      </c>
      <c r="AC41" t="s">
        <v>352</v>
      </c>
      <c r="AD41" t="s">
        <v>356</v>
      </c>
      <c r="AE41" t="s">
        <v>2455</v>
      </c>
      <c r="AF41">
        <v>2019</v>
      </c>
      <c r="AG41">
        <v>0</v>
      </c>
      <c r="AH41">
        <v>1650</v>
      </c>
      <c r="AI41">
        <v>11.4</v>
      </c>
      <c r="AJ41" t="s">
        <v>2545</v>
      </c>
      <c r="AL41" t="s">
        <v>2991</v>
      </c>
      <c r="AM41">
        <v>3</v>
      </c>
      <c r="AN41" t="s">
        <v>496</v>
      </c>
      <c r="AO41">
        <v>4</v>
      </c>
      <c r="AP41">
        <v>4</v>
      </c>
      <c r="AQ41">
        <v>141.12</v>
      </c>
      <c r="AU41" t="s">
        <v>503</v>
      </c>
      <c r="AV41" t="s">
        <v>508</v>
      </c>
      <c r="AW41">
        <v>61288</v>
      </c>
      <c r="BA41" t="s">
        <v>3342</v>
      </c>
      <c r="BD41" t="s">
        <v>3372</v>
      </c>
      <c r="BE41" t="s">
        <v>817</v>
      </c>
      <c r="BF41" t="s">
        <v>600</v>
      </c>
    </row>
    <row r="42" spans="1:58">
      <c r="A42" s="1">
        <f>HYPERLINK("https://lsnyc.legalserver.org/matter/dynamic-profile/view/1896273","19-1896273")</f>
        <v>0</v>
      </c>
      <c r="B42" t="s">
        <v>606</v>
      </c>
      <c r="E42" t="s">
        <v>381</v>
      </c>
      <c r="F42" t="s">
        <v>60</v>
      </c>
      <c r="G42" t="s">
        <v>636</v>
      </c>
      <c r="H42" t="s">
        <v>674</v>
      </c>
      <c r="I42" t="s">
        <v>813</v>
      </c>
      <c r="J42" t="s">
        <v>168</v>
      </c>
      <c r="K42" t="s">
        <v>1183</v>
      </c>
      <c r="L42" t="s">
        <v>1514</v>
      </c>
      <c r="M42" t="s">
        <v>1869</v>
      </c>
      <c r="N42" t="s">
        <v>288</v>
      </c>
      <c r="O42" t="s">
        <v>289</v>
      </c>
      <c r="P42">
        <v>11222</v>
      </c>
      <c r="Q42" t="s">
        <v>290</v>
      </c>
      <c r="R42" t="s">
        <v>290</v>
      </c>
      <c r="S42" t="s">
        <v>295</v>
      </c>
      <c r="T42" t="s">
        <v>2075</v>
      </c>
      <c r="U42">
        <v>0</v>
      </c>
      <c r="V42" t="s">
        <v>339</v>
      </c>
      <c r="W42" t="s">
        <v>346</v>
      </c>
      <c r="X42" t="s">
        <v>2439</v>
      </c>
      <c r="Y42" t="s">
        <v>349</v>
      </c>
      <c r="Z42" t="s">
        <v>350</v>
      </c>
      <c r="AC42" t="s">
        <v>352</v>
      </c>
      <c r="AE42" t="s">
        <v>357</v>
      </c>
      <c r="AF42">
        <v>2019</v>
      </c>
      <c r="AG42">
        <v>0</v>
      </c>
      <c r="AH42">
        <v>752</v>
      </c>
      <c r="AI42">
        <v>16.2</v>
      </c>
      <c r="AJ42" t="s">
        <v>2546</v>
      </c>
      <c r="AK42" t="s">
        <v>2903</v>
      </c>
      <c r="AM42">
        <v>0</v>
      </c>
      <c r="AO42">
        <v>1</v>
      </c>
      <c r="AP42">
        <v>0</v>
      </c>
      <c r="AQ42">
        <v>74.08</v>
      </c>
      <c r="AV42" t="s">
        <v>508</v>
      </c>
      <c r="AW42">
        <v>9252</v>
      </c>
      <c r="BA42" t="s">
        <v>3342</v>
      </c>
      <c r="BD42" t="s">
        <v>543</v>
      </c>
      <c r="BE42" t="s">
        <v>817</v>
      </c>
      <c r="BF42" t="s">
        <v>600</v>
      </c>
    </row>
    <row r="43" spans="1:58">
      <c r="A43" s="1">
        <f>HYPERLINK("https://lsnyc.legalserver.org/matter/dynamic-profile/view/1895943","19-1895943")</f>
        <v>0</v>
      </c>
      <c r="B43" t="s">
        <v>606</v>
      </c>
      <c r="E43" t="s">
        <v>381</v>
      </c>
      <c r="F43" t="s">
        <v>624</v>
      </c>
      <c r="G43" t="s">
        <v>636</v>
      </c>
      <c r="H43" t="s">
        <v>670</v>
      </c>
      <c r="I43" t="s">
        <v>593</v>
      </c>
      <c r="J43" t="s">
        <v>862</v>
      </c>
      <c r="K43" t="s">
        <v>1184</v>
      </c>
      <c r="L43" t="s">
        <v>1515</v>
      </c>
      <c r="M43" t="s">
        <v>1870</v>
      </c>
      <c r="N43" t="s">
        <v>288</v>
      </c>
      <c r="O43" t="s">
        <v>289</v>
      </c>
      <c r="P43">
        <v>11221</v>
      </c>
      <c r="Q43" t="s">
        <v>290</v>
      </c>
      <c r="R43" t="s">
        <v>290</v>
      </c>
      <c r="S43" t="s">
        <v>292</v>
      </c>
      <c r="T43" t="s">
        <v>2076</v>
      </c>
      <c r="U43">
        <v>9</v>
      </c>
      <c r="V43" t="s">
        <v>339</v>
      </c>
      <c r="W43" t="s">
        <v>346</v>
      </c>
      <c r="X43" t="s">
        <v>2439</v>
      </c>
      <c r="Y43" t="s">
        <v>348</v>
      </c>
      <c r="Z43" t="s">
        <v>350</v>
      </c>
      <c r="AC43" t="s">
        <v>352</v>
      </c>
      <c r="AE43" t="s">
        <v>357</v>
      </c>
      <c r="AF43">
        <v>2019</v>
      </c>
      <c r="AG43">
        <v>0</v>
      </c>
      <c r="AH43">
        <v>1097.36</v>
      </c>
      <c r="AI43">
        <v>13.15</v>
      </c>
      <c r="AJ43" t="s">
        <v>2547</v>
      </c>
      <c r="AL43" t="s">
        <v>2992</v>
      </c>
      <c r="AM43">
        <v>8</v>
      </c>
      <c r="AO43">
        <v>1</v>
      </c>
      <c r="AP43">
        <v>3</v>
      </c>
      <c r="AQ43">
        <v>52.82</v>
      </c>
      <c r="AT43" t="s">
        <v>501</v>
      </c>
      <c r="AU43" t="s">
        <v>503</v>
      </c>
      <c r="AV43" t="s">
        <v>508</v>
      </c>
      <c r="AW43">
        <v>13600</v>
      </c>
      <c r="BA43" t="s">
        <v>3342</v>
      </c>
      <c r="BD43" t="s">
        <v>540</v>
      </c>
      <c r="BE43" t="s">
        <v>3431</v>
      </c>
      <c r="BF43" t="s">
        <v>600</v>
      </c>
    </row>
    <row r="44" spans="1:58">
      <c r="A44" s="1">
        <f>HYPERLINK("https://lsnyc.legalserver.org/matter/dynamic-profile/view/1897012","19-1897012")</f>
        <v>0</v>
      </c>
      <c r="B44" t="s">
        <v>606</v>
      </c>
      <c r="E44" t="s">
        <v>381</v>
      </c>
      <c r="F44" t="s">
        <v>624</v>
      </c>
      <c r="G44" t="s">
        <v>636</v>
      </c>
      <c r="H44" t="s">
        <v>675</v>
      </c>
      <c r="I44" t="s">
        <v>593</v>
      </c>
      <c r="J44" t="s">
        <v>863</v>
      </c>
      <c r="K44" t="s">
        <v>1185</v>
      </c>
      <c r="L44" t="s">
        <v>1516</v>
      </c>
      <c r="M44" t="s">
        <v>1870</v>
      </c>
      <c r="N44" t="s">
        <v>288</v>
      </c>
      <c r="O44" t="s">
        <v>289</v>
      </c>
      <c r="P44">
        <v>11221</v>
      </c>
      <c r="Q44" t="s">
        <v>290</v>
      </c>
      <c r="R44" t="s">
        <v>290</v>
      </c>
      <c r="S44" t="s">
        <v>292</v>
      </c>
      <c r="T44" t="s">
        <v>2077</v>
      </c>
      <c r="U44">
        <v>18</v>
      </c>
      <c r="V44" t="s">
        <v>339</v>
      </c>
      <c r="W44" t="s">
        <v>346</v>
      </c>
      <c r="X44" t="s">
        <v>2439</v>
      </c>
      <c r="Y44" t="s">
        <v>348</v>
      </c>
      <c r="Z44" t="s">
        <v>350</v>
      </c>
      <c r="AC44" t="s">
        <v>352</v>
      </c>
      <c r="AE44" t="s">
        <v>357</v>
      </c>
      <c r="AF44">
        <v>2019</v>
      </c>
      <c r="AG44">
        <v>0</v>
      </c>
      <c r="AH44">
        <v>454</v>
      </c>
      <c r="AI44">
        <v>5.85</v>
      </c>
      <c r="AJ44" t="s">
        <v>2548</v>
      </c>
      <c r="AL44" t="s">
        <v>2993</v>
      </c>
      <c r="AM44">
        <v>0</v>
      </c>
      <c r="AO44">
        <v>2</v>
      </c>
      <c r="AP44">
        <v>3</v>
      </c>
      <c r="AQ44">
        <v>132.58</v>
      </c>
      <c r="AU44" t="s">
        <v>503</v>
      </c>
      <c r="AV44" t="s">
        <v>508</v>
      </c>
      <c r="AW44">
        <v>40000</v>
      </c>
      <c r="BA44" t="s">
        <v>3342</v>
      </c>
      <c r="BD44" t="s">
        <v>540</v>
      </c>
      <c r="BE44" t="s">
        <v>3426</v>
      </c>
      <c r="BF44" t="s">
        <v>600</v>
      </c>
    </row>
    <row r="45" spans="1:58">
      <c r="A45" s="1">
        <f>HYPERLINK("https://lsnyc.legalserver.org/matter/dynamic-profile/view/1893185","19-1893185")</f>
        <v>0</v>
      </c>
      <c r="B45" t="s">
        <v>606</v>
      </c>
      <c r="E45" t="s">
        <v>381</v>
      </c>
      <c r="F45" t="s">
        <v>72</v>
      </c>
      <c r="G45" t="s">
        <v>636</v>
      </c>
      <c r="H45" t="s">
        <v>666</v>
      </c>
      <c r="I45" t="s">
        <v>819</v>
      </c>
      <c r="J45" t="s">
        <v>864</v>
      </c>
      <c r="K45" t="s">
        <v>1186</v>
      </c>
      <c r="L45" t="s">
        <v>1517</v>
      </c>
      <c r="M45" t="s">
        <v>1860</v>
      </c>
      <c r="N45" t="s">
        <v>288</v>
      </c>
      <c r="O45" t="s">
        <v>289</v>
      </c>
      <c r="P45">
        <v>11230</v>
      </c>
      <c r="Q45" t="s">
        <v>290</v>
      </c>
      <c r="R45" t="s">
        <v>290</v>
      </c>
      <c r="S45" t="s">
        <v>293</v>
      </c>
      <c r="T45" t="s">
        <v>2078</v>
      </c>
      <c r="U45">
        <v>30</v>
      </c>
      <c r="V45" t="s">
        <v>342</v>
      </c>
      <c r="W45" t="s">
        <v>346</v>
      </c>
      <c r="X45" t="s">
        <v>2438</v>
      </c>
      <c r="Y45" t="s">
        <v>349</v>
      </c>
      <c r="Z45" t="s">
        <v>350</v>
      </c>
      <c r="AC45" t="s">
        <v>352</v>
      </c>
      <c r="AE45" t="s">
        <v>357</v>
      </c>
      <c r="AF45">
        <v>2019</v>
      </c>
      <c r="AG45">
        <v>0</v>
      </c>
      <c r="AH45">
        <v>865.78</v>
      </c>
      <c r="AI45">
        <v>8.4</v>
      </c>
      <c r="AJ45" t="s">
        <v>2549</v>
      </c>
      <c r="AL45" t="s">
        <v>2994</v>
      </c>
      <c r="AM45">
        <v>34</v>
      </c>
      <c r="AO45">
        <v>2</v>
      </c>
      <c r="AP45">
        <v>0</v>
      </c>
      <c r="AQ45">
        <v>36.62</v>
      </c>
      <c r="AT45" t="s">
        <v>500</v>
      </c>
      <c r="AU45" t="s">
        <v>506</v>
      </c>
      <c r="AV45" t="s">
        <v>508</v>
      </c>
      <c r="AW45">
        <v>6192</v>
      </c>
      <c r="BA45" t="s">
        <v>3341</v>
      </c>
      <c r="BD45" t="s">
        <v>3373</v>
      </c>
      <c r="BE45" t="s">
        <v>819</v>
      </c>
      <c r="BF45" t="s">
        <v>600</v>
      </c>
    </row>
    <row r="46" spans="1:58">
      <c r="A46" s="1">
        <f>HYPERLINK("https://lsnyc.legalserver.org/matter/dynamic-profile/view/1898583","19-1898583")</f>
        <v>0</v>
      </c>
      <c r="B46" t="s">
        <v>606</v>
      </c>
      <c r="E46" t="s">
        <v>381</v>
      </c>
      <c r="F46" t="s">
        <v>69</v>
      </c>
      <c r="G46" t="s">
        <v>636</v>
      </c>
      <c r="H46" t="s">
        <v>676</v>
      </c>
      <c r="I46" t="s">
        <v>820</v>
      </c>
      <c r="J46" t="s">
        <v>865</v>
      </c>
      <c r="K46" t="s">
        <v>887</v>
      </c>
      <c r="L46" t="s">
        <v>1518</v>
      </c>
      <c r="M46" t="s">
        <v>1871</v>
      </c>
      <c r="N46" t="s">
        <v>288</v>
      </c>
      <c r="O46" t="s">
        <v>289</v>
      </c>
      <c r="P46">
        <v>11225</v>
      </c>
      <c r="Q46" t="s">
        <v>290</v>
      </c>
      <c r="R46" t="s">
        <v>290</v>
      </c>
      <c r="S46" t="s">
        <v>292</v>
      </c>
      <c r="T46" t="s">
        <v>2079</v>
      </c>
      <c r="U46">
        <v>28</v>
      </c>
      <c r="V46" t="s">
        <v>339</v>
      </c>
      <c r="W46" t="s">
        <v>346</v>
      </c>
      <c r="X46" t="s">
        <v>2438</v>
      </c>
      <c r="Y46" t="s">
        <v>348</v>
      </c>
      <c r="Z46" t="s">
        <v>350</v>
      </c>
      <c r="AA46" t="s">
        <v>350</v>
      </c>
      <c r="AC46" t="s">
        <v>352</v>
      </c>
      <c r="AE46" t="s">
        <v>357</v>
      </c>
      <c r="AF46">
        <v>2019</v>
      </c>
      <c r="AG46">
        <v>0</v>
      </c>
      <c r="AH46">
        <v>804.54</v>
      </c>
      <c r="AI46">
        <v>6.6</v>
      </c>
      <c r="AJ46" t="s">
        <v>2550</v>
      </c>
      <c r="AL46" t="s">
        <v>2995</v>
      </c>
      <c r="AM46">
        <v>38</v>
      </c>
      <c r="AO46">
        <v>1</v>
      </c>
      <c r="AP46">
        <v>2</v>
      </c>
      <c r="AQ46">
        <v>119.21</v>
      </c>
      <c r="AV46" t="s">
        <v>508</v>
      </c>
      <c r="AW46">
        <v>25428</v>
      </c>
      <c r="BA46" t="s">
        <v>522</v>
      </c>
      <c r="BD46" t="s">
        <v>540</v>
      </c>
      <c r="BE46" t="s">
        <v>820</v>
      </c>
      <c r="BF46" t="s">
        <v>600</v>
      </c>
    </row>
    <row r="47" spans="1:58">
      <c r="A47" s="1">
        <f>HYPERLINK("https://lsnyc.legalserver.org/matter/dynamic-profile/view/1897116","19-1897116")</f>
        <v>0</v>
      </c>
      <c r="B47" t="s">
        <v>606</v>
      </c>
      <c r="E47" t="s">
        <v>381</v>
      </c>
      <c r="F47" t="s">
        <v>621</v>
      </c>
      <c r="G47" t="s">
        <v>636</v>
      </c>
      <c r="H47" t="s">
        <v>677</v>
      </c>
      <c r="I47" t="s">
        <v>816</v>
      </c>
      <c r="J47" t="s">
        <v>866</v>
      </c>
      <c r="K47" t="s">
        <v>1187</v>
      </c>
      <c r="L47" t="s">
        <v>1519</v>
      </c>
      <c r="N47" t="s">
        <v>288</v>
      </c>
      <c r="O47" t="s">
        <v>289</v>
      </c>
      <c r="P47">
        <v>11221</v>
      </c>
      <c r="Q47" t="s">
        <v>290</v>
      </c>
      <c r="R47" t="s">
        <v>290</v>
      </c>
      <c r="S47" t="s">
        <v>292</v>
      </c>
      <c r="T47" t="s">
        <v>2080</v>
      </c>
      <c r="U47">
        <v>2</v>
      </c>
      <c r="V47" t="s">
        <v>340</v>
      </c>
      <c r="W47" t="s">
        <v>346</v>
      </c>
      <c r="X47" t="s">
        <v>2438</v>
      </c>
      <c r="Y47" t="s">
        <v>348</v>
      </c>
      <c r="Z47" t="s">
        <v>350</v>
      </c>
      <c r="AA47" t="s">
        <v>350</v>
      </c>
      <c r="AC47" t="s">
        <v>352</v>
      </c>
      <c r="AE47" t="s">
        <v>357</v>
      </c>
      <c r="AF47">
        <v>2019</v>
      </c>
      <c r="AG47">
        <v>0</v>
      </c>
      <c r="AH47">
        <v>2770</v>
      </c>
      <c r="AI47">
        <v>1.2</v>
      </c>
      <c r="AJ47" t="s">
        <v>2551</v>
      </c>
      <c r="AL47" t="s">
        <v>2996</v>
      </c>
      <c r="AM47">
        <v>3</v>
      </c>
      <c r="AO47">
        <v>1</v>
      </c>
      <c r="AP47">
        <v>0</v>
      </c>
      <c r="AQ47">
        <v>0</v>
      </c>
      <c r="AV47" t="s">
        <v>508</v>
      </c>
      <c r="AW47">
        <v>0</v>
      </c>
      <c r="BA47" t="s">
        <v>522</v>
      </c>
      <c r="BD47" t="s">
        <v>544</v>
      </c>
      <c r="BE47" t="s">
        <v>816</v>
      </c>
      <c r="BF47" t="s">
        <v>600</v>
      </c>
    </row>
    <row r="48" spans="1:58">
      <c r="A48" s="1">
        <f>HYPERLINK("https://lsnyc.legalserver.org/matter/dynamic-profile/view/1898595","19-1898595")</f>
        <v>0</v>
      </c>
      <c r="B48" t="s">
        <v>606</v>
      </c>
      <c r="E48" t="s">
        <v>381</v>
      </c>
      <c r="F48" t="s">
        <v>619</v>
      </c>
      <c r="G48" t="s">
        <v>636</v>
      </c>
      <c r="H48" t="s">
        <v>676</v>
      </c>
      <c r="I48" t="s">
        <v>586</v>
      </c>
      <c r="J48" t="s">
        <v>867</v>
      </c>
      <c r="K48" t="s">
        <v>1188</v>
      </c>
      <c r="L48" t="s">
        <v>1520</v>
      </c>
      <c r="M48" t="s">
        <v>1872</v>
      </c>
      <c r="N48" t="s">
        <v>288</v>
      </c>
      <c r="O48" t="s">
        <v>289</v>
      </c>
      <c r="P48">
        <v>11216</v>
      </c>
      <c r="Q48" t="s">
        <v>290</v>
      </c>
      <c r="R48" t="s">
        <v>290</v>
      </c>
      <c r="S48" t="s">
        <v>292</v>
      </c>
      <c r="T48" t="s">
        <v>2081</v>
      </c>
      <c r="U48">
        <v>15</v>
      </c>
      <c r="V48" t="s">
        <v>339</v>
      </c>
      <c r="W48" t="s">
        <v>346</v>
      </c>
      <c r="X48" t="s">
        <v>2438</v>
      </c>
      <c r="Y48" t="s">
        <v>348</v>
      </c>
      <c r="Z48" t="s">
        <v>350</v>
      </c>
      <c r="AA48" t="s">
        <v>350</v>
      </c>
      <c r="AC48" t="s">
        <v>352</v>
      </c>
      <c r="AE48" t="s">
        <v>357</v>
      </c>
      <c r="AF48">
        <v>2019</v>
      </c>
      <c r="AG48">
        <v>0</v>
      </c>
      <c r="AH48">
        <v>996.17</v>
      </c>
      <c r="AI48">
        <v>2.2</v>
      </c>
      <c r="AJ48" t="s">
        <v>2552</v>
      </c>
      <c r="AL48" t="s">
        <v>2997</v>
      </c>
      <c r="AM48">
        <v>0</v>
      </c>
      <c r="AO48">
        <v>1</v>
      </c>
      <c r="AP48">
        <v>2</v>
      </c>
      <c r="AQ48">
        <v>43.38</v>
      </c>
      <c r="AV48" t="s">
        <v>508</v>
      </c>
      <c r="AW48">
        <v>9252</v>
      </c>
      <c r="BA48" t="s">
        <v>522</v>
      </c>
      <c r="BD48" t="s">
        <v>543</v>
      </c>
      <c r="BE48" t="s">
        <v>3424</v>
      </c>
      <c r="BF48" t="s">
        <v>600</v>
      </c>
    </row>
    <row r="49" spans="1:58">
      <c r="A49" s="1">
        <f>HYPERLINK("https://lsnyc.legalserver.org/matter/dynamic-profile/view/1895107","19-1895107")</f>
        <v>0</v>
      </c>
      <c r="B49" t="s">
        <v>606</v>
      </c>
      <c r="E49" t="s">
        <v>381</v>
      </c>
      <c r="F49" t="s">
        <v>621</v>
      </c>
      <c r="G49" t="s">
        <v>636</v>
      </c>
      <c r="H49" t="s">
        <v>668</v>
      </c>
      <c r="I49" t="s">
        <v>821</v>
      </c>
      <c r="J49" t="s">
        <v>868</v>
      </c>
      <c r="K49" t="s">
        <v>1148</v>
      </c>
      <c r="L49" t="s">
        <v>1521</v>
      </c>
      <c r="M49" t="s">
        <v>1873</v>
      </c>
      <c r="N49" t="s">
        <v>288</v>
      </c>
      <c r="O49" t="s">
        <v>289</v>
      </c>
      <c r="P49">
        <v>11230</v>
      </c>
      <c r="Q49" t="s">
        <v>290</v>
      </c>
      <c r="R49" t="s">
        <v>290</v>
      </c>
      <c r="S49" t="s">
        <v>293</v>
      </c>
      <c r="T49" t="s">
        <v>2082</v>
      </c>
      <c r="U49">
        <v>32</v>
      </c>
      <c r="V49" t="s">
        <v>2430</v>
      </c>
      <c r="W49" t="s">
        <v>346</v>
      </c>
      <c r="X49" t="s">
        <v>2441</v>
      </c>
      <c r="Y49" t="s">
        <v>349</v>
      </c>
      <c r="Z49" t="s">
        <v>350</v>
      </c>
      <c r="AC49" t="s">
        <v>352</v>
      </c>
      <c r="AE49" t="s">
        <v>357</v>
      </c>
      <c r="AF49">
        <v>2019</v>
      </c>
      <c r="AG49">
        <v>0</v>
      </c>
      <c r="AH49">
        <v>1065</v>
      </c>
      <c r="AI49">
        <v>5.3</v>
      </c>
      <c r="AJ49" t="s">
        <v>2553</v>
      </c>
      <c r="AL49" t="s">
        <v>2998</v>
      </c>
      <c r="AM49">
        <v>0</v>
      </c>
      <c r="AO49">
        <v>1</v>
      </c>
      <c r="AP49">
        <v>2</v>
      </c>
      <c r="AQ49">
        <v>57.38</v>
      </c>
      <c r="AT49" t="s">
        <v>501</v>
      </c>
      <c r="AU49" t="s">
        <v>503</v>
      </c>
      <c r="AV49" t="s">
        <v>508</v>
      </c>
      <c r="AW49">
        <v>12240</v>
      </c>
      <c r="BA49" t="s">
        <v>3341</v>
      </c>
      <c r="BD49" t="s">
        <v>3374</v>
      </c>
      <c r="BE49" t="s">
        <v>821</v>
      </c>
      <c r="BF49" t="s">
        <v>600</v>
      </c>
    </row>
    <row r="50" spans="1:58">
      <c r="A50" s="1">
        <f>HYPERLINK("https://lsnyc.legalserver.org/matter/dynamic-profile/view/1898783","19-1898783")</f>
        <v>0</v>
      </c>
      <c r="B50" t="s">
        <v>606</v>
      </c>
      <c r="E50" t="s">
        <v>381</v>
      </c>
      <c r="F50" t="s">
        <v>622</v>
      </c>
      <c r="G50" t="s">
        <v>636</v>
      </c>
      <c r="H50" t="s">
        <v>678</v>
      </c>
      <c r="I50" t="s">
        <v>811</v>
      </c>
      <c r="J50" t="s">
        <v>869</v>
      </c>
      <c r="K50" t="s">
        <v>1189</v>
      </c>
      <c r="L50" t="s">
        <v>1522</v>
      </c>
      <c r="M50" t="s">
        <v>275</v>
      </c>
      <c r="N50" t="s">
        <v>288</v>
      </c>
      <c r="O50" t="s">
        <v>289</v>
      </c>
      <c r="P50">
        <v>11213</v>
      </c>
      <c r="Q50" t="s">
        <v>290</v>
      </c>
      <c r="R50" t="s">
        <v>290</v>
      </c>
      <c r="S50" t="s">
        <v>293</v>
      </c>
      <c r="T50" t="s">
        <v>2083</v>
      </c>
      <c r="U50">
        <v>26</v>
      </c>
      <c r="V50" t="s">
        <v>339</v>
      </c>
      <c r="W50" t="s">
        <v>346</v>
      </c>
      <c r="X50" t="s">
        <v>2438</v>
      </c>
      <c r="Y50" t="s">
        <v>349</v>
      </c>
      <c r="Z50" t="s">
        <v>350</v>
      </c>
      <c r="AC50" t="s">
        <v>352</v>
      </c>
      <c r="AE50" t="s">
        <v>2456</v>
      </c>
      <c r="AF50">
        <v>2019</v>
      </c>
      <c r="AG50">
        <v>0</v>
      </c>
      <c r="AH50">
        <v>1032.49</v>
      </c>
      <c r="AI50">
        <v>14.6</v>
      </c>
      <c r="AJ50" t="s">
        <v>2554</v>
      </c>
      <c r="AL50" t="s">
        <v>2999</v>
      </c>
      <c r="AM50">
        <v>6</v>
      </c>
      <c r="AN50" t="s">
        <v>493</v>
      </c>
      <c r="AO50">
        <v>1</v>
      </c>
      <c r="AP50">
        <v>0</v>
      </c>
      <c r="AQ50">
        <v>249.8</v>
      </c>
      <c r="AR50" t="s">
        <v>822</v>
      </c>
      <c r="AS50" t="s">
        <v>3328</v>
      </c>
      <c r="AV50" t="s">
        <v>508</v>
      </c>
      <c r="AW50">
        <v>31200</v>
      </c>
      <c r="BA50" t="s">
        <v>530</v>
      </c>
      <c r="BD50" t="s">
        <v>537</v>
      </c>
      <c r="BE50" t="s">
        <v>592</v>
      </c>
    </row>
    <row r="51" spans="1:58">
      <c r="A51" s="1">
        <f>HYPERLINK("https://lsnyc.legalserver.org/matter/dynamic-profile/view/1898600","19-1898600")</f>
        <v>0</v>
      </c>
      <c r="B51" t="s">
        <v>606</v>
      </c>
      <c r="E51" t="s">
        <v>381</v>
      </c>
      <c r="F51" t="s">
        <v>68</v>
      </c>
      <c r="G51" t="s">
        <v>636</v>
      </c>
      <c r="H51" t="s">
        <v>676</v>
      </c>
      <c r="I51" t="s">
        <v>813</v>
      </c>
      <c r="J51" t="s">
        <v>870</v>
      </c>
      <c r="K51" t="s">
        <v>1190</v>
      </c>
      <c r="L51" t="s">
        <v>1499</v>
      </c>
      <c r="M51" t="s">
        <v>1874</v>
      </c>
      <c r="N51" t="s">
        <v>288</v>
      </c>
      <c r="O51" t="s">
        <v>289</v>
      </c>
      <c r="P51">
        <v>11226</v>
      </c>
      <c r="Q51" t="s">
        <v>290</v>
      </c>
      <c r="R51" t="s">
        <v>290</v>
      </c>
      <c r="S51" t="s">
        <v>295</v>
      </c>
      <c r="T51" t="s">
        <v>2084</v>
      </c>
      <c r="U51">
        <v>10</v>
      </c>
      <c r="V51" t="s">
        <v>339</v>
      </c>
      <c r="W51" t="s">
        <v>346</v>
      </c>
      <c r="X51" t="s">
        <v>2439</v>
      </c>
      <c r="Y51" t="s">
        <v>348</v>
      </c>
      <c r="Z51" t="s">
        <v>350</v>
      </c>
      <c r="AA51" t="s">
        <v>350</v>
      </c>
      <c r="AC51" t="s">
        <v>352</v>
      </c>
      <c r="AE51" t="s">
        <v>359</v>
      </c>
      <c r="AF51">
        <v>2019</v>
      </c>
      <c r="AG51">
        <v>0</v>
      </c>
      <c r="AH51">
        <v>1024</v>
      </c>
      <c r="AI51">
        <v>6.7</v>
      </c>
      <c r="AJ51" t="s">
        <v>2555</v>
      </c>
      <c r="AK51" t="s">
        <v>2904</v>
      </c>
      <c r="AL51" t="s">
        <v>3000</v>
      </c>
      <c r="AM51">
        <v>139</v>
      </c>
      <c r="AN51" t="s">
        <v>493</v>
      </c>
      <c r="AO51">
        <v>2</v>
      </c>
      <c r="AP51">
        <v>0</v>
      </c>
      <c r="AQ51">
        <v>181.5</v>
      </c>
      <c r="AU51" t="s">
        <v>503</v>
      </c>
      <c r="AV51" t="s">
        <v>508</v>
      </c>
      <c r="AW51">
        <v>30692</v>
      </c>
      <c r="BA51" t="s">
        <v>3342</v>
      </c>
      <c r="BD51" t="s">
        <v>3375</v>
      </c>
      <c r="BE51" t="s">
        <v>813</v>
      </c>
      <c r="BF51" t="s">
        <v>600</v>
      </c>
    </row>
    <row r="52" spans="1:58">
      <c r="A52" s="1">
        <f>HYPERLINK("https://lsnyc.legalserver.org/matter/dynamic-profile/view/1901875","19-1901875")</f>
        <v>0</v>
      </c>
      <c r="B52" t="s">
        <v>606</v>
      </c>
      <c r="E52" t="s">
        <v>381</v>
      </c>
      <c r="F52" t="s">
        <v>623</v>
      </c>
      <c r="G52" t="s">
        <v>636</v>
      </c>
      <c r="H52" t="s">
        <v>679</v>
      </c>
      <c r="I52" t="s">
        <v>559</v>
      </c>
      <c r="J52" t="s">
        <v>871</v>
      </c>
      <c r="K52" t="s">
        <v>1191</v>
      </c>
      <c r="L52" t="s">
        <v>1523</v>
      </c>
      <c r="N52" t="s">
        <v>288</v>
      </c>
      <c r="O52" t="s">
        <v>289</v>
      </c>
      <c r="P52">
        <v>11225</v>
      </c>
      <c r="Q52" t="s">
        <v>290</v>
      </c>
      <c r="R52" t="s">
        <v>291</v>
      </c>
      <c r="S52" t="s">
        <v>292</v>
      </c>
      <c r="T52" t="s">
        <v>2085</v>
      </c>
      <c r="U52">
        <v>0</v>
      </c>
      <c r="V52" t="s">
        <v>339</v>
      </c>
      <c r="W52" t="s">
        <v>346</v>
      </c>
      <c r="X52" t="s">
        <v>2439</v>
      </c>
      <c r="Y52" t="s">
        <v>348</v>
      </c>
      <c r="Z52" t="s">
        <v>350</v>
      </c>
      <c r="AC52" t="s">
        <v>352</v>
      </c>
      <c r="AE52" t="s">
        <v>359</v>
      </c>
      <c r="AF52">
        <v>2019</v>
      </c>
      <c r="AG52">
        <v>0</v>
      </c>
      <c r="AH52">
        <v>0</v>
      </c>
      <c r="AI52">
        <v>13.1</v>
      </c>
      <c r="AJ52" t="s">
        <v>2556</v>
      </c>
      <c r="AL52" t="s">
        <v>3001</v>
      </c>
      <c r="AM52">
        <v>0</v>
      </c>
      <c r="AO52">
        <v>2</v>
      </c>
      <c r="AP52">
        <v>0</v>
      </c>
      <c r="AQ52">
        <v>217.72</v>
      </c>
      <c r="AV52" t="s">
        <v>508</v>
      </c>
      <c r="AW52">
        <v>36816</v>
      </c>
      <c r="BA52" t="s">
        <v>3342</v>
      </c>
      <c r="BD52" t="s">
        <v>3376</v>
      </c>
      <c r="BE52" t="s">
        <v>559</v>
      </c>
      <c r="BF52" t="s">
        <v>600</v>
      </c>
    </row>
    <row r="53" spans="1:58">
      <c r="A53" s="1">
        <f>HYPERLINK("https://lsnyc.legalserver.org/matter/dynamic-profile/view/1902374","19-1902374")</f>
        <v>0</v>
      </c>
      <c r="B53" t="s">
        <v>606</v>
      </c>
      <c r="E53" t="s">
        <v>381</v>
      </c>
      <c r="F53" t="s">
        <v>68</v>
      </c>
      <c r="G53" t="s">
        <v>636</v>
      </c>
      <c r="H53" t="s">
        <v>571</v>
      </c>
      <c r="I53" t="s">
        <v>818</v>
      </c>
      <c r="J53" t="s">
        <v>872</v>
      </c>
      <c r="K53" t="s">
        <v>1192</v>
      </c>
      <c r="L53" t="s">
        <v>1524</v>
      </c>
      <c r="M53">
        <v>208</v>
      </c>
      <c r="N53" t="s">
        <v>288</v>
      </c>
      <c r="O53" t="s">
        <v>289</v>
      </c>
      <c r="P53">
        <v>11221</v>
      </c>
      <c r="Q53" t="s">
        <v>290</v>
      </c>
      <c r="R53" t="s">
        <v>291</v>
      </c>
      <c r="S53" t="s">
        <v>292</v>
      </c>
      <c r="T53" t="s">
        <v>2086</v>
      </c>
      <c r="U53">
        <v>9</v>
      </c>
      <c r="V53" t="s">
        <v>339</v>
      </c>
      <c r="W53" t="s">
        <v>346</v>
      </c>
      <c r="X53" t="s">
        <v>2439</v>
      </c>
      <c r="Y53" t="s">
        <v>348</v>
      </c>
      <c r="Z53" t="s">
        <v>350</v>
      </c>
      <c r="AA53" t="s">
        <v>350</v>
      </c>
      <c r="AC53" t="s">
        <v>352</v>
      </c>
      <c r="AD53" t="s">
        <v>356</v>
      </c>
      <c r="AE53" t="s">
        <v>359</v>
      </c>
      <c r="AF53">
        <v>2019</v>
      </c>
      <c r="AG53">
        <v>0</v>
      </c>
      <c r="AH53">
        <v>384</v>
      </c>
      <c r="AI53">
        <v>2.9</v>
      </c>
      <c r="AJ53" t="s">
        <v>2557</v>
      </c>
      <c r="AL53" t="s">
        <v>3002</v>
      </c>
      <c r="AM53">
        <v>0</v>
      </c>
      <c r="AN53" t="s">
        <v>3321</v>
      </c>
      <c r="AO53">
        <v>1</v>
      </c>
      <c r="AP53">
        <v>0</v>
      </c>
      <c r="AQ53">
        <v>119.9</v>
      </c>
      <c r="AV53" t="s">
        <v>508</v>
      </c>
      <c r="AW53">
        <v>14976</v>
      </c>
      <c r="BA53" t="s">
        <v>522</v>
      </c>
      <c r="BD53" t="s">
        <v>3360</v>
      </c>
      <c r="BE53" t="s">
        <v>818</v>
      </c>
      <c r="BF53" t="s">
        <v>600</v>
      </c>
    </row>
    <row r="54" spans="1:58">
      <c r="A54" s="1">
        <f>HYPERLINK("https://lsnyc.legalserver.org/matter/dynamic-profile/view/1900638","19-1900638")</f>
        <v>0</v>
      </c>
      <c r="B54" t="s">
        <v>606</v>
      </c>
      <c r="E54" t="s">
        <v>381</v>
      </c>
      <c r="F54" t="s">
        <v>68</v>
      </c>
      <c r="G54" t="s">
        <v>636</v>
      </c>
      <c r="H54" t="s">
        <v>565</v>
      </c>
      <c r="I54" t="s">
        <v>818</v>
      </c>
      <c r="J54" t="s">
        <v>873</v>
      </c>
      <c r="K54" t="s">
        <v>1193</v>
      </c>
      <c r="L54" t="s">
        <v>252</v>
      </c>
      <c r="M54">
        <v>401</v>
      </c>
      <c r="N54" t="s">
        <v>288</v>
      </c>
      <c r="O54" t="s">
        <v>289</v>
      </c>
      <c r="P54">
        <v>11216</v>
      </c>
      <c r="Q54" t="s">
        <v>290</v>
      </c>
      <c r="R54" t="s">
        <v>291</v>
      </c>
      <c r="S54" t="s">
        <v>292</v>
      </c>
      <c r="T54" t="s">
        <v>2087</v>
      </c>
      <c r="U54">
        <v>23</v>
      </c>
      <c r="V54" t="s">
        <v>340</v>
      </c>
      <c r="W54" t="s">
        <v>346</v>
      </c>
      <c r="X54" t="s">
        <v>2439</v>
      </c>
      <c r="Y54" t="s">
        <v>348</v>
      </c>
      <c r="Z54" t="s">
        <v>350</v>
      </c>
      <c r="AA54" t="s">
        <v>350</v>
      </c>
      <c r="AC54" t="s">
        <v>352</v>
      </c>
      <c r="AE54" t="s">
        <v>359</v>
      </c>
      <c r="AF54">
        <v>2019</v>
      </c>
      <c r="AG54">
        <v>0</v>
      </c>
      <c r="AH54">
        <v>769.48</v>
      </c>
      <c r="AI54">
        <v>2.8</v>
      </c>
      <c r="AJ54" t="s">
        <v>2558</v>
      </c>
      <c r="AL54" t="s">
        <v>3003</v>
      </c>
      <c r="AM54">
        <v>0</v>
      </c>
      <c r="AO54">
        <v>1</v>
      </c>
      <c r="AP54">
        <v>0</v>
      </c>
      <c r="AQ54">
        <v>200.74</v>
      </c>
      <c r="AR54" t="s">
        <v>822</v>
      </c>
      <c r="AS54" t="s">
        <v>3328</v>
      </c>
      <c r="AV54" t="s">
        <v>508</v>
      </c>
      <c r="AW54">
        <v>25072.6</v>
      </c>
      <c r="BA54" t="s">
        <v>522</v>
      </c>
      <c r="BD54" t="s">
        <v>3362</v>
      </c>
      <c r="BE54" t="s">
        <v>818</v>
      </c>
      <c r="BF54" t="s">
        <v>600</v>
      </c>
    </row>
    <row r="55" spans="1:58">
      <c r="A55" s="1">
        <f>HYPERLINK("https://lsnyc.legalserver.org/matter/dynamic-profile/view/1899870","19-1899870")</f>
        <v>0</v>
      </c>
      <c r="B55" t="s">
        <v>606</v>
      </c>
      <c r="E55" t="s">
        <v>381</v>
      </c>
      <c r="F55" t="s">
        <v>60</v>
      </c>
      <c r="G55" t="s">
        <v>636</v>
      </c>
      <c r="H55" t="s">
        <v>599</v>
      </c>
      <c r="I55" t="s">
        <v>815</v>
      </c>
      <c r="J55" t="s">
        <v>874</v>
      </c>
      <c r="K55" t="s">
        <v>1194</v>
      </c>
      <c r="L55" t="s">
        <v>1525</v>
      </c>
      <c r="M55" t="s">
        <v>1875</v>
      </c>
      <c r="N55" t="s">
        <v>288</v>
      </c>
      <c r="O55" t="s">
        <v>289</v>
      </c>
      <c r="P55">
        <v>11210</v>
      </c>
      <c r="Q55" t="s">
        <v>290</v>
      </c>
      <c r="R55" t="s">
        <v>291</v>
      </c>
      <c r="S55" t="s">
        <v>295</v>
      </c>
      <c r="T55" t="s">
        <v>2088</v>
      </c>
      <c r="U55">
        <v>8</v>
      </c>
      <c r="V55" t="s">
        <v>339</v>
      </c>
      <c r="W55" t="s">
        <v>346</v>
      </c>
      <c r="X55" t="s">
        <v>2439</v>
      </c>
      <c r="Y55" t="s">
        <v>349</v>
      </c>
      <c r="Z55" t="s">
        <v>350</v>
      </c>
      <c r="AC55" t="s">
        <v>352</v>
      </c>
      <c r="AE55" t="s">
        <v>359</v>
      </c>
      <c r="AF55">
        <v>2019</v>
      </c>
      <c r="AG55">
        <v>0</v>
      </c>
      <c r="AH55">
        <v>1204.57</v>
      </c>
      <c r="AI55">
        <v>6.7</v>
      </c>
      <c r="AJ55" t="s">
        <v>2559</v>
      </c>
      <c r="AL55" t="s">
        <v>3004</v>
      </c>
      <c r="AM55">
        <v>0</v>
      </c>
      <c r="AO55">
        <v>1</v>
      </c>
      <c r="AP55">
        <v>1</v>
      </c>
      <c r="AQ55">
        <v>28.39</v>
      </c>
      <c r="AW55">
        <v>4800</v>
      </c>
      <c r="BA55" t="s">
        <v>3342</v>
      </c>
      <c r="BD55" t="s">
        <v>3377</v>
      </c>
      <c r="BE55" t="s">
        <v>815</v>
      </c>
      <c r="BF55" t="s">
        <v>600</v>
      </c>
    </row>
    <row r="56" spans="1:58">
      <c r="A56" s="1">
        <f>HYPERLINK("https://lsnyc.legalserver.org/matter/dynamic-profile/view/1900731","19-1900731")</f>
        <v>0</v>
      </c>
      <c r="B56" t="s">
        <v>606</v>
      </c>
      <c r="E56" t="s">
        <v>381</v>
      </c>
      <c r="F56" t="s">
        <v>619</v>
      </c>
      <c r="G56" t="s">
        <v>636</v>
      </c>
      <c r="H56" t="s">
        <v>680</v>
      </c>
      <c r="I56" t="s">
        <v>587</v>
      </c>
      <c r="J56" t="s">
        <v>875</v>
      </c>
      <c r="K56" t="s">
        <v>1195</v>
      </c>
      <c r="L56" t="s">
        <v>1526</v>
      </c>
      <c r="M56" t="s">
        <v>1876</v>
      </c>
      <c r="N56" t="s">
        <v>288</v>
      </c>
      <c r="O56" t="s">
        <v>289</v>
      </c>
      <c r="P56">
        <v>11221</v>
      </c>
      <c r="Q56" t="s">
        <v>290</v>
      </c>
      <c r="R56" t="s">
        <v>291</v>
      </c>
      <c r="S56" t="s">
        <v>292</v>
      </c>
      <c r="T56" t="s">
        <v>2089</v>
      </c>
      <c r="U56">
        <v>9</v>
      </c>
      <c r="V56" t="s">
        <v>339</v>
      </c>
      <c r="W56" t="s">
        <v>346</v>
      </c>
      <c r="X56" t="s">
        <v>2438</v>
      </c>
      <c r="Y56" t="s">
        <v>348</v>
      </c>
      <c r="Z56" t="s">
        <v>350</v>
      </c>
      <c r="AC56" t="s">
        <v>352</v>
      </c>
      <c r="AE56" t="s">
        <v>359</v>
      </c>
      <c r="AF56">
        <v>2019</v>
      </c>
      <c r="AG56">
        <v>0</v>
      </c>
      <c r="AH56">
        <v>1500</v>
      </c>
      <c r="AI56">
        <v>1</v>
      </c>
      <c r="AJ56" t="s">
        <v>2560</v>
      </c>
      <c r="AL56" t="s">
        <v>3005</v>
      </c>
      <c r="AM56">
        <v>8</v>
      </c>
      <c r="AO56">
        <v>2</v>
      </c>
      <c r="AP56">
        <v>2</v>
      </c>
      <c r="AQ56">
        <v>116.5</v>
      </c>
      <c r="AU56" t="s">
        <v>507</v>
      </c>
      <c r="AW56">
        <v>30000</v>
      </c>
      <c r="BA56" t="s">
        <v>3342</v>
      </c>
      <c r="BD56" t="s">
        <v>537</v>
      </c>
      <c r="BE56" t="s">
        <v>822</v>
      </c>
      <c r="BF56" t="s">
        <v>600</v>
      </c>
    </row>
    <row r="57" spans="1:58">
      <c r="A57" s="1">
        <f>HYPERLINK("https://lsnyc.legalserver.org/matter/dynamic-profile/view/1902046","19-1902046")</f>
        <v>0</v>
      </c>
      <c r="B57" t="s">
        <v>606</v>
      </c>
      <c r="E57" t="s">
        <v>381</v>
      </c>
      <c r="F57" t="s">
        <v>623</v>
      </c>
      <c r="G57" t="s">
        <v>636</v>
      </c>
      <c r="H57" t="s">
        <v>681</v>
      </c>
      <c r="I57" t="s">
        <v>587</v>
      </c>
      <c r="J57" t="s">
        <v>876</v>
      </c>
      <c r="K57" t="s">
        <v>1196</v>
      </c>
      <c r="L57" t="s">
        <v>1527</v>
      </c>
      <c r="M57">
        <v>5</v>
      </c>
      <c r="N57" t="s">
        <v>288</v>
      </c>
      <c r="O57" t="s">
        <v>289</v>
      </c>
      <c r="P57">
        <v>11216</v>
      </c>
      <c r="Q57" t="s">
        <v>290</v>
      </c>
      <c r="R57" t="s">
        <v>291</v>
      </c>
      <c r="S57" t="s">
        <v>292</v>
      </c>
      <c r="T57" t="s">
        <v>2090</v>
      </c>
      <c r="U57">
        <v>2</v>
      </c>
      <c r="V57" t="s">
        <v>339</v>
      </c>
      <c r="W57" t="s">
        <v>346</v>
      </c>
      <c r="X57" t="s">
        <v>2438</v>
      </c>
      <c r="Y57" t="s">
        <v>348</v>
      </c>
      <c r="Z57" t="s">
        <v>350</v>
      </c>
      <c r="AA57" t="s">
        <v>350</v>
      </c>
      <c r="AC57" t="s">
        <v>352</v>
      </c>
      <c r="AE57" t="s">
        <v>359</v>
      </c>
      <c r="AF57">
        <v>2019</v>
      </c>
      <c r="AG57">
        <v>0</v>
      </c>
      <c r="AH57">
        <v>790</v>
      </c>
      <c r="AI57">
        <v>14.8</v>
      </c>
      <c r="AJ57" t="s">
        <v>2561</v>
      </c>
      <c r="AL57" t="s">
        <v>3006</v>
      </c>
      <c r="AM57">
        <v>0</v>
      </c>
      <c r="AO57">
        <v>2</v>
      </c>
      <c r="AP57">
        <v>0</v>
      </c>
      <c r="AQ57">
        <v>189.24</v>
      </c>
      <c r="AU57" t="s">
        <v>507</v>
      </c>
      <c r="AV57" t="s">
        <v>508</v>
      </c>
      <c r="AW57">
        <v>32000</v>
      </c>
      <c r="BA57" t="s">
        <v>522</v>
      </c>
      <c r="BD57" t="s">
        <v>537</v>
      </c>
      <c r="BE57" t="s">
        <v>587</v>
      </c>
      <c r="BF57" t="s">
        <v>600</v>
      </c>
    </row>
    <row r="58" spans="1:58">
      <c r="A58" s="1">
        <f>HYPERLINK("https://lsnyc.legalserver.org/matter/dynamic-profile/view/1871290","18-1871290")</f>
        <v>0</v>
      </c>
      <c r="B58" t="s">
        <v>607</v>
      </c>
      <c r="E58" t="s">
        <v>381</v>
      </c>
      <c r="F58" t="s">
        <v>626</v>
      </c>
      <c r="G58" t="s">
        <v>636</v>
      </c>
      <c r="H58" t="s">
        <v>682</v>
      </c>
      <c r="I58" t="s">
        <v>738</v>
      </c>
      <c r="J58" t="s">
        <v>846</v>
      </c>
      <c r="K58" t="s">
        <v>1197</v>
      </c>
      <c r="L58" t="s">
        <v>1528</v>
      </c>
      <c r="M58" t="s">
        <v>1877</v>
      </c>
      <c r="N58" t="s">
        <v>288</v>
      </c>
      <c r="O58" t="s">
        <v>289</v>
      </c>
      <c r="P58">
        <v>11224</v>
      </c>
      <c r="Q58" t="s">
        <v>290</v>
      </c>
      <c r="R58" t="s">
        <v>290</v>
      </c>
      <c r="S58" t="s">
        <v>297</v>
      </c>
      <c r="T58" t="s">
        <v>2091</v>
      </c>
      <c r="U58">
        <v>4</v>
      </c>
      <c r="V58" t="s">
        <v>339</v>
      </c>
      <c r="W58" t="s">
        <v>346</v>
      </c>
      <c r="X58" t="s">
        <v>2438</v>
      </c>
      <c r="Y58" t="s">
        <v>349</v>
      </c>
      <c r="Z58" t="s">
        <v>350</v>
      </c>
      <c r="AC58" t="s">
        <v>352</v>
      </c>
      <c r="AE58" t="s">
        <v>2457</v>
      </c>
      <c r="AF58">
        <v>2018</v>
      </c>
      <c r="AG58">
        <v>1000</v>
      </c>
      <c r="AH58">
        <v>1000</v>
      </c>
      <c r="AI58">
        <v>4.5</v>
      </c>
      <c r="AJ58" t="s">
        <v>2562</v>
      </c>
      <c r="AL58" t="s">
        <v>3007</v>
      </c>
      <c r="AM58">
        <v>8</v>
      </c>
      <c r="AO58">
        <v>3</v>
      </c>
      <c r="AP58">
        <v>0</v>
      </c>
      <c r="AQ58">
        <v>192.49</v>
      </c>
      <c r="AT58" t="s">
        <v>500</v>
      </c>
      <c r="AV58" t="s">
        <v>508</v>
      </c>
      <c r="AW58">
        <v>40000</v>
      </c>
      <c r="BA58" t="s">
        <v>3342</v>
      </c>
      <c r="BD58" t="s">
        <v>537</v>
      </c>
      <c r="BE58" t="s">
        <v>717</v>
      </c>
    </row>
    <row r="59" spans="1:58">
      <c r="A59" s="1">
        <f>HYPERLINK("https://lsnyc.legalserver.org/matter/dynamic-profile/view/1872965","18-1872965")</f>
        <v>0</v>
      </c>
      <c r="B59" t="s">
        <v>607</v>
      </c>
      <c r="E59" t="s">
        <v>381</v>
      </c>
      <c r="F59" t="s">
        <v>623</v>
      </c>
      <c r="G59" t="s">
        <v>636</v>
      </c>
      <c r="H59" t="s">
        <v>658</v>
      </c>
      <c r="I59" t="s">
        <v>639</v>
      </c>
      <c r="J59" t="s">
        <v>877</v>
      </c>
      <c r="K59" t="s">
        <v>1198</v>
      </c>
      <c r="L59" t="s">
        <v>1529</v>
      </c>
      <c r="M59" t="s">
        <v>1878</v>
      </c>
      <c r="N59" t="s">
        <v>288</v>
      </c>
      <c r="O59" t="s">
        <v>289</v>
      </c>
      <c r="P59">
        <v>11236</v>
      </c>
      <c r="Q59" t="s">
        <v>290</v>
      </c>
      <c r="R59" t="s">
        <v>290</v>
      </c>
      <c r="S59" t="s">
        <v>297</v>
      </c>
      <c r="T59" t="s">
        <v>2092</v>
      </c>
      <c r="U59">
        <v>1</v>
      </c>
      <c r="V59" t="s">
        <v>340</v>
      </c>
      <c r="W59" t="s">
        <v>346</v>
      </c>
      <c r="X59" t="s">
        <v>2441</v>
      </c>
      <c r="Y59" t="s">
        <v>349</v>
      </c>
      <c r="Z59" t="s">
        <v>350</v>
      </c>
      <c r="AA59" t="s">
        <v>350</v>
      </c>
      <c r="AC59" t="s">
        <v>352</v>
      </c>
      <c r="AD59" t="s">
        <v>356</v>
      </c>
      <c r="AE59" t="s">
        <v>2457</v>
      </c>
      <c r="AF59">
        <v>2018</v>
      </c>
      <c r="AG59">
        <v>816.66</v>
      </c>
      <c r="AH59">
        <v>2450</v>
      </c>
      <c r="AI59">
        <v>37.65</v>
      </c>
      <c r="AJ59" t="s">
        <v>2563</v>
      </c>
      <c r="AL59" t="s">
        <v>3008</v>
      </c>
      <c r="AM59">
        <v>2</v>
      </c>
      <c r="AN59" t="s">
        <v>496</v>
      </c>
      <c r="AO59">
        <v>2</v>
      </c>
      <c r="AP59">
        <v>0</v>
      </c>
      <c r="AQ59">
        <v>97.98</v>
      </c>
      <c r="AT59" t="s">
        <v>500</v>
      </c>
      <c r="AU59" t="s">
        <v>503</v>
      </c>
      <c r="AV59" t="s">
        <v>508</v>
      </c>
      <c r="AW59">
        <v>16128</v>
      </c>
      <c r="BA59" t="s">
        <v>3342</v>
      </c>
      <c r="BD59" t="s">
        <v>3378</v>
      </c>
      <c r="BE59" t="s">
        <v>3427</v>
      </c>
    </row>
    <row r="60" spans="1:58">
      <c r="A60" s="1">
        <f>HYPERLINK("https://lsnyc.legalserver.org/matter/dynamic-profile/view/1877282","18-1877282")</f>
        <v>0</v>
      </c>
      <c r="B60" t="s">
        <v>607</v>
      </c>
      <c r="D60" t="s">
        <v>617</v>
      </c>
      <c r="E60" t="s">
        <v>381</v>
      </c>
      <c r="F60" t="s">
        <v>627</v>
      </c>
      <c r="G60" t="s">
        <v>636</v>
      </c>
      <c r="H60" t="s">
        <v>683</v>
      </c>
      <c r="I60" t="s">
        <v>643</v>
      </c>
      <c r="J60" t="s">
        <v>878</v>
      </c>
      <c r="K60" t="s">
        <v>1199</v>
      </c>
      <c r="L60" t="s">
        <v>1530</v>
      </c>
      <c r="M60" t="s">
        <v>1879</v>
      </c>
      <c r="N60" t="s">
        <v>288</v>
      </c>
      <c r="O60" t="s">
        <v>289</v>
      </c>
      <c r="P60">
        <v>11212</v>
      </c>
      <c r="Q60" t="s">
        <v>290</v>
      </c>
      <c r="R60" t="s">
        <v>291</v>
      </c>
      <c r="S60" t="s">
        <v>293</v>
      </c>
      <c r="T60" t="s">
        <v>2093</v>
      </c>
      <c r="U60">
        <v>20</v>
      </c>
      <c r="V60" t="s">
        <v>344</v>
      </c>
      <c r="W60" t="s">
        <v>346</v>
      </c>
      <c r="X60" t="s">
        <v>2440</v>
      </c>
      <c r="Y60" t="s">
        <v>349</v>
      </c>
      <c r="Z60" t="s">
        <v>350</v>
      </c>
      <c r="AA60" t="s">
        <v>350</v>
      </c>
      <c r="AC60" t="s">
        <v>353</v>
      </c>
      <c r="AD60" t="s">
        <v>355</v>
      </c>
      <c r="AE60" t="s">
        <v>2458</v>
      </c>
      <c r="AF60">
        <v>2018</v>
      </c>
      <c r="AG60">
        <v>156</v>
      </c>
      <c r="AH60">
        <v>156</v>
      </c>
      <c r="AI60">
        <v>4.35</v>
      </c>
      <c r="AJ60" t="s">
        <v>2564</v>
      </c>
      <c r="AK60" t="s">
        <v>2905</v>
      </c>
      <c r="AL60" t="s">
        <v>3009</v>
      </c>
      <c r="AM60">
        <v>112</v>
      </c>
      <c r="AN60" t="s">
        <v>495</v>
      </c>
      <c r="AO60">
        <v>1</v>
      </c>
      <c r="AP60">
        <v>1</v>
      </c>
      <c r="AQ60">
        <v>126.37</v>
      </c>
      <c r="AT60" t="s">
        <v>502</v>
      </c>
      <c r="AU60" t="s">
        <v>503</v>
      </c>
      <c r="AV60" t="s">
        <v>508</v>
      </c>
      <c r="AW60">
        <v>20800</v>
      </c>
      <c r="BA60" t="s">
        <v>3341</v>
      </c>
      <c r="BB60" t="s">
        <v>535</v>
      </c>
      <c r="BC60" t="s">
        <v>299</v>
      </c>
      <c r="BD60" t="s">
        <v>540</v>
      </c>
      <c r="BE60" t="s">
        <v>643</v>
      </c>
    </row>
    <row r="61" spans="1:58">
      <c r="A61" s="1">
        <f>HYPERLINK("https://lsnyc.legalserver.org/matter/dynamic-profile/view/1880206","18-1880206")</f>
        <v>0</v>
      </c>
      <c r="B61" t="s">
        <v>607</v>
      </c>
      <c r="E61" t="s">
        <v>381</v>
      </c>
      <c r="F61" t="s">
        <v>623</v>
      </c>
      <c r="G61" t="s">
        <v>636</v>
      </c>
      <c r="H61" t="s">
        <v>684</v>
      </c>
      <c r="I61" t="s">
        <v>692</v>
      </c>
      <c r="J61" t="s">
        <v>879</v>
      </c>
      <c r="K61" t="s">
        <v>1200</v>
      </c>
      <c r="L61" t="s">
        <v>1531</v>
      </c>
      <c r="M61" t="s">
        <v>1880</v>
      </c>
      <c r="N61" t="s">
        <v>288</v>
      </c>
      <c r="O61" t="s">
        <v>289</v>
      </c>
      <c r="P61">
        <v>11208</v>
      </c>
      <c r="Q61" t="s">
        <v>290</v>
      </c>
      <c r="R61" t="s">
        <v>290</v>
      </c>
      <c r="S61" t="s">
        <v>296</v>
      </c>
      <c r="T61" t="s">
        <v>2094</v>
      </c>
      <c r="U61">
        <v>21</v>
      </c>
      <c r="V61" t="s">
        <v>339</v>
      </c>
      <c r="W61" t="s">
        <v>346</v>
      </c>
      <c r="X61" t="s">
        <v>2439</v>
      </c>
      <c r="Y61" t="s">
        <v>349</v>
      </c>
      <c r="Z61" t="s">
        <v>350</v>
      </c>
      <c r="AA61" t="s">
        <v>350</v>
      </c>
      <c r="AC61" t="s">
        <v>352</v>
      </c>
      <c r="AD61" t="s">
        <v>355</v>
      </c>
      <c r="AE61" t="s">
        <v>2459</v>
      </c>
      <c r="AF61">
        <v>2018</v>
      </c>
      <c r="AG61">
        <v>1160</v>
      </c>
      <c r="AH61">
        <v>1160</v>
      </c>
      <c r="AI61">
        <v>28.45</v>
      </c>
      <c r="AJ61" t="s">
        <v>2565</v>
      </c>
      <c r="AK61" t="s">
        <v>2906</v>
      </c>
      <c r="AL61" t="s">
        <v>3010</v>
      </c>
      <c r="AM61">
        <v>25</v>
      </c>
      <c r="AN61" t="s">
        <v>493</v>
      </c>
      <c r="AO61">
        <v>1</v>
      </c>
      <c r="AP61">
        <v>1</v>
      </c>
      <c r="AQ61">
        <v>54.24</v>
      </c>
      <c r="AT61" t="s">
        <v>501</v>
      </c>
      <c r="AU61" t="s">
        <v>503</v>
      </c>
      <c r="AV61" t="s">
        <v>509</v>
      </c>
      <c r="AW61">
        <v>8928</v>
      </c>
      <c r="BA61" t="s">
        <v>530</v>
      </c>
      <c r="BD61" t="s">
        <v>3379</v>
      </c>
      <c r="BE61" t="s">
        <v>692</v>
      </c>
      <c r="BF61" t="s">
        <v>600</v>
      </c>
    </row>
    <row r="62" spans="1:58">
      <c r="A62" s="1">
        <f>HYPERLINK("https://lsnyc.legalserver.org/matter/dynamic-profile/view/1882392","18-1882392")</f>
        <v>0</v>
      </c>
      <c r="B62" t="s">
        <v>607</v>
      </c>
      <c r="E62" t="s">
        <v>381</v>
      </c>
      <c r="F62" t="s">
        <v>623</v>
      </c>
      <c r="G62" t="s">
        <v>636</v>
      </c>
      <c r="H62" t="s">
        <v>685</v>
      </c>
      <c r="I62" t="s">
        <v>670</v>
      </c>
      <c r="J62" t="s">
        <v>880</v>
      </c>
      <c r="K62" t="s">
        <v>1201</v>
      </c>
      <c r="L62" t="s">
        <v>1532</v>
      </c>
      <c r="N62" t="s">
        <v>288</v>
      </c>
      <c r="O62" t="s">
        <v>289</v>
      </c>
      <c r="P62">
        <v>11204</v>
      </c>
      <c r="Q62" t="s">
        <v>290</v>
      </c>
      <c r="R62" t="s">
        <v>290</v>
      </c>
      <c r="S62" t="s">
        <v>295</v>
      </c>
      <c r="T62" t="s">
        <v>2095</v>
      </c>
      <c r="U62">
        <v>8</v>
      </c>
      <c r="V62" t="s">
        <v>340</v>
      </c>
      <c r="W62" t="s">
        <v>346</v>
      </c>
      <c r="X62" t="s">
        <v>2438</v>
      </c>
      <c r="Y62" t="s">
        <v>349</v>
      </c>
      <c r="Z62" t="s">
        <v>350</v>
      </c>
      <c r="AA62" t="s">
        <v>350</v>
      </c>
      <c r="AC62" t="s">
        <v>352</v>
      </c>
      <c r="AD62" t="s">
        <v>356</v>
      </c>
      <c r="AE62" t="s">
        <v>2460</v>
      </c>
      <c r="AF62">
        <v>2018</v>
      </c>
      <c r="AG62">
        <v>0</v>
      </c>
      <c r="AH62">
        <v>800</v>
      </c>
      <c r="AI62">
        <v>23.45</v>
      </c>
      <c r="AJ62" t="s">
        <v>2566</v>
      </c>
      <c r="AL62" t="s">
        <v>3011</v>
      </c>
      <c r="AM62">
        <v>3</v>
      </c>
      <c r="AN62" t="s">
        <v>496</v>
      </c>
      <c r="AO62">
        <v>2</v>
      </c>
      <c r="AP62">
        <v>8</v>
      </c>
      <c r="AQ62">
        <v>67.27</v>
      </c>
      <c r="AT62" t="s">
        <v>501</v>
      </c>
      <c r="AU62" t="s">
        <v>503</v>
      </c>
      <c r="AV62" t="s">
        <v>508</v>
      </c>
      <c r="AW62">
        <v>34320</v>
      </c>
      <c r="BA62" t="s">
        <v>3341</v>
      </c>
      <c r="BD62" t="s">
        <v>537</v>
      </c>
      <c r="BE62" t="s">
        <v>3432</v>
      </c>
    </row>
    <row r="63" spans="1:58">
      <c r="A63" s="1">
        <f>HYPERLINK("https://lsnyc.legalserver.org/matter/dynamic-profile/view/1883563","18-1883563")</f>
        <v>0</v>
      </c>
      <c r="B63" t="s">
        <v>607</v>
      </c>
      <c r="E63" t="s">
        <v>381</v>
      </c>
      <c r="F63" t="s">
        <v>628</v>
      </c>
      <c r="G63" t="s">
        <v>636</v>
      </c>
      <c r="H63" t="s">
        <v>686</v>
      </c>
      <c r="I63" t="s">
        <v>802</v>
      </c>
      <c r="J63" t="s">
        <v>881</v>
      </c>
      <c r="K63" t="s">
        <v>1202</v>
      </c>
      <c r="L63" t="s">
        <v>1533</v>
      </c>
      <c r="N63" t="s">
        <v>288</v>
      </c>
      <c r="O63" t="s">
        <v>289</v>
      </c>
      <c r="P63">
        <v>11225</v>
      </c>
      <c r="Q63" t="s">
        <v>290</v>
      </c>
      <c r="R63" t="s">
        <v>290</v>
      </c>
      <c r="S63" t="s">
        <v>292</v>
      </c>
      <c r="T63" t="s">
        <v>2096</v>
      </c>
      <c r="U63">
        <v>1</v>
      </c>
      <c r="V63" t="s">
        <v>340</v>
      </c>
      <c r="W63" t="s">
        <v>346</v>
      </c>
      <c r="X63" t="s">
        <v>2438</v>
      </c>
      <c r="Y63" t="s">
        <v>348</v>
      </c>
      <c r="Z63" t="s">
        <v>350</v>
      </c>
      <c r="AA63" t="s">
        <v>350</v>
      </c>
      <c r="AC63" t="s">
        <v>352</v>
      </c>
      <c r="AD63" t="s">
        <v>356</v>
      </c>
      <c r="AE63" t="s">
        <v>367</v>
      </c>
      <c r="AF63">
        <v>2018</v>
      </c>
      <c r="AG63">
        <v>0</v>
      </c>
      <c r="AH63">
        <v>0</v>
      </c>
      <c r="AI63">
        <v>6.6</v>
      </c>
      <c r="AJ63" t="s">
        <v>2567</v>
      </c>
      <c r="AL63" t="s">
        <v>3012</v>
      </c>
      <c r="AM63">
        <v>6</v>
      </c>
      <c r="AN63" t="s">
        <v>496</v>
      </c>
      <c r="AO63">
        <v>1</v>
      </c>
      <c r="AP63">
        <v>0</v>
      </c>
      <c r="AQ63">
        <v>171.33</v>
      </c>
      <c r="AT63" t="s">
        <v>500</v>
      </c>
      <c r="AV63" t="s">
        <v>508</v>
      </c>
      <c r="AW63">
        <v>20800</v>
      </c>
      <c r="BA63" t="s">
        <v>522</v>
      </c>
      <c r="BD63" t="s">
        <v>537</v>
      </c>
      <c r="BE63" t="s">
        <v>662</v>
      </c>
    </row>
    <row r="64" spans="1:58">
      <c r="A64" s="1">
        <f>HYPERLINK("https://lsnyc.legalserver.org/matter/dynamic-profile/view/1879604","18-1879604")</f>
        <v>0</v>
      </c>
      <c r="B64" t="s">
        <v>607</v>
      </c>
      <c r="E64" t="s">
        <v>381</v>
      </c>
      <c r="F64" t="s">
        <v>74</v>
      </c>
      <c r="G64" t="s">
        <v>636</v>
      </c>
      <c r="H64" t="s">
        <v>687</v>
      </c>
      <c r="I64" t="s">
        <v>817</v>
      </c>
      <c r="J64" t="s">
        <v>882</v>
      </c>
      <c r="K64" t="s">
        <v>1203</v>
      </c>
      <c r="L64" t="s">
        <v>1534</v>
      </c>
      <c r="M64" t="s">
        <v>1881</v>
      </c>
      <c r="N64" t="s">
        <v>288</v>
      </c>
      <c r="O64" t="s">
        <v>289</v>
      </c>
      <c r="P64">
        <v>11225</v>
      </c>
      <c r="Q64" t="s">
        <v>290</v>
      </c>
      <c r="R64" t="s">
        <v>290</v>
      </c>
      <c r="S64" t="s">
        <v>292</v>
      </c>
      <c r="T64" t="s">
        <v>2097</v>
      </c>
      <c r="U64">
        <v>12</v>
      </c>
      <c r="V64" t="s">
        <v>339</v>
      </c>
      <c r="W64" t="s">
        <v>346</v>
      </c>
      <c r="X64" t="s">
        <v>2438</v>
      </c>
      <c r="Y64" t="s">
        <v>348</v>
      </c>
      <c r="Z64" t="s">
        <v>350</v>
      </c>
      <c r="AA64" t="s">
        <v>350</v>
      </c>
      <c r="AC64" t="s">
        <v>352</v>
      </c>
      <c r="AD64" t="s">
        <v>356</v>
      </c>
      <c r="AE64" t="s">
        <v>367</v>
      </c>
      <c r="AF64">
        <v>2018</v>
      </c>
      <c r="AG64">
        <v>1145</v>
      </c>
      <c r="AH64">
        <v>1145</v>
      </c>
      <c r="AI64">
        <v>31.95</v>
      </c>
      <c r="AJ64" t="s">
        <v>2568</v>
      </c>
      <c r="AL64" t="s">
        <v>3013</v>
      </c>
      <c r="AM64">
        <v>82</v>
      </c>
      <c r="AN64" t="s">
        <v>493</v>
      </c>
      <c r="AO64">
        <v>1</v>
      </c>
      <c r="AP64">
        <v>0</v>
      </c>
      <c r="AQ64">
        <v>106.85</v>
      </c>
      <c r="AT64" t="s">
        <v>500</v>
      </c>
      <c r="AV64" t="s">
        <v>508</v>
      </c>
      <c r="AW64">
        <v>12972</v>
      </c>
      <c r="BA64" t="s">
        <v>522</v>
      </c>
      <c r="BD64" t="s">
        <v>543</v>
      </c>
      <c r="BE64" t="s">
        <v>586</v>
      </c>
    </row>
    <row r="65" spans="1:58">
      <c r="A65" s="1">
        <f>HYPERLINK("https://lsnyc.legalserver.org/matter/dynamic-profile/view/1871729","18-1871729")</f>
        <v>0</v>
      </c>
      <c r="B65" t="s">
        <v>607</v>
      </c>
      <c r="E65" t="s">
        <v>381</v>
      </c>
      <c r="F65" t="s">
        <v>626</v>
      </c>
      <c r="G65" t="s">
        <v>636</v>
      </c>
      <c r="H65" t="s">
        <v>688</v>
      </c>
      <c r="I65" t="s">
        <v>672</v>
      </c>
      <c r="J65" t="s">
        <v>883</v>
      </c>
      <c r="K65" t="s">
        <v>1204</v>
      </c>
      <c r="L65" t="s">
        <v>1535</v>
      </c>
      <c r="M65" t="s">
        <v>1868</v>
      </c>
      <c r="N65" t="s">
        <v>288</v>
      </c>
      <c r="O65" t="s">
        <v>289</v>
      </c>
      <c r="P65">
        <v>11221</v>
      </c>
      <c r="Q65" t="s">
        <v>290</v>
      </c>
      <c r="R65" t="s">
        <v>291</v>
      </c>
      <c r="S65" t="s">
        <v>292</v>
      </c>
      <c r="T65" t="s">
        <v>2098</v>
      </c>
      <c r="U65">
        <v>0</v>
      </c>
      <c r="V65" t="s">
        <v>340</v>
      </c>
      <c r="W65" t="s">
        <v>346</v>
      </c>
      <c r="X65" t="s">
        <v>2438</v>
      </c>
      <c r="Y65" t="s">
        <v>348</v>
      </c>
      <c r="Z65" t="s">
        <v>350</v>
      </c>
      <c r="AC65" t="s">
        <v>352</v>
      </c>
      <c r="AE65" t="s">
        <v>367</v>
      </c>
      <c r="AF65">
        <v>2018</v>
      </c>
      <c r="AG65">
        <v>0</v>
      </c>
      <c r="AH65">
        <v>0</v>
      </c>
      <c r="AI65">
        <v>16.5</v>
      </c>
      <c r="AJ65" t="s">
        <v>2569</v>
      </c>
      <c r="AL65" t="s">
        <v>3014</v>
      </c>
      <c r="AM65">
        <v>0</v>
      </c>
      <c r="AO65">
        <v>5</v>
      </c>
      <c r="AP65">
        <v>0</v>
      </c>
      <c r="AQ65">
        <v>120.6</v>
      </c>
      <c r="AT65" t="s">
        <v>500</v>
      </c>
      <c r="AV65" t="s">
        <v>509</v>
      </c>
      <c r="AW65">
        <v>35480</v>
      </c>
      <c r="BA65" t="s">
        <v>3342</v>
      </c>
      <c r="BD65" t="s">
        <v>3380</v>
      </c>
      <c r="BE65" t="s">
        <v>3433</v>
      </c>
    </row>
    <row r="66" spans="1:58">
      <c r="A66" s="1">
        <f>HYPERLINK("https://lsnyc.legalserver.org/matter/dynamic-profile/view/1877028","18-1877028")</f>
        <v>0</v>
      </c>
      <c r="B66" t="s">
        <v>607</v>
      </c>
      <c r="E66" t="s">
        <v>381</v>
      </c>
      <c r="F66" t="s">
        <v>619</v>
      </c>
      <c r="G66" t="s">
        <v>636</v>
      </c>
      <c r="H66" t="s">
        <v>689</v>
      </c>
      <c r="I66" t="s">
        <v>822</v>
      </c>
      <c r="J66" t="s">
        <v>884</v>
      </c>
      <c r="K66" t="s">
        <v>1205</v>
      </c>
      <c r="L66" t="s">
        <v>1536</v>
      </c>
      <c r="N66" t="s">
        <v>288</v>
      </c>
      <c r="O66" t="s">
        <v>289</v>
      </c>
      <c r="P66">
        <v>11221</v>
      </c>
      <c r="Q66" t="s">
        <v>290</v>
      </c>
      <c r="R66" t="s">
        <v>291</v>
      </c>
      <c r="S66" t="s">
        <v>292</v>
      </c>
      <c r="T66" t="s">
        <v>2099</v>
      </c>
      <c r="U66">
        <v>2</v>
      </c>
      <c r="V66" t="s">
        <v>340</v>
      </c>
      <c r="W66" t="s">
        <v>346</v>
      </c>
      <c r="X66" t="s">
        <v>2438</v>
      </c>
      <c r="Y66" t="s">
        <v>348</v>
      </c>
      <c r="Z66" t="s">
        <v>350</v>
      </c>
      <c r="AC66" t="s">
        <v>352</v>
      </c>
      <c r="AD66" t="s">
        <v>356</v>
      </c>
      <c r="AE66" t="s">
        <v>367</v>
      </c>
      <c r="AF66">
        <v>2018</v>
      </c>
      <c r="AG66">
        <v>1200</v>
      </c>
      <c r="AH66">
        <v>1200</v>
      </c>
      <c r="AI66">
        <v>20.8</v>
      </c>
      <c r="AJ66" t="s">
        <v>2570</v>
      </c>
      <c r="AL66" t="s">
        <v>3015</v>
      </c>
      <c r="AM66">
        <v>3</v>
      </c>
      <c r="AN66" t="s">
        <v>496</v>
      </c>
      <c r="AO66">
        <v>1</v>
      </c>
      <c r="AP66">
        <v>1</v>
      </c>
      <c r="AQ66">
        <v>68.58</v>
      </c>
      <c r="AT66" t="s">
        <v>501</v>
      </c>
      <c r="AU66" t="s">
        <v>503</v>
      </c>
      <c r="AV66" t="s">
        <v>508</v>
      </c>
      <c r="AW66">
        <v>11288</v>
      </c>
      <c r="BA66" t="s">
        <v>522</v>
      </c>
      <c r="BB66" t="s">
        <v>3350</v>
      </c>
      <c r="BC66" t="s">
        <v>299</v>
      </c>
      <c r="BD66" t="s">
        <v>3381</v>
      </c>
      <c r="BE66" t="s">
        <v>764</v>
      </c>
    </row>
    <row r="67" spans="1:58">
      <c r="A67" s="1">
        <f>HYPERLINK("https://lsnyc.legalserver.org/matter/dynamic-profile/view/1881684","18-1881684")</f>
        <v>0</v>
      </c>
      <c r="B67" t="s">
        <v>607</v>
      </c>
      <c r="E67" t="s">
        <v>381</v>
      </c>
      <c r="F67" t="s">
        <v>526</v>
      </c>
      <c r="G67" t="s">
        <v>636</v>
      </c>
      <c r="H67" t="s">
        <v>690</v>
      </c>
      <c r="I67" t="s">
        <v>823</v>
      </c>
      <c r="J67" t="s">
        <v>885</v>
      </c>
      <c r="K67" t="s">
        <v>1206</v>
      </c>
      <c r="L67" t="s">
        <v>1537</v>
      </c>
      <c r="M67">
        <v>1</v>
      </c>
      <c r="N67" t="s">
        <v>288</v>
      </c>
      <c r="O67" t="s">
        <v>289</v>
      </c>
      <c r="P67">
        <v>11221</v>
      </c>
      <c r="Q67" t="s">
        <v>290</v>
      </c>
      <c r="R67" t="s">
        <v>290</v>
      </c>
      <c r="T67" t="s">
        <v>2100</v>
      </c>
      <c r="U67">
        <v>1</v>
      </c>
      <c r="V67" t="s">
        <v>339</v>
      </c>
      <c r="W67" t="s">
        <v>346</v>
      </c>
      <c r="X67" t="s">
        <v>2438</v>
      </c>
      <c r="Y67" t="s">
        <v>348</v>
      </c>
      <c r="Z67" t="s">
        <v>350</v>
      </c>
      <c r="AC67" t="s">
        <v>352</v>
      </c>
      <c r="AE67" t="s">
        <v>367</v>
      </c>
      <c r="AF67">
        <v>2018</v>
      </c>
      <c r="AG67">
        <v>0</v>
      </c>
      <c r="AH67">
        <v>2600</v>
      </c>
      <c r="AI67">
        <v>7.25</v>
      </c>
      <c r="AJ67" t="s">
        <v>2571</v>
      </c>
      <c r="AL67" t="s">
        <v>3016</v>
      </c>
      <c r="AM67">
        <v>3</v>
      </c>
      <c r="AN67" t="s">
        <v>496</v>
      </c>
      <c r="AO67">
        <v>4</v>
      </c>
      <c r="AP67">
        <v>1</v>
      </c>
      <c r="AQ67">
        <v>81.58</v>
      </c>
      <c r="AT67" t="s">
        <v>502</v>
      </c>
      <c r="AV67" t="s">
        <v>508</v>
      </c>
      <c r="AW67">
        <v>24000</v>
      </c>
      <c r="BA67" t="s">
        <v>522</v>
      </c>
      <c r="BD67" t="s">
        <v>537</v>
      </c>
      <c r="BE67" t="s">
        <v>584</v>
      </c>
    </row>
    <row r="68" spans="1:58">
      <c r="A68" s="1">
        <f>HYPERLINK("https://lsnyc.legalserver.org/matter/dynamic-profile/view/1888524","19-1888524")</f>
        <v>0</v>
      </c>
      <c r="B68" t="s">
        <v>607</v>
      </c>
      <c r="E68" t="s">
        <v>381</v>
      </c>
      <c r="F68" t="s">
        <v>619</v>
      </c>
      <c r="G68" t="s">
        <v>636</v>
      </c>
      <c r="H68" t="s">
        <v>691</v>
      </c>
      <c r="I68" t="s">
        <v>822</v>
      </c>
      <c r="J68" t="s">
        <v>886</v>
      </c>
      <c r="K68" t="s">
        <v>1207</v>
      </c>
      <c r="L68" t="s">
        <v>1538</v>
      </c>
      <c r="M68" t="s">
        <v>1882</v>
      </c>
      <c r="N68" t="s">
        <v>288</v>
      </c>
      <c r="O68" t="s">
        <v>289</v>
      </c>
      <c r="P68">
        <v>11226</v>
      </c>
      <c r="Q68" t="s">
        <v>290</v>
      </c>
      <c r="R68" t="s">
        <v>290</v>
      </c>
      <c r="T68" t="s">
        <v>2101</v>
      </c>
      <c r="U68">
        <v>2</v>
      </c>
      <c r="V68" t="s">
        <v>340</v>
      </c>
      <c r="W68" t="s">
        <v>346</v>
      </c>
      <c r="X68" t="s">
        <v>2438</v>
      </c>
      <c r="Y68" t="s">
        <v>348</v>
      </c>
      <c r="Z68" t="s">
        <v>350</v>
      </c>
      <c r="AA68" t="s">
        <v>350</v>
      </c>
      <c r="AC68" t="s">
        <v>352</v>
      </c>
      <c r="AE68" t="s">
        <v>2450</v>
      </c>
      <c r="AF68">
        <v>2019</v>
      </c>
      <c r="AG68">
        <v>0</v>
      </c>
      <c r="AH68">
        <v>700</v>
      </c>
      <c r="AI68">
        <v>0.1</v>
      </c>
      <c r="AJ68" t="s">
        <v>2572</v>
      </c>
      <c r="AM68">
        <v>0</v>
      </c>
      <c r="AO68">
        <v>2</v>
      </c>
      <c r="AP68">
        <v>0</v>
      </c>
      <c r="AQ68">
        <v>184.51</v>
      </c>
      <c r="AV68" t="s">
        <v>508</v>
      </c>
      <c r="AW68">
        <v>31200</v>
      </c>
      <c r="BA68" t="s">
        <v>3343</v>
      </c>
      <c r="BD68" t="s">
        <v>299</v>
      </c>
      <c r="BE68" t="s">
        <v>822</v>
      </c>
    </row>
    <row r="69" spans="1:58">
      <c r="A69" s="1">
        <f>HYPERLINK("https://lsnyc.legalserver.org/matter/dynamic-profile/view/1887259","19-1887259")</f>
        <v>0</v>
      </c>
      <c r="B69" t="s">
        <v>607</v>
      </c>
      <c r="E69" t="s">
        <v>381</v>
      </c>
      <c r="F69" t="s">
        <v>623</v>
      </c>
      <c r="G69" t="s">
        <v>636</v>
      </c>
      <c r="H69" t="s">
        <v>659</v>
      </c>
      <c r="I69" t="s">
        <v>821</v>
      </c>
      <c r="J69" t="s">
        <v>887</v>
      </c>
      <c r="K69" t="s">
        <v>1208</v>
      </c>
      <c r="L69" t="s">
        <v>1539</v>
      </c>
      <c r="M69" t="s">
        <v>1883</v>
      </c>
      <c r="N69" t="s">
        <v>288</v>
      </c>
      <c r="O69" t="s">
        <v>289</v>
      </c>
      <c r="P69">
        <v>11226</v>
      </c>
      <c r="Q69" t="s">
        <v>290</v>
      </c>
      <c r="R69" t="s">
        <v>290</v>
      </c>
      <c r="S69" t="s">
        <v>295</v>
      </c>
      <c r="T69" t="s">
        <v>2102</v>
      </c>
      <c r="U69">
        <v>8</v>
      </c>
      <c r="V69" t="s">
        <v>339</v>
      </c>
      <c r="W69" t="s">
        <v>346</v>
      </c>
      <c r="X69" t="s">
        <v>2438</v>
      </c>
      <c r="Y69" t="s">
        <v>348</v>
      </c>
      <c r="Z69" t="s">
        <v>350</v>
      </c>
      <c r="AC69" t="s">
        <v>352</v>
      </c>
      <c r="AE69" t="s">
        <v>370</v>
      </c>
      <c r="AF69">
        <v>2019</v>
      </c>
      <c r="AG69">
        <v>0</v>
      </c>
      <c r="AH69">
        <v>1125.92</v>
      </c>
      <c r="AI69">
        <v>30.5</v>
      </c>
      <c r="AJ69" t="s">
        <v>2573</v>
      </c>
      <c r="AL69" t="s">
        <v>3017</v>
      </c>
      <c r="AM69">
        <v>0</v>
      </c>
      <c r="AO69">
        <v>1</v>
      </c>
      <c r="AP69">
        <v>0</v>
      </c>
      <c r="AQ69">
        <v>172.98</v>
      </c>
      <c r="AT69" t="s">
        <v>500</v>
      </c>
      <c r="AV69" t="s">
        <v>508</v>
      </c>
      <c r="AW69">
        <v>21000</v>
      </c>
      <c r="BA69" t="s">
        <v>3342</v>
      </c>
      <c r="BD69" t="s">
        <v>537</v>
      </c>
      <c r="BE69" t="s">
        <v>821</v>
      </c>
    </row>
    <row r="70" spans="1:58">
      <c r="A70" s="1">
        <f>HYPERLINK("https://lsnyc.legalserver.org/matter/dynamic-profile/view/1887877","19-1887877")</f>
        <v>0</v>
      </c>
      <c r="B70" t="s">
        <v>607</v>
      </c>
      <c r="E70" t="s">
        <v>381</v>
      </c>
      <c r="F70" t="s">
        <v>626</v>
      </c>
      <c r="G70" t="s">
        <v>636</v>
      </c>
      <c r="H70" t="s">
        <v>656</v>
      </c>
      <c r="I70" t="s">
        <v>792</v>
      </c>
      <c r="J70" t="s">
        <v>888</v>
      </c>
      <c r="K70" t="s">
        <v>1209</v>
      </c>
      <c r="L70" t="s">
        <v>1540</v>
      </c>
      <c r="M70" t="s">
        <v>1884</v>
      </c>
      <c r="N70" t="s">
        <v>288</v>
      </c>
      <c r="O70" t="s">
        <v>289</v>
      </c>
      <c r="P70">
        <v>11221</v>
      </c>
      <c r="Q70" t="s">
        <v>290</v>
      </c>
      <c r="R70" t="s">
        <v>290</v>
      </c>
      <c r="S70" t="s">
        <v>292</v>
      </c>
      <c r="T70" t="s">
        <v>2103</v>
      </c>
      <c r="U70">
        <v>-1</v>
      </c>
      <c r="V70" t="s">
        <v>339</v>
      </c>
      <c r="X70" t="s">
        <v>2438</v>
      </c>
      <c r="Y70" t="s">
        <v>348</v>
      </c>
      <c r="Z70" t="s">
        <v>350</v>
      </c>
      <c r="AC70" t="s">
        <v>352</v>
      </c>
      <c r="AE70" t="s">
        <v>370</v>
      </c>
      <c r="AF70">
        <v>2019</v>
      </c>
      <c r="AG70">
        <v>0</v>
      </c>
      <c r="AH70">
        <v>2270</v>
      </c>
      <c r="AI70">
        <v>7</v>
      </c>
      <c r="AJ70" t="s">
        <v>390</v>
      </c>
      <c r="AL70" t="s">
        <v>3018</v>
      </c>
      <c r="AM70">
        <v>4</v>
      </c>
      <c r="AO70">
        <v>2</v>
      </c>
      <c r="AP70">
        <v>2</v>
      </c>
      <c r="AQ70">
        <v>123.39</v>
      </c>
      <c r="AT70" t="s">
        <v>501</v>
      </c>
      <c r="AU70" t="s">
        <v>299</v>
      </c>
      <c r="AV70" t="s">
        <v>508</v>
      </c>
      <c r="AW70">
        <v>30972</v>
      </c>
      <c r="BA70" t="s">
        <v>3342</v>
      </c>
      <c r="BD70" t="s">
        <v>3382</v>
      </c>
      <c r="BE70" t="s">
        <v>778</v>
      </c>
    </row>
    <row r="71" spans="1:58">
      <c r="A71" s="1">
        <f>HYPERLINK("https://lsnyc.legalserver.org/matter/dynamic-profile/view/1891418","19-1891418")</f>
        <v>0</v>
      </c>
      <c r="B71" t="s">
        <v>607</v>
      </c>
      <c r="E71" t="s">
        <v>381</v>
      </c>
      <c r="F71" t="s">
        <v>70</v>
      </c>
      <c r="G71" t="s">
        <v>636</v>
      </c>
      <c r="H71" t="s">
        <v>692</v>
      </c>
      <c r="I71" t="s">
        <v>568</v>
      </c>
      <c r="J71" t="s">
        <v>889</v>
      </c>
      <c r="K71" t="s">
        <v>1210</v>
      </c>
      <c r="L71" t="s">
        <v>1541</v>
      </c>
      <c r="M71" t="s">
        <v>1885</v>
      </c>
      <c r="N71" t="s">
        <v>288</v>
      </c>
      <c r="O71" t="s">
        <v>289</v>
      </c>
      <c r="P71">
        <v>11207</v>
      </c>
      <c r="Q71" t="s">
        <v>290</v>
      </c>
      <c r="R71" t="s">
        <v>291</v>
      </c>
      <c r="U71">
        <v>0</v>
      </c>
      <c r="V71" t="s">
        <v>339</v>
      </c>
      <c r="W71" t="s">
        <v>346</v>
      </c>
      <c r="X71" t="s">
        <v>2438</v>
      </c>
      <c r="Y71" t="s">
        <v>349</v>
      </c>
      <c r="Z71" t="s">
        <v>350</v>
      </c>
      <c r="AC71" t="s">
        <v>352</v>
      </c>
      <c r="AE71" t="s">
        <v>2461</v>
      </c>
      <c r="AF71">
        <v>2019</v>
      </c>
      <c r="AG71">
        <v>0</v>
      </c>
      <c r="AH71">
        <v>0</v>
      </c>
      <c r="AI71">
        <v>19.8</v>
      </c>
      <c r="AJ71" t="s">
        <v>2574</v>
      </c>
      <c r="AL71" t="s">
        <v>3019</v>
      </c>
      <c r="AM71">
        <v>0</v>
      </c>
      <c r="AO71">
        <v>1</v>
      </c>
      <c r="AP71">
        <v>0</v>
      </c>
      <c r="AQ71">
        <v>124.9</v>
      </c>
      <c r="AV71" t="s">
        <v>508</v>
      </c>
      <c r="AW71">
        <v>15600</v>
      </c>
      <c r="BA71" t="s">
        <v>70</v>
      </c>
      <c r="BD71" t="s">
        <v>537</v>
      </c>
      <c r="BE71" t="s">
        <v>568</v>
      </c>
      <c r="BF71" t="s">
        <v>600</v>
      </c>
    </row>
    <row r="72" spans="1:58">
      <c r="A72" s="1">
        <f>HYPERLINK("https://lsnyc.legalserver.org/matter/dynamic-profile/view/1891752","19-1891752")</f>
        <v>0</v>
      </c>
      <c r="B72" t="s">
        <v>607</v>
      </c>
      <c r="E72" t="s">
        <v>381</v>
      </c>
      <c r="F72" t="s">
        <v>619</v>
      </c>
      <c r="G72" t="s">
        <v>636</v>
      </c>
      <c r="H72" t="s">
        <v>663</v>
      </c>
      <c r="I72" t="s">
        <v>822</v>
      </c>
      <c r="J72" t="s">
        <v>890</v>
      </c>
      <c r="K72" t="s">
        <v>1211</v>
      </c>
      <c r="L72" t="s">
        <v>1542</v>
      </c>
      <c r="M72" t="s">
        <v>1882</v>
      </c>
      <c r="N72" t="s">
        <v>288</v>
      </c>
      <c r="O72" t="s">
        <v>289</v>
      </c>
      <c r="P72">
        <v>11226</v>
      </c>
      <c r="Q72" t="s">
        <v>290</v>
      </c>
      <c r="R72" t="s">
        <v>290</v>
      </c>
      <c r="S72" t="s">
        <v>295</v>
      </c>
      <c r="T72" t="s">
        <v>2104</v>
      </c>
      <c r="U72">
        <v>4</v>
      </c>
      <c r="V72" t="s">
        <v>340</v>
      </c>
      <c r="W72" t="s">
        <v>346</v>
      </c>
      <c r="X72" t="s">
        <v>2438</v>
      </c>
      <c r="Y72" t="s">
        <v>348</v>
      </c>
      <c r="Z72" t="s">
        <v>350</v>
      </c>
      <c r="AC72" t="s">
        <v>352</v>
      </c>
      <c r="AE72" t="s">
        <v>372</v>
      </c>
      <c r="AF72">
        <v>2019</v>
      </c>
      <c r="AG72">
        <v>0</v>
      </c>
      <c r="AH72">
        <v>280</v>
      </c>
      <c r="AI72">
        <v>1.61</v>
      </c>
      <c r="AJ72" t="s">
        <v>2575</v>
      </c>
      <c r="AL72" t="s">
        <v>3020</v>
      </c>
      <c r="AM72">
        <v>0</v>
      </c>
      <c r="AO72">
        <v>1</v>
      </c>
      <c r="AP72">
        <v>0</v>
      </c>
      <c r="AQ72">
        <v>0</v>
      </c>
      <c r="AT72" t="s">
        <v>500</v>
      </c>
      <c r="AU72" t="s">
        <v>503</v>
      </c>
      <c r="AV72" t="s">
        <v>508</v>
      </c>
      <c r="AW72">
        <v>0</v>
      </c>
      <c r="BA72" t="s">
        <v>3341</v>
      </c>
      <c r="BD72" t="s">
        <v>544</v>
      </c>
      <c r="BE72" t="s">
        <v>822</v>
      </c>
    </row>
    <row r="73" spans="1:58">
      <c r="A73" s="1">
        <f>HYPERLINK("https://lsnyc.legalserver.org/matter/dynamic-profile/view/1891733","19-1891733")</f>
        <v>0</v>
      </c>
      <c r="B73" t="s">
        <v>607</v>
      </c>
      <c r="E73" t="s">
        <v>381</v>
      </c>
      <c r="F73" t="s">
        <v>72</v>
      </c>
      <c r="G73" t="s">
        <v>636</v>
      </c>
      <c r="H73" t="s">
        <v>663</v>
      </c>
      <c r="I73" t="s">
        <v>808</v>
      </c>
      <c r="J73" t="s">
        <v>891</v>
      </c>
      <c r="K73" t="s">
        <v>968</v>
      </c>
      <c r="L73" t="s">
        <v>1543</v>
      </c>
      <c r="M73">
        <v>2</v>
      </c>
      <c r="N73" t="s">
        <v>288</v>
      </c>
      <c r="O73" t="s">
        <v>289</v>
      </c>
      <c r="P73">
        <v>11225</v>
      </c>
      <c r="Q73" t="s">
        <v>290</v>
      </c>
      <c r="R73" t="s">
        <v>290</v>
      </c>
      <c r="S73" t="s">
        <v>292</v>
      </c>
      <c r="T73" t="s">
        <v>2105</v>
      </c>
      <c r="U73">
        <v>6</v>
      </c>
      <c r="V73" t="s">
        <v>340</v>
      </c>
      <c r="W73" t="s">
        <v>346</v>
      </c>
      <c r="X73" t="s">
        <v>2438</v>
      </c>
      <c r="Y73" t="s">
        <v>348</v>
      </c>
      <c r="Z73" t="s">
        <v>350</v>
      </c>
      <c r="AC73" t="s">
        <v>352</v>
      </c>
      <c r="AE73" t="s">
        <v>372</v>
      </c>
      <c r="AF73">
        <v>2019</v>
      </c>
      <c r="AG73">
        <v>0</v>
      </c>
      <c r="AH73">
        <v>960</v>
      </c>
      <c r="AI73">
        <v>3.2</v>
      </c>
      <c r="AJ73" t="s">
        <v>2576</v>
      </c>
      <c r="AM73">
        <v>0</v>
      </c>
      <c r="AO73">
        <v>1</v>
      </c>
      <c r="AP73">
        <v>0</v>
      </c>
      <c r="AQ73">
        <v>171.34</v>
      </c>
      <c r="AT73" t="s">
        <v>500</v>
      </c>
      <c r="AV73" t="s">
        <v>508</v>
      </c>
      <c r="AW73">
        <v>21400</v>
      </c>
      <c r="BA73" t="s">
        <v>522</v>
      </c>
      <c r="BD73" t="s">
        <v>537</v>
      </c>
      <c r="BE73" t="s">
        <v>567</v>
      </c>
    </row>
    <row r="74" spans="1:58">
      <c r="A74" s="1">
        <f>HYPERLINK("https://lsnyc.legalserver.org/matter/dynamic-profile/view/1891744","19-1891744")</f>
        <v>0</v>
      </c>
      <c r="B74" t="s">
        <v>607</v>
      </c>
      <c r="E74" t="s">
        <v>381</v>
      </c>
      <c r="F74" t="s">
        <v>72</v>
      </c>
      <c r="G74" t="s">
        <v>636</v>
      </c>
      <c r="H74" t="s">
        <v>663</v>
      </c>
      <c r="I74" t="s">
        <v>808</v>
      </c>
      <c r="J74" t="s">
        <v>892</v>
      </c>
      <c r="K74" t="s">
        <v>1212</v>
      </c>
      <c r="L74" t="s">
        <v>1543</v>
      </c>
      <c r="M74">
        <v>2</v>
      </c>
      <c r="N74" t="s">
        <v>288</v>
      </c>
      <c r="O74" t="s">
        <v>289</v>
      </c>
      <c r="P74">
        <v>11225</v>
      </c>
      <c r="Q74" t="s">
        <v>290</v>
      </c>
      <c r="R74" t="s">
        <v>290</v>
      </c>
      <c r="S74" t="s">
        <v>292</v>
      </c>
      <c r="T74" t="s">
        <v>2105</v>
      </c>
      <c r="U74">
        <v>6</v>
      </c>
      <c r="V74" t="s">
        <v>340</v>
      </c>
      <c r="W74" t="s">
        <v>346</v>
      </c>
      <c r="X74" t="s">
        <v>2438</v>
      </c>
      <c r="Y74" t="s">
        <v>348</v>
      </c>
      <c r="Z74" t="s">
        <v>350</v>
      </c>
      <c r="AC74" t="s">
        <v>352</v>
      </c>
      <c r="AE74" t="s">
        <v>372</v>
      </c>
      <c r="AF74">
        <v>2019</v>
      </c>
      <c r="AG74">
        <v>0</v>
      </c>
      <c r="AH74">
        <v>300</v>
      </c>
      <c r="AI74">
        <v>8.050000000000001</v>
      </c>
      <c r="AJ74" t="s">
        <v>2577</v>
      </c>
      <c r="AL74" t="s">
        <v>3021</v>
      </c>
      <c r="AM74">
        <v>0</v>
      </c>
      <c r="AO74">
        <v>1</v>
      </c>
      <c r="AP74">
        <v>0</v>
      </c>
      <c r="AQ74">
        <v>39.6</v>
      </c>
      <c r="AT74" t="s">
        <v>500</v>
      </c>
      <c r="AV74" t="s">
        <v>508</v>
      </c>
      <c r="AW74">
        <v>4946</v>
      </c>
      <c r="BA74" t="s">
        <v>522</v>
      </c>
      <c r="BD74" t="s">
        <v>538</v>
      </c>
      <c r="BE74" t="s">
        <v>808</v>
      </c>
    </row>
    <row r="75" spans="1:58">
      <c r="A75" s="1">
        <f>HYPERLINK("https://lsnyc.legalserver.org/matter/dynamic-profile/view/1891780","19-1891780")</f>
        <v>0</v>
      </c>
      <c r="B75" t="s">
        <v>607</v>
      </c>
      <c r="E75" t="s">
        <v>381</v>
      </c>
      <c r="F75" t="s">
        <v>72</v>
      </c>
      <c r="G75" t="s">
        <v>636</v>
      </c>
      <c r="H75" t="s">
        <v>663</v>
      </c>
      <c r="I75" t="s">
        <v>808</v>
      </c>
      <c r="J75" t="s">
        <v>893</v>
      </c>
      <c r="K75" t="s">
        <v>1213</v>
      </c>
      <c r="L75" t="s">
        <v>1543</v>
      </c>
      <c r="M75">
        <v>2</v>
      </c>
      <c r="N75" t="s">
        <v>288</v>
      </c>
      <c r="O75" t="s">
        <v>289</v>
      </c>
      <c r="P75">
        <v>11225</v>
      </c>
      <c r="Q75" t="s">
        <v>290</v>
      </c>
      <c r="R75" t="s">
        <v>290</v>
      </c>
      <c r="S75" t="s">
        <v>292</v>
      </c>
      <c r="T75" t="s">
        <v>2106</v>
      </c>
      <c r="U75">
        <v>7</v>
      </c>
      <c r="V75" t="s">
        <v>340</v>
      </c>
      <c r="W75" t="s">
        <v>346</v>
      </c>
      <c r="X75" t="s">
        <v>2438</v>
      </c>
      <c r="Y75" t="s">
        <v>348</v>
      </c>
      <c r="Z75" t="s">
        <v>350</v>
      </c>
      <c r="AC75" t="s">
        <v>352</v>
      </c>
      <c r="AE75" t="s">
        <v>372</v>
      </c>
      <c r="AF75">
        <v>2019</v>
      </c>
      <c r="AG75">
        <v>0</v>
      </c>
      <c r="AH75">
        <v>0</v>
      </c>
      <c r="AI75">
        <v>8.35</v>
      </c>
      <c r="AJ75" t="s">
        <v>2578</v>
      </c>
      <c r="AL75" t="s">
        <v>3022</v>
      </c>
      <c r="AM75">
        <v>0</v>
      </c>
      <c r="AO75">
        <v>1</v>
      </c>
      <c r="AP75">
        <v>0</v>
      </c>
      <c r="AQ75">
        <v>0</v>
      </c>
      <c r="AT75" t="s">
        <v>500</v>
      </c>
      <c r="AU75" t="s">
        <v>503</v>
      </c>
      <c r="AV75" t="s">
        <v>508</v>
      </c>
      <c r="AW75">
        <v>0</v>
      </c>
      <c r="BA75" t="s">
        <v>522</v>
      </c>
      <c r="BD75" t="s">
        <v>544</v>
      </c>
      <c r="BE75" t="s">
        <v>808</v>
      </c>
    </row>
    <row r="76" spans="1:58">
      <c r="A76" s="1">
        <f>HYPERLINK("https://lsnyc.legalserver.org/matter/dynamic-profile/view/1897164","19-1897164")</f>
        <v>0</v>
      </c>
      <c r="B76" t="s">
        <v>607</v>
      </c>
      <c r="E76" t="s">
        <v>381</v>
      </c>
      <c r="F76" t="s">
        <v>76</v>
      </c>
      <c r="G76" t="s">
        <v>636</v>
      </c>
      <c r="H76" t="s">
        <v>677</v>
      </c>
      <c r="I76" t="s">
        <v>824</v>
      </c>
      <c r="J76" t="s">
        <v>894</v>
      </c>
      <c r="K76" t="s">
        <v>1214</v>
      </c>
      <c r="L76" t="s">
        <v>1544</v>
      </c>
      <c r="M76">
        <v>2</v>
      </c>
      <c r="N76" t="s">
        <v>288</v>
      </c>
      <c r="O76" t="s">
        <v>289</v>
      </c>
      <c r="P76">
        <v>11221</v>
      </c>
      <c r="Q76" t="s">
        <v>290</v>
      </c>
      <c r="R76" t="s">
        <v>290</v>
      </c>
      <c r="S76" t="s">
        <v>292</v>
      </c>
      <c r="T76" t="s">
        <v>2107</v>
      </c>
      <c r="U76">
        <v>-1</v>
      </c>
      <c r="V76" t="s">
        <v>340</v>
      </c>
      <c r="W76" t="s">
        <v>346</v>
      </c>
      <c r="X76" t="s">
        <v>2438</v>
      </c>
      <c r="Y76" t="s">
        <v>348</v>
      </c>
      <c r="Z76" t="s">
        <v>350</v>
      </c>
      <c r="AA76" t="s">
        <v>350</v>
      </c>
      <c r="AC76" t="s">
        <v>352</v>
      </c>
      <c r="AE76" t="s">
        <v>357</v>
      </c>
      <c r="AF76">
        <v>2019</v>
      </c>
      <c r="AG76">
        <v>0</v>
      </c>
      <c r="AH76">
        <v>800</v>
      </c>
      <c r="AI76">
        <v>0.5</v>
      </c>
      <c r="AJ76" t="s">
        <v>2579</v>
      </c>
      <c r="AM76">
        <v>0</v>
      </c>
      <c r="AO76">
        <v>3</v>
      </c>
      <c r="AP76">
        <v>0</v>
      </c>
      <c r="AQ76">
        <v>74.54000000000001</v>
      </c>
      <c r="AV76" t="s">
        <v>509</v>
      </c>
      <c r="AW76">
        <v>15900</v>
      </c>
      <c r="BA76" t="s">
        <v>522</v>
      </c>
      <c r="BD76" t="s">
        <v>3369</v>
      </c>
      <c r="BE76" t="s">
        <v>3422</v>
      </c>
      <c r="BF76" t="s">
        <v>600</v>
      </c>
    </row>
    <row r="77" spans="1:58">
      <c r="A77" s="1">
        <f>HYPERLINK("https://lsnyc.legalserver.org/matter/dynamic-profile/view/1896038","19-1896038")</f>
        <v>0</v>
      </c>
      <c r="B77" t="s">
        <v>607</v>
      </c>
      <c r="E77" t="s">
        <v>381</v>
      </c>
      <c r="F77" t="s">
        <v>628</v>
      </c>
      <c r="G77" t="s">
        <v>636</v>
      </c>
      <c r="H77" t="s">
        <v>693</v>
      </c>
      <c r="I77" t="s">
        <v>792</v>
      </c>
      <c r="J77" t="s">
        <v>895</v>
      </c>
      <c r="K77" t="s">
        <v>1215</v>
      </c>
      <c r="L77" t="s">
        <v>1545</v>
      </c>
      <c r="M77" t="s">
        <v>1886</v>
      </c>
      <c r="N77" t="s">
        <v>288</v>
      </c>
      <c r="O77" t="s">
        <v>289</v>
      </c>
      <c r="P77">
        <v>11221</v>
      </c>
      <c r="Q77" t="s">
        <v>290</v>
      </c>
      <c r="R77" t="s">
        <v>290</v>
      </c>
      <c r="S77" t="s">
        <v>292</v>
      </c>
      <c r="T77" t="s">
        <v>2108</v>
      </c>
      <c r="U77">
        <v>1</v>
      </c>
      <c r="V77" t="s">
        <v>339</v>
      </c>
      <c r="W77" t="s">
        <v>346</v>
      </c>
      <c r="X77" t="s">
        <v>2438</v>
      </c>
      <c r="Y77" t="s">
        <v>348</v>
      </c>
      <c r="Z77" t="s">
        <v>350</v>
      </c>
      <c r="AA77" t="s">
        <v>350</v>
      </c>
      <c r="AC77" t="s">
        <v>352</v>
      </c>
      <c r="AD77" t="s">
        <v>356</v>
      </c>
      <c r="AE77" t="s">
        <v>357</v>
      </c>
      <c r="AF77">
        <v>2019</v>
      </c>
      <c r="AG77">
        <v>0</v>
      </c>
      <c r="AH77">
        <v>2250</v>
      </c>
      <c r="AI77">
        <v>3.6</v>
      </c>
      <c r="AJ77" t="s">
        <v>2580</v>
      </c>
      <c r="AL77" t="s">
        <v>3023</v>
      </c>
      <c r="AM77">
        <v>48</v>
      </c>
      <c r="AN77" t="s">
        <v>493</v>
      </c>
      <c r="AO77">
        <v>1</v>
      </c>
      <c r="AP77">
        <v>0</v>
      </c>
      <c r="AQ77">
        <v>176.3</v>
      </c>
      <c r="AT77" t="s">
        <v>500</v>
      </c>
      <c r="AV77" t="s">
        <v>508</v>
      </c>
      <c r="AW77">
        <v>22020</v>
      </c>
      <c r="BA77" t="s">
        <v>522</v>
      </c>
      <c r="BD77" t="s">
        <v>3383</v>
      </c>
      <c r="BE77" t="s">
        <v>792</v>
      </c>
      <c r="BF77" t="s">
        <v>600</v>
      </c>
    </row>
    <row r="78" spans="1:58">
      <c r="A78" s="1">
        <f>HYPERLINK("https://lsnyc.legalserver.org/matter/dynamic-profile/view/1898569","19-1898569")</f>
        <v>0</v>
      </c>
      <c r="B78" t="s">
        <v>607</v>
      </c>
      <c r="E78" t="s">
        <v>381</v>
      </c>
      <c r="F78" t="s">
        <v>69</v>
      </c>
      <c r="G78" t="s">
        <v>636</v>
      </c>
      <c r="H78" t="s">
        <v>676</v>
      </c>
      <c r="I78" t="s">
        <v>825</v>
      </c>
      <c r="J78" t="s">
        <v>167</v>
      </c>
      <c r="K78" t="s">
        <v>1216</v>
      </c>
      <c r="L78" t="s">
        <v>1546</v>
      </c>
      <c r="N78" t="s">
        <v>288</v>
      </c>
      <c r="O78" t="s">
        <v>289</v>
      </c>
      <c r="P78">
        <v>11220</v>
      </c>
      <c r="Q78" t="s">
        <v>290</v>
      </c>
      <c r="R78" t="s">
        <v>350</v>
      </c>
      <c r="S78" t="s">
        <v>295</v>
      </c>
      <c r="T78" t="s">
        <v>2109</v>
      </c>
      <c r="U78">
        <v>8</v>
      </c>
      <c r="V78" t="s">
        <v>340</v>
      </c>
      <c r="W78" t="s">
        <v>346</v>
      </c>
      <c r="X78" t="s">
        <v>2438</v>
      </c>
      <c r="Y78" t="s">
        <v>349</v>
      </c>
      <c r="Z78" t="s">
        <v>350</v>
      </c>
      <c r="AA78" t="s">
        <v>350</v>
      </c>
      <c r="AC78" t="s">
        <v>352</v>
      </c>
      <c r="AD78" t="s">
        <v>356</v>
      </c>
      <c r="AE78" t="s">
        <v>357</v>
      </c>
      <c r="AF78">
        <v>2019</v>
      </c>
      <c r="AG78">
        <v>0</v>
      </c>
      <c r="AH78">
        <v>500</v>
      </c>
      <c r="AI78">
        <v>12.85</v>
      </c>
      <c r="AJ78" t="s">
        <v>2581</v>
      </c>
      <c r="AK78" t="s">
        <v>2907</v>
      </c>
      <c r="AL78" t="s">
        <v>3024</v>
      </c>
      <c r="AM78">
        <v>5</v>
      </c>
      <c r="AN78" t="s">
        <v>496</v>
      </c>
      <c r="AO78">
        <v>1</v>
      </c>
      <c r="AP78">
        <v>0</v>
      </c>
      <c r="AQ78">
        <v>0</v>
      </c>
      <c r="AV78" t="s">
        <v>508</v>
      </c>
      <c r="AW78">
        <v>0</v>
      </c>
      <c r="BA78" t="s">
        <v>3342</v>
      </c>
      <c r="BB78" t="s">
        <v>3350</v>
      </c>
      <c r="BD78" t="s">
        <v>3384</v>
      </c>
      <c r="BE78" t="s">
        <v>825</v>
      </c>
      <c r="BF78" t="s">
        <v>600</v>
      </c>
    </row>
    <row r="79" spans="1:58">
      <c r="A79" s="1">
        <f>HYPERLINK("https://lsnyc.legalserver.org/matter/dynamic-profile/view/1900368","19-1900368")</f>
        <v>0</v>
      </c>
      <c r="B79" t="s">
        <v>607</v>
      </c>
      <c r="E79" t="s">
        <v>381</v>
      </c>
      <c r="F79" t="s">
        <v>618</v>
      </c>
      <c r="G79" t="s">
        <v>636</v>
      </c>
      <c r="H79" t="s">
        <v>589</v>
      </c>
      <c r="I79" t="s">
        <v>586</v>
      </c>
      <c r="J79" t="s">
        <v>896</v>
      </c>
      <c r="K79" t="s">
        <v>1217</v>
      </c>
      <c r="L79" t="s">
        <v>1547</v>
      </c>
      <c r="N79" t="s">
        <v>288</v>
      </c>
      <c r="O79" t="s">
        <v>289</v>
      </c>
      <c r="P79">
        <v>11226</v>
      </c>
      <c r="Q79" t="s">
        <v>290</v>
      </c>
      <c r="R79" t="s">
        <v>291</v>
      </c>
      <c r="S79" t="s">
        <v>295</v>
      </c>
      <c r="T79" t="s">
        <v>2110</v>
      </c>
      <c r="U79">
        <v>1</v>
      </c>
      <c r="V79" t="s">
        <v>340</v>
      </c>
      <c r="W79" t="s">
        <v>346</v>
      </c>
      <c r="X79" t="s">
        <v>2438</v>
      </c>
      <c r="Y79" t="s">
        <v>348</v>
      </c>
      <c r="Z79" t="s">
        <v>350</v>
      </c>
      <c r="AA79" t="s">
        <v>350</v>
      </c>
      <c r="AC79" t="s">
        <v>352</v>
      </c>
      <c r="AE79" t="s">
        <v>359</v>
      </c>
      <c r="AF79">
        <v>2019</v>
      </c>
      <c r="AG79">
        <v>0</v>
      </c>
      <c r="AH79">
        <v>1850</v>
      </c>
      <c r="AI79">
        <v>8</v>
      </c>
      <c r="AJ79" t="s">
        <v>2582</v>
      </c>
      <c r="AL79" t="s">
        <v>3025</v>
      </c>
      <c r="AM79">
        <v>2</v>
      </c>
      <c r="AN79" t="s">
        <v>3320</v>
      </c>
      <c r="AO79">
        <v>2</v>
      </c>
      <c r="AP79">
        <v>3</v>
      </c>
      <c r="AQ79">
        <v>136.56</v>
      </c>
      <c r="AU79" t="s">
        <v>503</v>
      </c>
      <c r="AV79" t="s">
        <v>508</v>
      </c>
      <c r="AW79">
        <v>41200</v>
      </c>
      <c r="BA79" t="s">
        <v>3341</v>
      </c>
      <c r="BD79" t="s">
        <v>537</v>
      </c>
      <c r="BE79" t="s">
        <v>3434</v>
      </c>
      <c r="BF79" t="s">
        <v>600</v>
      </c>
    </row>
    <row r="80" spans="1:58">
      <c r="A80" s="1">
        <f>HYPERLINK("https://lsnyc.legalserver.org/matter/dynamic-profile/view/1875478","18-1875478")</f>
        <v>0</v>
      </c>
      <c r="B80" t="s">
        <v>608</v>
      </c>
      <c r="E80" t="s">
        <v>381</v>
      </c>
      <c r="F80" t="s">
        <v>626</v>
      </c>
      <c r="G80" t="s">
        <v>636</v>
      </c>
      <c r="H80" t="s">
        <v>694</v>
      </c>
      <c r="I80" t="s">
        <v>569</v>
      </c>
      <c r="J80" t="s">
        <v>897</v>
      </c>
      <c r="K80" t="s">
        <v>1218</v>
      </c>
      <c r="L80" t="s">
        <v>1548</v>
      </c>
      <c r="M80" t="s">
        <v>1887</v>
      </c>
      <c r="N80" t="s">
        <v>288</v>
      </c>
      <c r="O80" t="s">
        <v>289</v>
      </c>
      <c r="P80">
        <v>11203</v>
      </c>
      <c r="Q80" t="s">
        <v>290</v>
      </c>
      <c r="R80" t="s">
        <v>290</v>
      </c>
      <c r="S80" t="s">
        <v>2030</v>
      </c>
      <c r="T80" t="s">
        <v>2111</v>
      </c>
      <c r="U80">
        <v>3</v>
      </c>
      <c r="V80" t="s">
        <v>339</v>
      </c>
      <c r="W80" t="s">
        <v>346</v>
      </c>
      <c r="X80" t="s">
        <v>2438</v>
      </c>
      <c r="Y80" t="s">
        <v>349</v>
      </c>
      <c r="Z80" t="s">
        <v>350</v>
      </c>
      <c r="AC80" t="s">
        <v>352</v>
      </c>
      <c r="AE80" t="s">
        <v>2462</v>
      </c>
      <c r="AF80">
        <v>2018</v>
      </c>
      <c r="AG80">
        <v>372</v>
      </c>
      <c r="AH80">
        <v>1272</v>
      </c>
      <c r="AI80">
        <v>4.2</v>
      </c>
      <c r="AJ80" t="s">
        <v>2583</v>
      </c>
      <c r="AL80" t="s">
        <v>3026</v>
      </c>
      <c r="AM80">
        <v>114</v>
      </c>
      <c r="AN80" t="s">
        <v>497</v>
      </c>
      <c r="AO80">
        <v>1</v>
      </c>
      <c r="AP80">
        <v>0</v>
      </c>
      <c r="AQ80">
        <v>189.46</v>
      </c>
      <c r="AT80" t="s">
        <v>500</v>
      </c>
      <c r="AU80" t="s">
        <v>507</v>
      </c>
      <c r="AW80">
        <v>23000</v>
      </c>
      <c r="AY80" t="s">
        <v>290</v>
      </c>
      <c r="BA80" t="s">
        <v>3341</v>
      </c>
      <c r="BD80" t="s">
        <v>537</v>
      </c>
      <c r="BE80" t="s">
        <v>699</v>
      </c>
    </row>
    <row r="81" spans="1:58">
      <c r="A81" s="1">
        <f>HYPERLINK("https://lsnyc.legalserver.org/matter/dynamic-profile/view/1871544","18-1871544")</f>
        <v>0</v>
      </c>
      <c r="B81" t="s">
        <v>608</v>
      </c>
      <c r="E81" t="s">
        <v>381</v>
      </c>
      <c r="F81" t="s">
        <v>626</v>
      </c>
      <c r="G81" t="s">
        <v>636</v>
      </c>
      <c r="H81" t="s">
        <v>562</v>
      </c>
      <c r="I81" t="s">
        <v>698</v>
      </c>
      <c r="J81" t="s">
        <v>898</v>
      </c>
      <c r="K81" t="s">
        <v>1219</v>
      </c>
      <c r="L81" t="s">
        <v>1549</v>
      </c>
      <c r="M81" t="s">
        <v>1888</v>
      </c>
      <c r="N81" t="s">
        <v>288</v>
      </c>
      <c r="O81" t="s">
        <v>289</v>
      </c>
      <c r="P81">
        <v>11225</v>
      </c>
      <c r="Q81" t="s">
        <v>290</v>
      </c>
      <c r="R81" t="s">
        <v>290</v>
      </c>
      <c r="S81" t="s">
        <v>292</v>
      </c>
      <c r="T81" t="s">
        <v>2112</v>
      </c>
      <c r="U81">
        <v>40</v>
      </c>
      <c r="V81" t="s">
        <v>339</v>
      </c>
      <c r="W81" t="s">
        <v>346</v>
      </c>
      <c r="X81" t="s">
        <v>2438</v>
      </c>
      <c r="Y81" t="s">
        <v>348</v>
      </c>
      <c r="Z81" t="s">
        <v>350</v>
      </c>
      <c r="AC81" t="s">
        <v>352</v>
      </c>
      <c r="AE81" t="s">
        <v>2447</v>
      </c>
      <c r="AF81">
        <v>2019</v>
      </c>
      <c r="AG81">
        <v>1340.76</v>
      </c>
      <c r="AH81">
        <v>1400</v>
      </c>
      <c r="AI81">
        <v>9.800000000000001</v>
      </c>
      <c r="AJ81" t="s">
        <v>2584</v>
      </c>
      <c r="AL81" t="s">
        <v>3027</v>
      </c>
      <c r="AM81">
        <v>0</v>
      </c>
      <c r="AO81">
        <v>4</v>
      </c>
      <c r="AP81">
        <v>1</v>
      </c>
      <c r="AQ81">
        <v>64.36</v>
      </c>
      <c r="AT81" t="s">
        <v>502</v>
      </c>
      <c r="AV81" t="s">
        <v>508</v>
      </c>
      <c r="AW81">
        <v>18936</v>
      </c>
      <c r="BA81" t="s">
        <v>3342</v>
      </c>
      <c r="BD81" t="s">
        <v>554</v>
      </c>
      <c r="BE81" t="s">
        <v>698</v>
      </c>
      <c r="BF81" t="s">
        <v>600</v>
      </c>
    </row>
    <row r="82" spans="1:58">
      <c r="A82" s="1">
        <f>HYPERLINK("https://lsnyc.legalserver.org/matter/dynamic-profile/view/1870668","18-1870668")</f>
        <v>0</v>
      </c>
      <c r="B82" t="s">
        <v>609</v>
      </c>
      <c r="E82" t="s">
        <v>381</v>
      </c>
      <c r="F82" t="s">
        <v>526</v>
      </c>
      <c r="G82" t="s">
        <v>636</v>
      </c>
      <c r="H82" t="s">
        <v>695</v>
      </c>
      <c r="I82" t="s">
        <v>740</v>
      </c>
      <c r="J82" t="s">
        <v>899</v>
      </c>
      <c r="K82" t="s">
        <v>1220</v>
      </c>
      <c r="L82" t="s">
        <v>1550</v>
      </c>
      <c r="M82" t="s">
        <v>1889</v>
      </c>
      <c r="N82" t="s">
        <v>288</v>
      </c>
      <c r="O82" t="s">
        <v>289</v>
      </c>
      <c r="P82">
        <v>11219</v>
      </c>
      <c r="Q82" t="s">
        <v>290</v>
      </c>
      <c r="R82" t="s">
        <v>290</v>
      </c>
      <c r="S82" t="s">
        <v>298</v>
      </c>
      <c r="T82" t="s">
        <v>2113</v>
      </c>
      <c r="U82">
        <v>32</v>
      </c>
      <c r="V82" t="s">
        <v>339</v>
      </c>
      <c r="W82" t="s">
        <v>346</v>
      </c>
      <c r="X82" t="s">
        <v>2438</v>
      </c>
      <c r="Y82" t="s">
        <v>349</v>
      </c>
      <c r="Z82" t="s">
        <v>350</v>
      </c>
      <c r="AA82" t="s">
        <v>350</v>
      </c>
      <c r="AC82" t="s">
        <v>352</v>
      </c>
      <c r="AE82" t="s">
        <v>2457</v>
      </c>
      <c r="AF82">
        <v>2018</v>
      </c>
      <c r="AG82">
        <v>706.8200000000001</v>
      </c>
      <c r="AH82">
        <v>706.8200000000001</v>
      </c>
      <c r="AI82">
        <v>28.25</v>
      </c>
      <c r="AJ82" t="s">
        <v>2585</v>
      </c>
      <c r="AK82" t="s">
        <v>2908</v>
      </c>
      <c r="AL82" t="s">
        <v>3028</v>
      </c>
      <c r="AM82">
        <v>67</v>
      </c>
      <c r="AN82" t="s">
        <v>493</v>
      </c>
      <c r="AO82">
        <v>3</v>
      </c>
      <c r="AP82">
        <v>1</v>
      </c>
      <c r="AQ82">
        <v>151.49</v>
      </c>
      <c r="AT82" t="s">
        <v>501</v>
      </c>
      <c r="AV82" t="s">
        <v>508</v>
      </c>
      <c r="AW82">
        <v>38024</v>
      </c>
      <c r="BA82" t="s">
        <v>529</v>
      </c>
      <c r="BD82" t="s">
        <v>3385</v>
      </c>
      <c r="BE82" t="s">
        <v>499</v>
      </c>
    </row>
    <row r="83" spans="1:58">
      <c r="A83" s="1">
        <f>HYPERLINK("https://lsnyc.legalserver.org/matter/dynamic-profile/view/1883508","18-1883508")</f>
        <v>0</v>
      </c>
      <c r="B83" t="s">
        <v>610</v>
      </c>
      <c r="E83" t="s">
        <v>381</v>
      </c>
      <c r="F83" t="s">
        <v>628</v>
      </c>
      <c r="G83" t="s">
        <v>636</v>
      </c>
      <c r="H83" t="s">
        <v>643</v>
      </c>
      <c r="I83" t="s">
        <v>782</v>
      </c>
      <c r="J83" t="s">
        <v>900</v>
      </c>
      <c r="K83" t="s">
        <v>1221</v>
      </c>
      <c r="L83" t="s">
        <v>1551</v>
      </c>
      <c r="M83" t="s">
        <v>1890</v>
      </c>
      <c r="N83" t="s">
        <v>288</v>
      </c>
      <c r="O83" t="s">
        <v>289</v>
      </c>
      <c r="P83">
        <v>11218</v>
      </c>
      <c r="Q83" t="s">
        <v>290</v>
      </c>
      <c r="R83" t="s">
        <v>290</v>
      </c>
      <c r="S83" t="s">
        <v>2031</v>
      </c>
      <c r="T83" t="s">
        <v>2114</v>
      </c>
      <c r="U83">
        <v>10</v>
      </c>
      <c r="V83" t="s">
        <v>340</v>
      </c>
      <c r="W83" t="s">
        <v>346</v>
      </c>
      <c r="X83" t="s">
        <v>2440</v>
      </c>
      <c r="Y83" t="s">
        <v>349</v>
      </c>
      <c r="Z83" t="s">
        <v>350</v>
      </c>
      <c r="AA83" t="s">
        <v>350</v>
      </c>
      <c r="AC83" t="s">
        <v>352</v>
      </c>
      <c r="AD83" t="s">
        <v>356</v>
      </c>
      <c r="AE83" t="s">
        <v>367</v>
      </c>
      <c r="AF83">
        <v>2018</v>
      </c>
      <c r="AG83">
        <v>0</v>
      </c>
      <c r="AH83">
        <v>1054</v>
      </c>
      <c r="AI83">
        <v>32.8</v>
      </c>
      <c r="AJ83" t="s">
        <v>2586</v>
      </c>
      <c r="AL83" t="s">
        <v>3029</v>
      </c>
      <c r="AM83">
        <v>1</v>
      </c>
      <c r="AO83">
        <v>1</v>
      </c>
      <c r="AP83">
        <v>0</v>
      </c>
      <c r="AQ83">
        <v>321.25</v>
      </c>
      <c r="AR83" t="s">
        <v>782</v>
      </c>
      <c r="AS83" t="s">
        <v>3328</v>
      </c>
      <c r="AT83" t="s">
        <v>500</v>
      </c>
      <c r="AV83" t="s">
        <v>508</v>
      </c>
      <c r="AW83">
        <v>39000</v>
      </c>
      <c r="BA83" t="s">
        <v>530</v>
      </c>
      <c r="BD83" t="s">
        <v>550</v>
      </c>
      <c r="BE83" t="s">
        <v>3423</v>
      </c>
    </row>
    <row r="84" spans="1:58">
      <c r="A84" s="1">
        <f>HYPERLINK("https://lsnyc.legalserver.org/matter/dynamic-profile/view/1887217","19-1887217")</f>
        <v>0</v>
      </c>
      <c r="E84" t="s">
        <v>381</v>
      </c>
      <c r="F84" t="s">
        <v>629</v>
      </c>
      <c r="G84" t="s">
        <v>80</v>
      </c>
      <c r="H84" t="s">
        <v>659</v>
      </c>
      <c r="J84" t="s">
        <v>140</v>
      </c>
      <c r="K84" t="s">
        <v>1222</v>
      </c>
      <c r="L84" t="s">
        <v>1552</v>
      </c>
      <c r="M84" t="s">
        <v>1864</v>
      </c>
      <c r="N84" t="s">
        <v>288</v>
      </c>
      <c r="O84" t="s">
        <v>289</v>
      </c>
      <c r="P84">
        <v>11216</v>
      </c>
      <c r="Q84" t="s">
        <v>290</v>
      </c>
      <c r="R84" t="s">
        <v>290</v>
      </c>
      <c r="S84" t="s">
        <v>292</v>
      </c>
      <c r="T84" t="s">
        <v>2115</v>
      </c>
      <c r="U84">
        <v>1</v>
      </c>
      <c r="V84" t="s">
        <v>340</v>
      </c>
      <c r="W84" t="s">
        <v>346</v>
      </c>
      <c r="Y84" t="s">
        <v>348</v>
      </c>
      <c r="Z84" t="s">
        <v>350</v>
      </c>
      <c r="AA84" t="s">
        <v>350</v>
      </c>
      <c r="AC84" t="s">
        <v>352</v>
      </c>
      <c r="AD84" t="s">
        <v>356</v>
      </c>
      <c r="AE84" t="s">
        <v>2463</v>
      </c>
      <c r="AF84">
        <v>2019</v>
      </c>
      <c r="AG84">
        <v>0</v>
      </c>
      <c r="AH84">
        <v>400</v>
      </c>
      <c r="AI84">
        <v>8.9</v>
      </c>
      <c r="AJ84" t="s">
        <v>2587</v>
      </c>
      <c r="AK84" t="s">
        <v>2909</v>
      </c>
      <c r="AL84" t="s">
        <v>3030</v>
      </c>
      <c r="AM84">
        <v>2</v>
      </c>
      <c r="AN84" t="s">
        <v>496</v>
      </c>
      <c r="AO84">
        <v>1</v>
      </c>
      <c r="AP84">
        <v>2</v>
      </c>
      <c r="AQ84">
        <v>0</v>
      </c>
      <c r="AT84" t="s">
        <v>501</v>
      </c>
      <c r="AU84" t="s">
        <v>503</v>
      </c>
      <c r="AV84" t="s">
        <v>508</v>
      </c>
      <c r="AW84">
        <v>0</v>
      </c>
      <c r="BA84" t="s">
        <v>3343</v>
      </c>
      <c r="BD84" t="s">
        <v>3368</v>
      </c>
      <c r="BE84" t="s">
        <v>806</v>
      </c>
    </row>
    <row r="85" spans="1:58">
      <c r="A85" s="1">
        <f>HYPERLINK("https://lsnyc.legalserver.org/matter/dynamic-profile/view/1894579","19-1894579")</f>
        <v>0</v>
      </c>
      <c r="E85" t="s">
        <v>381</v>
      </c>
      <c r="F85" t="s">
        <v>74</v>
      </c>
      <c r="G85" t="s">
        <v>80</v>
      </c>
      <c r="H85" t="s">
        <v>669</v>
      </c>
      <c r="J85" t="s">
        <v>901</v>
      </c>
      <c r="K85" t="s">
        <v>1223</v>
      </c>
      <c r="L85" t="s">
        <v>238</v>
      </c>
      <c r="M85" t="s">
        <v>1891</v>
      </c>
      <c r="N85" t="s">
        <v>288</v>
      </c>
      <c r="O85" t="s">
        <v>289</v>
      </c>
      <c r="P85">
        <v>11226</v>
      </c>
      <c r="Q85" t="s">
        <v>290</v>
      </c>
      <c r="R85" t="s">
        <v>290</v>
      </c>
      <c r="S85" t="s">
        <v>295</v>
      </c>
      <c r="T85" t="s">
        <v>2116</v>
      </c>
      <c r="U85">
        <v>3</v>
      </c>
      <c r="V85" t="s">
        <v>339</v>
      </c>
      <c r="W85" t="s">
        <v>346</v>
      </c>
      <c r="Y85" t="s">
        <v>348</v>
      </c>
      <c r="Z85" t="s">
        <v>350</v>
      </c>
      <c r="AC85" t="s">
        <v>352</v>
      </c>
      <c r="AE85" t="s">
        <v>372</v>
      </c>
      <c r="AF85">
        <v>2019</v>
      </c>
      <c r="AG85">
        <v>0</v>
      </c>
      <c r="AH85">
        <v>2100</v>
      </c>
      <c r="AI85">
        <v>19.15</v>
      </c>
      <c r="AJ85" t="s">
        <v>2588</v>
      </c>
      <c r="AL85" t="s">
        <v>3031</v>
      </c>
      <c r="AM85">
        <v>0</v>
      </c>
      <c r="AO85">
        <v>1</v>
      </c>
      <c r="AP85">
        <v>2</v>
      </c>
      <c r="AQ85">
        <v>187.53</v>
      </c>
      <c r="AT85" t="s">
        <v>501</v>
      </c>
      <c r="AV85" t="s">
        <v>508</v>
      </c>
      <c r="AW85">
        <v>40000</v>
      </c>
      <c r="BA85" t="s">
        <v>3342</v>
      </c>
      <c r="BD85" t="s">
        <v>540</v>
      </c>
      <c r="BE85" t="s">
        <v>586</v>
      </c>
      <c r="BF85" t="s">
        <v>600</v>
      </c>
    </row>
    <row r="86" spans="1:58">
      <c r="A86" s="1">
        <f>HYPERLINK("https://lsnyc.legalserver.org/matter/dynamic-profile/view/1894392","19-1894392")</f>
        <v>0</v>
      </c>
      <c r="E86" t="s">
        <v>381</v>
      </c>
      <c r="F86" t="s">
        <v>79</v>
      </c>
      <c r="G86" t="s">
        <v>80</v>
      </c>
      <c r="H86" t="s">
        <v>696</v>
      </c>
      <c r="J86" t="s">
        <v>902</v>
      </c>
      <c r="K86" t="s">
        <v>968</v>
      </c>
      <c r="L86" t="s">
        <v>1553</v>
      </c>
      <c r="M86" t="s">
        <v>1892</v>
      </c>
      <c r="N86" t="s">
        <v>288</v>
      </c>
      <c r="O86" t="s">
        <v>289</v>
      </c>
      <c r="P86">
        <v>11221</v>
      </c>
      <c r="Q86" t="s">
        <v>290</v>
      </c>
      <c r="R86" t="s">
        <v>290</v>
      </c>
      <c r="S86" t="s">
        <v>295</v>
      </c>
      <c r="T86" t="s">
        <v>2117</v>
      </c>
      <c r="U86">
        <v>17</v>
      </c>
      <c r="V86" t="s">
        <v>339</v>
      </c>
      <c r="W86" t="s">
        <v>346</v>
      </c>
      <c r="Y86" t="s">
        <v>348</v>
      </c>
      <c r="Z86" t="s">
        <v>350</v>
      </c>
      <c r="AA86" t="s">
        <v>350</v>
      </c>
      <c r="AC86" t="s">
        <v>352</v>
      </c>
      <c r="AD86" t="s">
        <v>356</v>
      </c>
      <c r="AE86" t="s">
        <v>2464</v>
      </c>
      <c r="AF86">
        <v>2019</v>
      </c>
      <c r="AG86">
        <v>0</v>
      </c>
      <c r="AH86">
        <v>161</v>
      </c>
      <c r="AI86">
        <v>1.55</v>
      </c>
      <c r="AJ86" t="s">
        <v>2589</v>
      </c>
      <c r="AL86" t="s">
        <v>3032</v>
      </c>
      <c r="AM86">
        <v>12</v>
      </c>
      <c r="AN86" t="s">
        <v>495</v>
      </c>
      <c r="AO86">
        <v>1</v>
      </c>
      <c r="AP86">
        <v>0</v>
      </c>
      <c r="AQ86">
        <v>129.9</v>
      </c>
      <c r="AT86" t="s">
        <v>500</v>
      </c>
      <c r="AU86" t="s">
        <v>503</v>
      </c>
      <c r="AV86" t="s">
        <v>508</v>
      </c>
      <c r="AW86">
        <v>16224</v>
      </c>
      <c r="BA86" t="s">
        <v>3342</v>
      </c>
      <c r="BD86" t="s">
        <v>3363</v>
      </c>
      <c r="BE86" t="s">
        <v>809</v>
      </c>
    </row>
    <row r="87" spans="1:58">
      <c r="A87" s="1">
        <f>HYPERLINK("https://lsnyc.legalserver.org/matter/dynamic-profile/view/1879845","18-1879845")</f>
        <v>0</v>
      </c>
      <c r="B87" t="s">
        <v>611</v>
      </c>
      <c r="E87" t="s">
        <v>381</v>
      </c>
      <c r="F87" t="s">
        <v>626</v>
      </c>
      <c r="G87" t="s">
        <v>636</v>
      </c>
      <c r="H87" t="s">
        <v>697</v>
      </c>
      <c r="I87" t="s">
        <v>823</v>
      </c>
      <c r="J87" t="s">
        <v>903</v>
      </c>
      <c r="K87" t="s">
        <v>1224</v>
      </c>
      <c r="L87" t="s">
        <v>1554</v>
      </c>
      <c r="M87" t="s">
        <v>1893</v>
      </c>
      <c r="N87" t="s">
        <v>288</v>
      </c>
      <c r="O87" t="s">
        <v>289</v>
      </c>
      <c r="P87">
        <v>11225</v>
      </c>
      <c r="Q87" t="s">
        <v>290</v>
      </c>
      <c r="R87" t="s">
        <v>290</v>
      </c>
      <c r="S87" t="s">
        <v>292</v>
      </c>
      <c r="T87" t="s">
        <v>2118</v>
      </c>
      <c r="U87">
        <v>14</v>
      </c>
      <c r="V87" t="s">
        <v>339</v>
      </c>
      <c r="W87" t="s">
        <v>346</v>
      </c>
      <c r="X87" t="s">
        <v>2440</v>
      </c>
      <c r="Y87" t="s">
        <v>348</v>
      </c>
      <c r="Z87" t="s">
        <v>350</v>
      </c>
      <c r="AC87" t="s">
        <v>352</v>
      </c>
      <c r="AE87" t="s">
        <v>367</v>
      </c>
      <c r="AF87">
        <v>2018</v>
      </c>
      <c r="AG87">
        <v>0</v>
      </c>
      <c r="AH87">
        <v>1059</v>
      </c>
      <c r="AI87">
        <v>10.5</v>
      </c>
      <c r="AJ87" t="s">
        <v>2590</v>
      </c>
      <c r="AM87">
        <v>0</v>
      </c>
      <c r="AO87">
        <v>2</v>
      </c>
      <c r="AP87">
        <v>3</v>
      </c>
      <c r="AQ87">
        <v>0</v>
      </c>
      <c r="AT87" t="s">
        <v>501</v>
      </c>
      <c r="AV87" t="s">
        <v>508</v>
      </c>
      <c r="AW87">
        <v>0</v>
      </c>
      <c r="BA87" t="s">
        <v>522</v>
      </c>
      <c r="BD87" t="s">
        <v>3384</v>
      </c>
      <c r="BE87" t="s">
        <v>3435</v>
      </c>
    </row>
    <row r="88" spans="1:58">
      <c r="A88" s="1">
        <f>HYPERLINK("https://lsnyc.legalserver.org/matter/dynamic-profile/view/1875370","18-1875370")</f>
        <v>0</v>
      </c>
      <c r="B88" t="s">
        <v>611</v>
      </c>
      <c r="E88" t="s">
        <v>381</v>
      </c>
      <c r="F88" t="s">
        <v>526</v>
      </c>
      <c r="G88" t="s">
        <v>636</v>
      </c>
      <c r="H88" t="s">
        <v>698</v>
      </c>
      <c r="I88" t="s">
        <v>741</v>
      </c>
      <c r="J88" t="s">
        <v>904</v>
      </c>
      <c r="K88" t="s">
        <v>1225</v>
      </c>
      <c r="L88" t="s">
        <v>1555</v>
      </c>
      <c r="M88" t="s">
        <v>1843</v>
      </c>
      <c r="N88" t="s">
        <v>288</v>
      </c>
      <c r="O88" t="s">
        <v>289</v>
      </c>
      <c r="P88">
        <v>11203</v>
      </c>
      <c r="Q88" t="s">
        <v>290</v>
      </c>
      <c r="R88" t="s">
        <v>290</v>
      </c>
      <c r="S88" t="s">
        <v>295</v>
      </c>
      <c r="T88" t="s">
        <v>2119</v>
      </c>
      <c r="U88">
        <v>19</v>
      </c>
      <c r="V88" t="s">
        <v>339</v>
      </c>
      <c r="W88" t="s">
        <v>2437</v>
      </c>
      <c r="X88" t="s">
        <v>2438</v>
      </c>
      <c r="Y88" t="s">
        <v>349</v>
      </c>
      <c r="Z88" t="s">
        <v>350</v>
      </c>
      <c r="AC88" t="s">
        <v>352</v>
      </c>
      <c r="AE88" t="s">
        <v>2465</v>
      </c>
      <c r="AF88">
        <v>2018</v>
      </c>
      <c r="AG88">
        <v>270</v>
      </c>
      <c r="AH88">
        <v>1386</v>
      </c>
      <c r="AI88">
        <v>14.75</v>
      </c>
      <c r="AJ88" t="s">
        <v>2591</v>
      </c>
      <c r="AK88" t="s">
        <v>2910</v>
      </c>
      <c r="AL88" t="s">
        <v>3033</v>
      </c>
      <c r="AM88">
        <v>24</v>
      </c>
      <c r="AO88">
        <v>1</v>
      </c>
      <c r="AP88">
        <v>1</v>
      </c>
      <c r="AQ88">
        <v>127.95</v>
      </c>
      <c r="AT88" t="s">
        <v>501</v>
      </c>
      <c r="AU88" t="s">
        <v>507</v>
      </c>
      <c r="AV88" t="s">
        <v>508</v>
      </c>
      <c r="AW88">
        <v>21060</v>
      </c>
      <c r="AY88" t="s">
        <v>290</v>
      </c>
      <c r="BA88" t="s">
        <v>522</v>
      </c>
      <c r="BD88" t="s">
        <v>540</v>
      </c>
      <c r="BE88" t="s">
        <v>745</v>
      </c>
    </row>
    <row r="89" spans="1:58">
      <c r="A89" s="1">
        <f>HYPERLINK("https://lsnyc.legalserver.org/matter/dynamic-profile/view/1879932","18-1879932")</f>
        <v>0</v>
      </c>
      <c r="B89" t="s">
        <v>611</v>
      </c>
      <c r="E89" t="s">
        <v>381</v>
      </c>
      <c r="F89" t="s">
        <v>621</v>
      </c>
      <c r="G89" t="s">
        <v>636</v>
      </c>
      <c r="H89" t="s">
        <v>697</v>
      </c>
      <c r="I89" t="s">
        <v>826</v>
      </c>
      <c r="J89" t="s">
        <v>853</v>
      </c>
      <c r="K89" t="s">
        <v>1150</v>
      </c>
      <c r="L89" t="s">
        <v>1556</v>
      </c>
      <c r="M89" t="s">
        <v>1894</v>
      </c>
      <c r="N89" t="s">
        <v>288</v>
      </c>
      <c r="O89" t="s">
        <v>289</v>
      </c>
      <c r="P89">
        <v>11210</v>
      </c>
      <c r="Q89" t="s">
        <v>290</v>
      </c>
      <c r="R89" t="s">
        <v>291</v>
      </c>
      <c r="T89" t="s">
        <v>2120</v>
      </c>
      <c r="U89">
        <v>0</v>
      </c>
      <c r="V89" t="s">
        <v>2431</v>
      </c>
      <c r="W89" t="s">
        <v>347</v>
      </c>
      <c r="X89" t="s">
        <v>2438</v>
      </c>
      <c r="Y89" t="s">
        <v>349</v>
      </c>
      <c r="Z89" t="s">
        <v>350</v>
      </c>
      <c r="AA89" t="s">
        <v>350</v>
      </c>
      <c r="AC89" t="s">
        <v>354</v>
      </c>
      <c r="AE89" t="s">
        <v>2447</v>
      </c>
      <c r="AF89">
        <v>2019</v>
      </c>
      <c r="AG89">
        <v>0</v>
      </c>
      <c r="AH89">
        <v>0</v>
      </c>
      <c r="AI89">
        <v>7.95</v>
      </c>
      <c r="AJ89" t="s">
        <v>2592</v>
      </c>
      <c r="AL89" t="s">
        <v>3034</v>
      </c>
      <c r="AM89">
        <v>0</v>
      </c>
      <c r="AO89">
        <v>1</v>
      </c>
      <c r="AP89">
        <v>0</v>
      </c>
      <c r="AQ89">
        <v>21.75</v>
      </c>
      <c r="AT89" t="s">
        <v>500</v>
      </c>
      <c r="AV89" t="s">
        <v>508</v>
      </c>
      <c r="AW89">
        <v>2640</v>
      </c>
      <c r="AX89" t="s">
        <v>3337</v>
      </c>
      <c r="BA89" t="s">
        <v>621</v>
      </c>
      <c r="BD89" t="s">
        <v>3386</v>
      </c>
      <c r="BE89" t="s">
        <v>826</v>
      </c>
    </row>
    <row r="90" spans="1:58">
      <c r="A90" s="1">
        <f>HYPERLINK("https://lsnyc.legalserver.org/matter/dynamic-profile/view/1875982","18-1875982")</f>
        <v>0</v>
      </c>
      <c r="B90" t="s">
        <v>612</v>
      </c>
      <c r="E90" t="s">
        <v>381</v>
      </c>
      <c r="F90" t="s">
        <v>621</v>
      </c>
      <c r="G90" t="s">
        <v>636</v>
      </c>
      <c r="H90" t="s">
        <v>699</v>
      </c>
      <c r="I90" t="s">
        <v>792</v>
      </c>
      <c r="J90" t="s">
        <v>905</v>
      </c>
      <c r="K90" t="s">
        <v>1226</v>
      </c>
      <c r="L90" t="s">
        <v>1557</v>
      </c>
      <c r="M90" t="s">
        <v>1895</v>
      </c>
      <c r="N90" t="s">
        <v>288</v>
      </c>
      <c r="O90" t="s">
        <v>289</v>
      </c>
      <c r="P90">
        <v>11236</v>
      </c>
      <c r="Q90" t="s">
        <v>290</v>
      </c>
      <c r="R90" t="s">
        <v>290</v>
      </c>
      <c r="S90" t="s">
        <v>293</v>
      </c>
      <c r="T90" t="s">
        <v>2121</v>
      </c>
      <c r="U90">
        <v>1</v>
      </c>
      <c r="V90" t="s">
        <v>342</v>
      </c>
      <c r="W90" t="s">
        <v>346</v>
      </c>
      <c r="X90" t="s">
        <v>2441</v>
      </c>
      <c r="Y90" t="s">
        <v>349</v>
      </c>
      <c r="Z90" t="s">
        <v>350</v>
      </c>
      <c r="AC90" t="s">
        <v>352</v>
      </c>
      <c r="AE90" t="s">
        <v>2457</v>
      </c>
      <c r="AF90">
        <v>2018</v>
      </c>
      <c r="AG90">
        <v>0</v>
      </c>
      <c r="AH90">
        <v>700</v>
      </c>
      <c r="AI90">
        <v>46.85</v>
      </c>
      <c r="AJ90" t="s">
        <v>2593</v>
      </c>
      <c r="AK90" t="s">
        <v>2911</v>
      </c>
      <c r="AL90" t="s">
        <v>3035</v>
      </c>
      <c r="AM90">
        <v>0</v>
      </c>
      <c r="AO90">
        <v>1</v>
      </c>
      <c r="AP90">
        <v>0</v>
      </c>
      <c r="AQ90">
        <v>0</v>
      </c>
      <c r="AT90" t="s">
        <v>500</v>
      </c>
      <c r="AV90" t="s">
        <v>508</v>
      </c>
      <c r="AW90">
        <v>0</v>
      </c>
      <c r="BA90" t="s">
        <v>621</v>
      </c>
      <c r="BD90" t="s">
        <v>3368</v>
      </c>
      <c r="BE90" t="s">
        <v>792</v>
      </c>
    </row>
    <row r="91" spans="1:58">
      <c r="A91" s="1">
        <f>HYPERLINK("https://lsnyc.legalserver.org/matter/dynamic-profile/view/1883480","18-1883480")</f>
        <v>0</v>
      </c>
      <c r="B91" t="s">
        <v>612</v>
      </c>
      <c r="E91" t="s">
        <v>381</v>
      </c>
      <c r="F91" t="s">
        <v>620</v>
      </c>
      <c r="G91" t="s">
        <v>636</v>
      </c>
      <c r="H91" t="s">
        <v>643</v>
      </c>
      <c r="I91" t="s">
        <v>827</v>
      </c>
      <c r="J91" t="s">
        <v>906</v>
      </c>
      <c r="K91" t="s">
        <v>1227</v>
      </c>
      <c r="L91" t="s">
        <v>1558</v>
      </c>
      <c r="M91">
        <v>2</v>
      </c>
      <c r="N91" t="s">
        <v>288</v>
      </c>
      <c r="O91" t="s">
        <v>289</v>
      </c>
      <c r="P91">
        <v>11216</v>
      </c>
      <c r="Q91" t="s">
        <v>290</v>
      </c>
      <c r="R91" t="s">
        <v>290</v>
      </c>
      <c r="S91" t="s">
        <v>292</v>
      </c>
      <c r="T91" t="s">
        <v>2122</v>
      </c>
      <c r="U91">
        <v>4</v>
      </c>
      <c r="V91" t="s">
        <v>339</v>
      </c>
      <c r="W91" t="s">
        <v>346</v>
      </c>
      <c r="X91" t="s">
        <v>2438</v>
      </c>
      <c r="Y91" t="s">
        <v>348</v>
      </c>
      <c r="Z91" t="s">
        <v>350</v>
      </c>
      <c r="AC91" t="s">
        <v>352</v>
      </c>
      <c r="AE91" t="s">
        <v>2447</v>
      </c>
      <c r="AF91">
        <v>2019</v>
      </c>
      <c r="AG91">
        <v>0</v>
      </c>
      <c r="AH91">
        <v>2500</v>
      </c>
      <c r="AI91">
        <v>21.76</v>
      </c>
      <c r="AJ91" t="s">
        <v>2594</v>
      </c>
      <c r="AL91" t="s">
        <v>3036</v>
      </c>
      <c r="AM91">
        <v>3</v>
      </c>
      <c r="AN91" t="s">
        <v>496</v>
      </c>
      <c r="AO91">
        <v>3</v>
      </c>
      <c r="AP91">
        <v>0</v>
      </c>
      <c r="AQ91">
        <v>210.88</v>
      </c>
      <c r="AR91" t="s">
        <v>782</v>
      </c>
      <c r="AS91" t="s">
        <v>3328</v>
      </c>
      <c r="AT91" t="s">
        <v>500</v>
      </c>
      <c r="AU91" t="s">
        <v>503</v>
      </c>
      <c r="AV91" t="s">
        <v>508</v>
      </c>
      <c r="AW91">
        <v>43820</v>
      </c>
      <c r="BA91" t="s">
        <v>522</v>
      </c>
      <c r="BD91" t="s">
        <v>3375</v>
      </c>
      <c r="BE91" t="s">
        <v>801</v>
      </c>
    </row>
    <row r="92" spans="1:58">
      <c r="A92" s="1">
        <f>HYPERLINK("https://lsnyc.legalserver.org/matter/dynamic-profile/view/1897363","19-1897363")</f>
        <v>0</v>
      </c>
      <c r="B92" t="s">
        <v>612</v>
      </c>
      <c r="E92" t="s">
        <v>381</v>
      </c>
      <c r="F92" t="s">
        <v>624</v>
      </c>
      <c r="G92" t="s">
        <v>636</v>
      </c>
      <c r="H92" t="s">
        <v>588</v>
      </c>
      <c r="I92" t="s">
        <v>791</v>
      </c>
      <c r="J92" t="s">
        <v>907</v>
      </c>
      <c r="K92" t="s">
        <v>1228</v>
      </c>
      <c r="L92" t="s">
        <v>1559</v>
      </c>
      <c r="M92">
        <v>4</v>
      </c>
      <c r="N92" t="s">
        <v>288</v>
      </c>
      <c r="O92" t="s">
        <v>289</v>
      </c>
      <c r="P92">
        <v>11201</v>
      </c>
      <c r="Q92" t="s">
        <v>290</v>
      </c>
      <c r="R92" t="s">
        <v>290</v>
      </c>
      <c r="S92" t="s">
        <v>295</v>
      </c>
      <c r="T92" t="s">
        <v>2123</v>
      </c>
      <c r="U92">
        <v>0</v>
      </c>
      <c r="V92" t="s">
        <v>2432</v>
      </c>
      <c r="W92" t="s">
        <v>346</v>
      </c>
      <c r="X92" t="s">
        <v>2440</v>
      </c>
      <c r="Y92" t="s">
        <v>349</v>
      </c>
      <c r="Z92" t="s">
        <v>350</v>
      </c>
      <c r="AC92" t="s">
        <v>352</v>
      </c>
      <c r="AE92" t="s">
        <v>2466</v>
      </c>
      <c r="AF92">
        <v>2019</v>
      </c>
      <c r="AG92">
        <v>0</v>
      </c>
      <c r="AH92">
        <v>1303</v>
      </c>
      <c r="AI92">
        <v>3.8</v>
      </c>
      <c r="AJ92" t="s">
        <v>2595</v>
      </c>
      <c r="AL92" t="s">
        <v>3037</v>
      </c>
      <c r="AM92">
        <v>5</v>
      </c>
      <c r="AN92" t="s">
        <v>493</v>
      </c>
      <c r="AO92">
        <v>1</v>
      </c>
      <c r="AP92">
        <v>1</v>
      </c>
      <c r="AQ92">
        <v>151.3</v>
      </c>
      <c r="AV92" t="s">
        <v>508</v>
      </c>
      <c r="AW92">
        <v>25584</v>
      </c>
      <c r="BA92" t="s">
        <v>530</v>
      </c>
      <c r="BD92" t="s">
        <v>3387</v>
      </c>
      <c r="BE92" t="s">
        <v>673</v>
      </c>
      <c r="BF92" t="s">
        <v>600</v>
      </c>
    </row>
    <row r="93" spans="1:58">
      <c r="A93" s="1">
        <f>HYPERLINK("https://lsnyc.legalserver.org/matter/dynamic-profile/view/1871683","18-1871683")</f>
        <v>0</v>
      </c>
      <c r="E93" t="s">
        <v>381</v>
      </c>
      <c r="F93" t="s">
        <v>620</v>
      </c>
      <c r="G93" t="s">
        <v>80</v>
      </c>
      <c r="H93" t="s">
        <v>688</v>
      </c>
      <c r="J93" t="s">
        <v>908</v>
      </c>
      <c r="K93" t="s">
        <v>1229</v>
      </c>
      <c r="L93" t="s">
        <v>1560</v>
      </c>
      <c r="M93" t="s">
        <v>1896</v>
      </c>
      <c r="N93" t="s">
        <v>288</v>
      </c>
      <c r="O93" t="s">
        <v>289</v>
      </c>
      <c r="P93">
        <v>11221</v>
      </c>
      <c r="Q93" t="s">
        <v>290</v>
      </c>
      <c r="R93" t="s">
        <v>291</v>
      </c>
      <c r="S93" t="s">
        <v>292</v>
      </c>
      <c r="T93" t="s">
        <v>2124</v>
      </c>
      <c r="U93">
        <v>23</v>
      </c>
      <c r="V93" t="s">
        <v>340</v>
      </c>
      <c r="W93" t="s">
        <v>346</v>
      </c>
      <c r="Y93" t="s">
        <v>348</v>
      </c>
      <c r="Z93" t="s">
        <v>350</v>
      </c>
      <c r="AA93" t="s">
        <v>350</v>
      </c>
      <c r="AC93" t="s">
        <v>352</v>
      </c>
      <c r="AD93" t="s">
        <v>356</v>
      </c>
      <c r="AE93" t="s">
        <v>2467</v>
      </c>
      <c r="AF93">
        <v>2018</v>
      </c>
      <c r="AG93">
        <v>199</v>
      </c>
      <c r="AH93">
        <v>1000</v>
      </c>
      <c r="AI93">
        <v>134.07</v>
      </c>
      <c r="AJ93" t="s">
        <v>2596</v>
      </c>
      <c r="AL93" t="s">
        <v>3038</v>
      </c>
      <c r="AM93">
        <v>6</v>
      </c>
      <c r="AN93" t="s">
        <v>493</v>
      </c>
      <c r="AO93">
        <v>1</v>
      </c>
      <c r="AP93">
        <v>0</v>
      </c>
      <c r="AQ93">
        <v>94.98999999999999</v>
      </c>
      <c r="AT93" t="s">
        <v>500</v>
      </c>
      <c r="AU93" t="s">
        <v>507</v>
      </c>
      <c r="AV93" t="s">
        <v>508</v>
      </c>
      <c r="AW93">
        <v>11532</v>
      </c>
      <c r="BA93" t="s">
        <v>3342</v>
      </c>
      <c r="BB93" t="s">
        <v>535</v>
      </c>
      <c r="BD93" t="s">
        <v>548</v>
      </c>
      <c r="BE93" t="s">
        <v>576</v>
      </c>
      <c r="BF93" t="s">
        <v>600</v>
      </c>
    </row>
    <row r="94" spans="1:58">
      <c r="A94" s="1">
        <f>HYPERLINK("https://lsnyc.legalserver.org/matter/dynamic-profile/view/1871981","18-1871981")</f>
        <v>0</v>
      </c>
      <c r="E94" t="s">
        <v>381</v>
      </c>
      <c r="F94" t="s">
        <v>72</v>
      </c>
      <c r="G94" t="s">
        <v>80</v>
      </c>
      <c r="H94" t="s">
        <v>700</v>
      </c>
      <c r="J94" t="s">
        <v>909</v>
      </c>
      <c r="K94" t="s">
        <v>1148</v>
      </c>
      <c r="L94" t="s">
        <v>1561</v>
      </c>
      <c r="M94" t="s">
        <v>1897</v>
      </c>
      <c r="N94" t="s">
        <v>288</v>
      </c>
      <c r="O94" t="s">
        <v>289</v>
      </c>
      <c r="P94">
        <v>11215</v>
      </c>
      <c r="Q94" t="s">
        <v>290</v>
      </c>
      <c r="R94" t="s">
        <v>290</v>
      </c>
      <c r="S94" t="s">
        <v>296</v>
      </c>
      <c r="T94" t="s">
        <v>2125</v>
      </c>
      <c r="U94">
        <v>31</v>
      </c>
      <c r="V94" t="s">
        <v>339</v>
      </c>
      <c r="W94" t="s">
        <v>346</v>
      </c>
      <c r="Y94" t="s">
        <v>349</v>
      </c>
      <c r="Z94" t="s">
        <v>350</v>
      </c>
      <c r="AA94" t="s">
        <v>350</v>
      </c>
      <c r="AC94" t="s">
        <v>352</v>
      </c>
      <c r="AD94" t="s">
        <v>356</v>
      </c>
      <c r="AE94" t="s">
        <v>2468</v>
      </c>
      <c r="AF94">
        <v>2018</v>
      </c>
      <c r="AG94">
        <v>722.34</v>
      </c>
      <c r="AH94">
        <v>722.34</v>
      </c>
      <c r="AI94">
        <v>27</v>
      </c>
      <c r="AJ94" t="s">
        <v>2597</v>
      </c>
      <c r="AK94" t="s">
        <v>2912</v>
      </c>
      <c r="AL94" t="s">
        <v>3039</v>
      </c>
      <c r="AM94">
        <v>8</v>
      </c>
      <c r="AN94" t="s">
        <v>493</v>
      </c>
      <c r="AO94">
        <v>1</v>
      </c>
      <c r="AP94">
        <v>1</v>
      </c>
      <c r="AQ94">
        <v>54.68</v>
      </c>
      <c r="AT94" t="s">
        <v>501</v>
      </c>
      <c r="AU94" t="s">
        <v>506</v>
      </c>
      <c r="AV94" t="s">
        <v>508</v>
      </c>
      <c r="AW94">
        <v>9000</v>
      </c>
      <c r="BA94" t="s">
        <v>529</v>
      </c>
      <c r="BD94" t="s">
        <v>543</v>
      </c>
      <c r="BE94" t="s">
        <v>567</v>
      </c>
    </row>
    <row r="95" spans="1:58">
      <c r="A95" s="1">
        <f>HYPERLINK("https://lsnyc.legalserver.org/matter/dynamic-profile/view/1872208","18-1872208")</f>
        <v>0</v>
      </c>
      <c r="E95" t="s">
        <v>381</v>
      </c>
      <c r="F95" t="s">
        <v>66</v>
      </c>
      <c r="G95" t="s">
        <v>80</v>
      </c>
      <c r="H95" t="s">
        <v>701</v>
      </c>
      <c r="J95" t="s">
        <v>910</v>
      </c>
      <c r="K95" t="s">
        <v>1230</v>
      </c>
      <c r="L95" t="s">
        <v>1562</v>
      </c>
      <c r="M95" t="s">
        <v>1875</v>
      </c>
      <c r="N95" t="s">
        <v>288</v>
      </c>
      <c r="O95" t="s">
        <v>289</v>
      </c>
      <c r="P95">
        <v>11213</v>
      </c>
      <c r="Q95" t="s">
        <v>290</v>
      </c>
      <c r="R95" t="s">
        <v>290</v>
      </c>
      <c r="S95" t="s">
        <v>297</v>
      </c>
      <c r="T95" t="s">
        <v>2126</v>
      </c>
      <c r="U95">
        <v>4</v>
      </c>
      <c r="V95" t="s">
        <v>340</v>
      </c>
      <c r="W95" t="s">
        <v>346</v>
      </c>
      <c r="Y95" t="s">
        <v>349</v>
      </c>
      <c r="Z95" t="s">
        <v>350</v>
      </c>
      <c r="AA95" t="s">
        <v>350</v>
      </c>
      <c r="AC95" t="s">
        <v>352</v>
      </c>
      <c r="AD95" t="s">
        <v>356</v>
      </c>
      <c r="AE95" t="s">
        <v>2469</v>
      </c>
      <c r="AF95">
        <v>2018</v>
      </c>
      <c r="AG95">
        <v>0</v>
      </c>
      <c r="AH95">
        <v>246.6</v>
      </c>
      <c r="AI95">
        <v>42.6</v>
      </c>
      <c r="AJ95" t="s">
        <v>2598</v>
      </c>
      <c r="AL95" t="s">
        <v>3040</v>
      </c>
      <c r="AM95">
        <v>48</v>
      </c>
      <c r="AN95" t="s">
        <v>3322</v>
      </c>
      <c r="AO95">
        <v>1</v>
      </c>
      <c r="AP95">
        <v>0</v>
      </c>
      <c r="AQ95">
        <v>74.14</v>
      </c>
      <c r="AT95" t="s">
        <v>500</v>
      </c>
      <c r="AV95" t="s">
        <v>508</v>
      </c>
      <c r="AW95">
        <v>9000</v>
      </c>
      <c r="BA95" t="s">
        <v>3342</v>
      </c>
      <c r="BB95" t="s">
        <v>535</v>
      </c>
      <c r="BC95" t="s">
        <v>299</v>
      </c>
      <c r="BD95" t="s">
        <v>543</v>
      </c>
      <c r="BE95" t="s">
        <v>3432</v>
      </c>
    </row>
    <row r="96" spans="1:58">
      <c r="A96" s="1">
        <f>HYPERLINK("https://lsnyc.legalserver.org/matter/dynamic-profile/view/1874223","18-1874223")</f>
        <v>0</v>
      </c>
      <c r="E96" t="s">
        <v>381</v>
      </c>
      <c r="F96" t="s">
        <v>72</v>
      </c>
      <c r="G96" t="s">
        <v>80</v>
      </c>
      <c r="H96" t="s">
        <v>702</v>
      </c>
      <c r="J96" t="s">
        <v>167</v>
      </c>
      <c r="K96" t="s">
        <v>1231</v>
      </c>
      <c r="L96" t="s">
        <v>1563</v>
      </c>
      <c r="M96" t="s">
        <v>277</v>
      </c>
      <c r="N96" t="s">
        <v>288</v>
      </c>
      <c r="O96" t="s">
        <v>289</v>
      </c>
      <c r="P96">
        <v>11218</v>
      </c>
      <c r="Q96" t="s">
        <v>290</v>
      </c>
      <c r="R96" t="s">
        <v>291</v>
      </c>
      <c r="S96" t="s">
        <v>2029</v>
      </c>
      <c r="T96" t="s">
        <v>2127</v>
      </c>
      <c r="U96">
        <v>20</v>
      </c>
      <c r="V96" t="s">
        <v>339</v>
      </c>
      <c r="W96" t="s">
        <v>346</v>
      </c>
      <c r="Y96" t="s">
        <v>349</v>
      </c>
      <c r="Z96" t="s">
        <v>350</v>
      </c>
      <c r="AA96" t="s">
        <v>350</v>
      </c>
      <c r="AC96" t="s">
        <v>352</v>
      </c>
      <c r="AE96" t="s">
        <v>2470</v>
      </c>
      <c r="AF96">
        <v>2018</v>
      </c>
      <c r="AG96">
        <v>875</v>
      </c>
      <c r="AH96">
        <v>915</v>
      </c>
      <c r="AI96">
        <v>41.2</v>
      </c>
      <c r="AJ96" t="s">
        <v>2599</v>
      </c>
      <c r="AL96" t="s">
        <v>3041</v>
      </c>
      <c r="AM96">
        <v>6</v>
      </c>
      <c r="AN96" t="s">
        <v>493</v>
      </c>
      <c r="AO96">
        <v>1</v>
      </c>
      <c r="AP96">
        <v>1</v>
      </c>
      <c r="AQ96">
        <v>145.81</v>
      </c>
      <c r="AT96" t="s">
        <v>500</v>
      </c>
      <c r="AV96" t="s">
        <v>508</v>
      </c>
      <c r="AW96">
        <v>24000</v>
      </c>
      <c r="AY96" t="s">
        <v>290</v>
      </c>
      <c r="BA96" t="s">
        <v>528</v>
      </c>
      <c r="BD96" t="s">
        <v>537</v>
      </c>
      <c r="BE96" t="s">
        <v>581</v>
      </c>
    </row>
    <row r="97" spans="1:58">
      <c r="A97" s="1">
        <f>HYPERLINK("https://lsnyc.legalserver.org/matter/dynamic-profile/view/1874388","18-1874388")</f>
        <v>0</v>
      </c>
      <c r="E97" t="s">
        <v>381</v>
      </c>
      <c r="F97" t="s">
        <v>59</v>
      </c>
      <c r="G97" t="s">
        <v>80</v>
      </c>
      <c r="H97" t="s">
        <v>703</v>
      </c>
      <c r="J97" t="s">
        <v>911</v>
      </c>
      <c r="K97" t="s">
        <v>1232</v>
      </c>
      <c r="L97" t="s">
        <v>1564</v>
      </c>
      <c r="M97">
        <v>1</v>
      </c>
      <c r="N97" t="s">
        <v>288</v>
      </c>
      <c r="O97" t="s">
        <v>289</v>
      </c>
      <c r="P97">
        <v>11234</v>
      </c>
      <c r="Q97" t="s">
        <v>290</v>
      </c>
      <c r="R97" t="s">
        <v>290</v>
      </c>
      <c r="S97" t="s">
        <v>293</v>
      </c>
      <c r="T97" t="s">
        <v>2128</v>
      </c>
      <c r="U97">
        <v>2</v>
      </c>
      <c r="V97" t="s">
        <v>342</v>
      </c>
      <c r="W97" t="s">
        <v>346</v>
      </c>
      <c r="Y97" t="s">
        <v>349</v>
      </c>
      <c r="Z97" t="s">
        <v>350</v>
      </c>
      <c r="AA97" t="s">
        <v>350</v>
      </c>
      <c r="AC97" t="s">
        <v>352</v>
      </c>
      <c r="AE97" t="s">
        <v>2471</v>
      </c>
      <c r="AF97">
        <v>2018</v>
      </c>
      <c r="AG97">
        <v>2550</v>
      </c>
      <c r="AH97">
        <v>2550</v>
      </c>
      <c r="AI97">
        <v>12</v>
      </c>
      <c r="AJ97" t="s">
        <v>2600</v>
      </c>
      <c r="AM97">
        <v>3</v>
      </c>
      <c r="AN97" t="s">
        <v>496</v>
      </c>
      <c r="AO97">
        <v>1</v>
      </c>
      <c r="AP97">
        <v>2</v>
      </c>
      <c r="AQ97">
        <v>0</v>
      </c>
      <c r="AT97" t="s">
        <v>502</v>
      </c>
      <c r="AU97" t="s">
        <v>503</v>
      </c>
      <c r="AV97" t="s">
        <v>508</v>
      </c>
      <c r="AW97">
        <v>0</v>
      </c>
      <c r="BA97" t="s">
        <v>628</v>
      </c>
      <c r="BD97" t="s">
        <v>544</v>
      </c>
      <c r="BE97" t="s">
        <v>578</v>
      </c>
    </row>
    <row r="98" spans="1:58">
      <c r="A98" s="1">
        <f>HYPERLINK("https://lsnyc.legalserver.org/matter/dynamic-profile/view/1874390","18-1874390")</f>
        <v>0</v>
      </c>
      <c r="E98" t="s">
        <v>381</v>
      </c>
      <c r="F98" t="s">
        <v>68</v>
      </c>
      <c r="G98" t="s">
        <v>80</v>
      </c>
      <c r="H98" t="s">
        <v>579</v>
      </c>
      <c r="J98" t="s">
        <v>912</v>
      </c>
      <c r="K98" t="s">
        <v>1233</v>
      </c>
      <c r="L98" t="s">
        <v>1565</v>
      </c>
      <c r="M98" t="s">
        <v>1898</v>
      </c>
      <c r="N98" t="s">
        <v>288</v>
      </c>
      <c r="O98" t="s">
        <v>289</v>
      </c>
      <c r="P98">
        <v>11225</v>
      </c>
      <c r="Q98" t="s">
        <v>290</v>
      </c>
      <c r="R98" t="s">
        <v>290</v>
      </c>
      <c r="S98" t="s">
        <v>292</v>
      </c>
      <c r="T98" t="s">
        <v>2129</v>
      </c>
      <c r="U98">
        <v>10</v>
      </c>
      <c r="V98" t="s">
        <v>340</v>
      </c>
      <c r="W98" t="s">
        <v>346</v>
      </c>
      <c r="Y98" t="s">
        <v>348</v>
      </c>
      <c r="Z98" t="s">
        <v>350</v>
      </c>
      <c r="AC98" t="s">
        <v>352</v>
      </c>
      <c r="AD98" t="s">
        <v>356</v>
      </c>
      <c r="AE98" t="s">
        <v>2472</v>
      </c>
      <c r="AF98">
        <v>2018</v>
      </c>
      <c r="AG98">
        <v>2000</v>
      </c>
      <c r="AH98">
        <v>2000</v>
      </c>
      <c r="AI98">
        <v>108.95</v>
      </c>
      <c r="AJ98" t="s">
        <v>2601</v>
      </c>
      <c r="AL98" t="s">
        <v>3042</v>
      </c>
      <c r="AM98">
        <v>24</v>
      </c>
      <c r="AN98" t="s">
        <v>493</v>
      </c>
      <c r="AO98">
        <v>3</v>
      </c>
      <c r="AP98">
        <v>1</v>
      </c>
      <c r="AQ98">
        <v>124.3</v>
      </c>
      <c r="AT98" t="s">
        <v>502</v>
      </c>
      <c r="AU98" t="s">
        <v>503</v>
      </c>
      <c r="AV98" t="s">
        <v>508</v>
      </c>
      <c r="AW98">
        <v>31200</v>
      </c>
      <c r="AY98" t="s">
        <v>290</v>
      </c>
      <c r="BA98" t="s">
        <v>522</v>
      </c>
      <c r="BB98" t="s">
        <v>535</v>
      </c>
      <c r="BC98" t="s">
        <v>299</v>
      </c>
      <c r="BD98" t="s">
        <v>537</v>
      </c>
      <c r="BE98" t="s">
        <v>586</v>
      </c>
    </row>
    <row r="99" spans="1:58">
      <c r="A99" s="1">
        <f>HYPERLINK("https://lsnyc.legalserver.org/matter/dynamic-profile/view/1875924","18-1875924")</f>
        <v>0</v>
      </c>
      <c r="E99" t="s">
        <v>381</v>
      </c>
      <c r="F99" t="s">
        <v>59</v>
      </c>
      <c r="G99" t="s">
        <v>80</v>
      </c>
      <c r="H99" t="s">
        <v>699</v>
      </c>
      <c r="J99" t="s">
        <v>913</v>
      </c>
      <c r="K99" t="s">
        <v>1234</v>
      </c>
      <c r="L99" t="s">
        <v>1566</v>
      </c>
      <c r="M99" t="s">
        <v>1899</v>
      </c>
      <c r="N99" t="s">
        <v>288</v>
      </c>
      <c r="O99" t="s">
        <v>289</v>
      </c>
      <c r="P99">
        <v>11225</v>
      </c>
      <c r="Q99" t="s">
        <v>290</v>
      </c>
      <c r="R99" t="s">
        <v>290</v>
      </c>
      <c r="S99" t="s">
        <v>296</v>
      </c>
      <c r="T99" t="s">
        <v>2130</v>
      </c>
      <c r="U99">
        <v>35</v>
      </c>
      <c r="V99" t="s">
        <v>340</v>
      </c>
      <c r="W99" t="s">
        <v>346</v>
      </c>
      <c r="Y99" t="s">
        <v>348</v>
      </c>
      <c r="Z99" t="s">
        <v>350</v>
      </c>
      <c r="AA99" t="s">
        <v>350</v>
      </c>
      <c r="AC99" t="s">
        <v>352</v>
      </c>
      <c r="AD99" t="s">
        <v>356</v>
      </c>
      <c r="AE99" t="s">
        <v>2473</v>
      </c>
      <c r="AF99">
        <v>2018</v>
      </c>
      <c r="AG99">
        <v>168</v>
      </c>
      <c r="AH99">
        <v>795.52</v>
      </c>
      <c r="AI99">
        <v>50.65</v>
      </c>
      <c r="AJ99" t="s">
        <v>2602</v>
      </c>
      <c r="AL99" t="s">
        <v>3043</v>
      </c>
      <c r="AM99">
        <v>89</v>
      </c>
      <c r="AN99" t="s">
        <v>493</v>
      </c>
      <c r="AO99">
        <v>2</v>
      </c>
      <c r="AP99">
        <v>0</v>
      </c>
      <c r="AQ99">
        <v>60.66</v>
      </c>
      <c r="AT99" t="s">
        <v>501</v>
      </c>
      <c r="AU99" t="s">
        <v>507</v>
      </c>
      <c r="AV99" t="s">
        <v>508</v>
      </c>
      <c r="AW99">
        <v>9984</v>
      </c>
      <c r="AY99" t="s">
        <v>290</v>
      </c>
      <c r="BA99" t="s">
        <v>3344</v>
      </c>
      <c r="BD99" t="s">
        <v>543</v>
      </c>
      <c r="BE99" t="s">
        <v>3436</v>
      </c>
      <c r="BF99" t="s">
        <v>600</v>
      </c>
    </row>
    <row r="100" spans="1:58">
      <c r="A100" s="1">
        <f>HYPERLINK("https://lsnyc.legalserver.org/matter/dynamic-profile/view/1876259","18-1876259")</f>
        <v>0</v>
      </c>
      <c r="E100" t="s">
        <v>381</v>
      </c>
      <c r="F100" t="s">
        <v>630</v>
      </c>
      <c r="G100" t="s">
        <v>80</v>
      </c>
      <c r="H100" t="s">
        <v>704</v>
      </c>
      <c r="J100" t="s">
        <v>914</v>
      </c>
      <c r="K100" t="s">
        <v>1235</v>
      </c>
      <c r="L100" t="s">
        <v>1567</v>
      </c>
      <c r="M100" t="s">
        <v>1846</v>
      </c>
      <c r="N100" t="s">
        <v>288</v>
      </c>
      <c r="O100" t="s">
        <v>289</v>
      </c>
      <c r="P100">
        <v>11221</v>
      </c>
      <c r="Q100" t="s">
        <v>290</v>
      </c>
      <c r="R100" t="s">
        <v>290</v>
      </c>
      <c r="S100" t="s">
        <v>296</v>
      </c>
      <c r="T100" t="s">
        <v>2131</v>
      </c>
      <c r="U100">
        <v>17</v>
      </c>
      <c r="V100" t="s">
        <v>339</v>
      </c>
      <c r="W100" t="s">
        <v>346</v>
      </c>
      <c r="Y100" t="s">
        <v>348</v>
      </c>
      <c r="Z100" t="s">
        <v>350</v>
      </c>
      <c r="AA100" t="s">
        <v>350</v>
      </c>
      <c r="AC100" t="s">
        <v>352</v>
      </c>
      <c r="AD100" t="s">
        <v>2443</v>
      </c>
      <c r="AE100" t="s">
        <v>2474</v>
      </c>
      <c r="AF100">
        <v>2018</v>
      </c>
      <c r="AG100">
        <v>880.65</v>
      </c>
      <c r="AH100">
        <v>880.65</v>
      </c>
      <c r="AI100">
        <v>16</v>
      </c>
      <c r="AJ100" t="s">
        <v>2603</v>
      </c>
      <c r="AL100" t="s">
        <v>3044</v>
      </c>
      <c r="AM100">
        <v>12</v>
      </c>
      <c r="AN100" t="s">
        <v>493</v>
      </c>
      <c r="AO100">
        <v>1</v>
      </c>
      <c r="AP100">
        <v>1</v>
      </c>
      <c r="AQ100">
        <v>243.01</v>
      </c>
      <c r="AR100" t="s">
        <v>782</v>
      </c>
      <c r="AS100" t="s">
        <v>3328</v>
      </c>
      <c r="AT100" t="s">
        <v>502</v>
      </c>
      <c r="AU100" t="s">
        <v>503</v>
      </c>
      <c r="AV100" t="s">
        <v>508</v>
      </c>
      <c r="AW100">
        <v>40000</v>
      </c>
      <c r="AY100" t="s">
        <v>290</v>
      </c>
      <c r="AZ100" t="s">
        <v>3339</v>
      </c>
      <c r="BA100" t="s">
        <v>3344</v>
      </c>
      <c r="BD100" t="s">
        <v>537</v>
      </c>
      <c r="BE100" t="s">
        <v>790</v>
      </c>
    </row>
    <row r="101" spans="1:58">
      <c r="A101" s="1">
        <f>HYPERLINK("https://lsnyc.legalserver.org/matter/dynamic-profile/view/1875771","18-1875771")</f>
        <v>0</v>
      </c>
      <c r="E101" t="s">
        <v>381</v>
      </c>
      <c r="F101" t="s">
        <v>67</v>
      </c>
      <c r="G101" t="s">
        <v>80</v>
      </c>
      <c r="H101" t="s">
        <v>705</v>
      </c>
      <c r="J101" t="s">
        <v>141</v>
      </c>
      <c r="K101" t="s">
        <v>186</v>
      </c>
      <c r="L101" t="s">
        <v>231</v>
      </c>
      <c r="M101" t="s">
        <v>274</v>
      </c>
      <c r="N101" t="s">
        <v>288</v>
      </c>
      <c r="O101" t="s">
        <v>289</v>
      </c>
      <c r="P101">
        <v>11217</v>
      </c>
      <c r="Q101" t="s">
        <v>290</v>
      </c>
      <c r="R101" t="s">
        <v>291</v>
      </c>
      <c r="S101" t="s">
        <v>293</v>
      </c>
      <c r="T101" t="s">
        <v>2132</v>
      </c>
      <c r="U101">
        <v>16</v>
      </c>
      <c r="V101" t="s">
        <v>339</v>
      </c>
      <c r="W101" t="s">
        <v>346</v>
      </c>
      <c r="Y101" t="s">
        <v>349</v>
      </c>
      <c r="Z101" t="s">
        <v>350</v>
      </c>
      <c r="AA101" t="s">
        <v>350</v>
      </c>
      <c r="AC101" t="s">
        <v>353</v>
      </c>
      <c r="AD101" t="s">
        <v>356</v>
      </c>
      <c r="AE101" t="s">
        <v>2475</v>
      </c>
      <c r="AF101">
        <v>2018</v>
      </c>
      <c r="AG101">
        <v>0</v>
      </c>
      <c r="AH101">
        <v>0</v>
      </c>
      <c r="AI101">
        <v>12</v>
      </c>
      <c r="AJ101" t="s">
        <v>400</v>
      </c>
      <c r="AL101" t="s">
        <v>464</v>
      </c>
      <c r="AM101">
        <v>64</v>
      </c>
      <c r="AN101" t="s">
        <v>493</v>
      </c>
      <c r="AO101">
        <v>1</v>
      </c>
      <c r="AP101">
        <v>0</v>
      </c>
      <c r="AQ101">
        <v>108.73</v>
      </c>
      <c r="AT101" t="s">
        <v>500</v>
      </c>
      <c r="AU101" t="s">
        <v>503</v>
      </c>
      <c r="AV101" t="s">
        <v>508</v>
      </c>
      <c r="AW101">
        <v>13200</v>
      </c>
      <c r="BA101" t="s">
        <v>530</v>
      </c>
      <c r="BD101" t="s">
        <v>547</v>
      </c>
      <c r="BE101" t="s">
        <v>742</v>
      </c>
    </row>
    <row r="102" spans="1:58">
      <c r="A102" s="1">
        <f>HYPERLINK("https://lsnyc.legalserver.org/matter/dynamic-profile/view/1875742","18-1875742")</f>
        <v>0</v>
      </c>
      <c r="E102" t="s">
        <v>381</v>
      </c>
      <c r="F102" t="s">
        <v>59</v>
      </c>
      <c r="G102" t="s">
        <v>80</v>
      </c>
      <c r="H102" t="s">
        <v>705</v>
      </c>
      <c r="J102" t="s">
        <v>915</v>
      </c>
      <c r="K102" t="s">
        <v>1236</v>
      </c>
      <c r="L102" t="s">
        <v>1568</v>
      </c>
      <c r="M102" t="s">
        <v>1900</v>
      </c>
      <c r="N102" t="s">
        <v>288</v>
      </c>
      <c r="O102" t="s">
        <v>289</v>
      </c>
      <c r="P102">
        <v>11237</v>
      </c>
      <c r="Q102" t="s">
        <v>290</v>
      </c>
      <c r="R102" t="s">
        <v>290</v>
      </c>
      <c r="S102" t="s">
        <v>295</v>
      </c>
      <c r="T102" t="s">
        <v>2133</v>
      </c>
      <c r="U102">
        <v>27</v>
      </c>
      <c r="V102" t="s">
        <v>340</v>
      </c>
      <c r="W102" t="s">
        <v>346</v>
      </c>
      <c r="Y102" t="s">
        <v>349</v>
      </c>
      <c r="Z102" t="s">
        <v>350</v>
      </c>
      <c r="AC102" t="s">
        <v>352</v>
      </c>
      <c r="AE102" t="s">
        <v>2457</v>
      </c>
      <c r="AF102">
        <v>2018</v>
      </c>
      <c r="AG102">
        <v>300</v>
      </c>
      <c r="AH102">
        <v>300</v>
      </c>
      <c r="AI102">
        <v>51.1</v>
      </c>
      <c r="AJ102" t="s">
        <v>2604</v>
      </c>
      <c r="AL102" t="s">
        <v>3045</v>
      </c>
      <c r="AM102">
        <v>0</v>
      </c>
      <c r="AN102" t="s">
        <v>496</v>
      </c>
      <c r="AO102">
        <v>1</v>
      </c>
      <c r="AP102">
        <v>0</v>
      </c>
      <c r="AQ102">
        <v>51.4</v>
      </c>
      <c r="AT102" t="s">
        <v>500</v>
      </c>
      <c r="AU102" t="s">
        <v>503</v>
      </c>
      <c r="AV102" t="s">
        <v>508</v>
      </c>
      <c r="AW102">
        <v>6240</v>
      </c>
      <c r="BA102" t="s">
        <v>522</v>
      </c>
      <c r="BB102" t="s">
        <v>3350</v>
      </c>
      <c r="BD102" t="s">
        <v>3388</v>
      </c>
      <c r="BE102" t="s">
        <v>797</v>
      </c>
    </row>
    <row r="103" spans="1:58">
      <c r="A103" s="1">
        <f>HYPERLINK("https://lsnyc.legalserver.org/matter/dynamic-profile/view/1874222","18-1874222")</f>
        <v>0</v>
      </c>
      <c r="E103" t="s">
        <v>381</v>
      </c>
      <c r="F103" t="s">
        <v>631</v>
      </c>
      <c r="G103" t="s">
        <v>80</v>
      </c>
      <c r="H103" t="s">
        <v>706</v>
      </c>
      <c r="J103" t="s">
        <v>916</v>
      </c>
      <c r="K103" t="s">
        <v>1237</v>
      </c>
      <c r="L103" t="s">
        <v>1569</v>
      </c>
      <c r="M103" t="s">
        <v>1901</v>
      </c>
      <c r="N103" t="s">
        <v>288</v>
      </c>
      <c r="O103" t="s">
        <v>289</v>
      </c>
      <c r="P103">
        <v>11236</v>
      </c>
      <c r="Q103" t="s">
        <v>290</v>
      </c>
      <c r="R103" t="s">
        <v>290</v>
      </c>
      <c r="S103" t="s">
        <v>297</v>
      </c>
      <c r="T103" t="s">
        <v>2134</v>
      </c>
      <c r="U103">
        <v>1</v>
      </c>
      <c r="V103" t="s">
        <v>340</v>
      </c>
      <c r="W103" t="s">
        <v>346</v>
      </c>
      <c r="Y103" t="s">
        <v>349</v>
      </c>
      <c r="Z103" t="s">
        <v>350</v>
      </c>
      <c r="AA103" t="s">
        <v>290</v>
      </c>
      <c r="AC103" t="s">
        <v>352</v>
      </c>
      <c r="AD103" t="s">
        <v>355</v>
      </c>
      <c r="AE103" t="s">
        <v>2457</v>
      </c>
      <c r="AF103">
        <v>2018</v>
      </c>
      <c r="AG103">
        <v>0</v>
      </c>
      <c r="AH103">
        <v>0</v>
      </c>
      <c r="AI103">
        <v>107.05</v>
      </c>
      <c r="AJ103" t="s">
        <v>2605</v>
      </c>
      <c r="AL103" t="s">
        <v>3046</v>
      </c>
      <c r="AM103">
        <v>6</v>
      </c>
      <c r="AN103" t="s">
        <v>496</v>
      </c>
      <c r="AO103">
        <v>1</v>
      </c>
      <c r="AP103">
        <v>0</v>
      </c>
      <c r="AQ103">
        <v>0</v>
      </c>
      <c r="AT103" t="s">
        <v>500</v>
      </c>
      <c r="AU103" t="s">
        <v>504</v>
      </c>
      <c r="AV103" t="s">
        <v>508</v>
      </c>
      <c r="AW103">
        <v>0</v>
      </c>
      <c r="AY103" t="s">
        <v>290</v>
      </c>
      <c r="BA103" t="s">
        <v>522</v>
      </c>
      <c r="BD103" t="s">
        <v>544</v>
      </c>
      <c r="BE103" t="s">
        <v>582</v>
      </c>
      <c r="BF103" t="s">
        <v>600</v>
      </c>
    </row>
    <row r="104" spans="1:58">
      <c r="A104" s="1">
        <f>HYPERLINK("https://lsnyc.legalserver.org/matter/dynamic-profile/view/1874782","18-1874782")</f>
        <v>0</v>
      </c>
      <c r="E104" t="s">
        <v>381</v>
      </c>
      <c r="F104" t="s">
        <v>67</v>
      </c>
      <c r="G104" t="s">
        <v>80</v>
      </c>
      <c r="H104" t="s">
        <v>707</v>
      </c>
      <c r="J104" t="s">
        <v>917</v>
      </c>
      <c r="K104" t="s">
        <v>1238</v>
      </c>
      <c r="L104" t="s">
        <v>1570</v>
      </c>
      <c r="M104" t="s">
        <v>1902</v>
      </c>
      <c r="N104" t="s">
        <v>288</v>
      </c>
      <c r="O104" t="s">
        <v>289</v>
      </c>
      <c r="P104">
        <v>11236</v>
      </c>
      <c r="Q104" t="s">
        <v>290</v>
      </c>
      <c r="R104" t="s">
        <v>290</v>
      </c>
      <c r="S104" t="s">
        <v>295</v>
      </c>
      <c r="T104" t="s">
        <v>2135</v>
      </c>
      <c r="U104">
        <v>14</v>
      </c>
      <c r="V104" t="s">
        <v>339</v>
      </c>
      <c r="W104" t="s">
        <v>346</v>
      </c>
      <c r="Y104" t="s">
        <v>349</v>
      </c>
      <c r="Z104" t="s">
        <v>350</v>
      </c>
      <c r="AC104" t="s">
        <v>352</v>
      </c>
      <c r="AE104" t="s">
        <v>2457</v>
      </c>
      <c r="AF104">
        <v>2018</v>
      </c>
      <c r="AG104">
        <v>0</v>
      </c>
      <c r="AH104">
        <v>278</v>
      </c>
      <c r="AI104">
        <v>16.25</v>
      </c>
      <c r="AJ104" t="s">
        <v>2606</v>
      </c>
      <c r="AK104">
        <v>1240468</v>
      </c>
      <c r="AL104" t="s">
        <v>3047</v>
      </c>
      <c r="AM104">
        <v>70</v>
      </c>
      <c r="AO104">
        <v>2</v>
      </c>
      <c r="AP104">
        <v>1</v>
      </c>
      <c r="AQ104">
        <v>14.51</v>
      </c>
      <c r="AT104" t="s">
        <v>502</v>
      </c>
      <c r="AV104" t="s">
        <v>508</v>
      </c>
      <c r="AW104">
        <v>3016</v>
      </c>
      <c r="AY104" t="s">
        <v>290</v>
      </c>
      <c r="BA104" t="s">
        <v>3341</v>
      </c>
      <c r="BD104" t="s">
        <v>538</v>
      </c>
      <c r="BE104" t="s">
        <v>3437</v>
      </c>
    </row>
    <row r="105" spans="1:58">
      <c r="A105" s="1">
        <f>HYPERLINK("https://lsnyc.legalserver.org/matter/dynamic-profile/view/1874890","18-1874890")</f>
        <v>0</v>
      </c>
      <c r="E105" t="s">
        <v>381</v>
      </c>
      <c r="F105" t="s">
        <v>65</v>
      </c>
      <c r="G105" t="s">
        <v>80</v>
      </c>
      <c r="H105" t="s">
        <v>708</v>
      </c>
      <c r="J105" t="s">
        <v>918</v>
      </c>
      <c r="K105" t="s">
        <v>1197</v>
      </c>
      <c r="L105" t="s">
        <v>1571</v>
      </c>
      <c r="M105" t="s">
        <v>278</v>
      </c>
      <c r="N105" t="s">
        <v>288</v>
      </c>
      <c r="O105" t="s">
        <v>289</v>
      </c>
      <c r="P105">
        <v>11233</v>
      </c>
      <c r="Q105" t="s">
        <v>290</v>
      </c>
      <c r="R105" t="s">
        <v>290</v>
      </c>
      <c r="S105" t="s">
        <v>295</v>
      </c>
      <c r="T105" t="s">
        <v>2136</v>
      </c>
      <c r="U105">
        <v>17</v>
      </c>
      <c r="V105" t="s">
        <v>339</v>
      </c>
      <c r="W105" t="s">
        <v>346</v>
      </c>
      <c r="Y105" t="s">
        <v>349</v>
      </c>
      <c r="Z105" t="s">
        <v>350</v>
      </c>
      <c r="AC105" t="s">
        <v>353</v>
      </c>
      <c r="AE105" t="s">
        <v>2457</v>
      </c>
      <c r="AF105">
        <v>2018</v>
      </c>
      <c r="AG105">
        <v>1000</v>
      </c>
      <c r="AH105">
        <v>1000</v>
      </c>
      <c r="AI105">
        <v>14.2</v>
      </c>
      <c r="AJ105" t="s">
        <v>2607</v>
      </c>
      <c r="AK105" t="s">
        <v>2913</v>
      </c>
      <c r="AL105" t="s">
        <v>3048</v>
      </c>
      <c r="AM105">
        <v>0</v>
      </c>
      <c r="AN105" t="s">
        <v>495</v>
      </c>
      <c r="AO105">
        <v>3</v>
      </c>
      <c r="AP105">
        <v>1</v>
      </c>
      <c r="AQ105">
        <v>62.15</v>
      </c>
      <c r="AT105" t="s">
        <v>501</v>
      </c>
      <c r="AU105" t="s">
        <v>503</v>
      </c>
      <c r="AV105" t="s">
        <v>509</v>
      </c>
      <c r="AW105">
        <v>15600</v>
      </c>
      <c r="AY105" t="s">
        <v>290</v>
      </c>
      <c r="BA105" t="s">
        <v>522</v>
      </c>
      <c r="BD105" t="s">
        <v>540</v>
      </c>
      <c r="BE105" t="s">
        <v>576</v>
      </c>
    </row>
    <row r="106" spans="1:58">
      <c r="A106" s="1">
        <f>HYPERLINK("https://lsnyc.legalserver.org/matter/dynamic-profile/view/1874151","18-1874151")</f>
        <v>0</v>
      </c>
      <c r="E106" t="s">
        <v>381</v>
      </c>
      <c r="F106" t="s">
        <v>74</v>
      </c>
      <c r="G106" t="s">
        <v>80</v>
      </c>
      <c r="H106" t="s">
        <v>706</v>
      </c>
      <c r="J106" t="s">
        <v>919</v>
      </c>
      <c r="K106" t="s">
        <v>1239</v>
      </c>
      <c r="L106" t="s">
        <v>1572</v>
      </c>
      <c r="M106" t="s">
        <v>1903</v>
      </c>
      <c r="N106" t="s">
        <v>288</v>
      </c>
      <c r="O106" t="s">
        <v>289</v>
      </c>
      <c r="P106">
        <v>11230</v>
      </c>
      <c r="Q106" t="s">
        <v>290</v>
      </c>
      <c r="R106" t="s">
        <v>290</v>
      </c>
      <c r="S106" t="s">
        <v>297</v>
      </c>
      <c r="T106" t="s">
        <v>2137</v>
      </c>
      <c r="U106">
        <v>43</v>
      </c>
      <c r="V106" t="s">
        <v>339</v>
      </c>
      <c r="W106" t="s">
        <v>346</v>
      </c>
      <c r="Y106" t="s">
        <v>349</v>
      </c>
      <c r="Z106" t="s">
        <v>350</v>
      </c>
      <c r="AA106" t="s">
        <v>350</v>
      </c>
      <c r="AC106" t="s">
        <v>352</v>
      </c>
      <c r="AD106" t="s">
        <v>356</v>
      </c>
      <c r="AE106" t="s">
        <v>2457</v>
      </c>
      <c r="AF106">
        <v>2018</v>
      </c>
      <c r="AG106">
        <v>850</v>
      </c>
      <c r="AH106">
        <v>850</v>
      </c>
      <c r="AI106">
        <v>29.55</v>
      </c>
      <c r="AJ106" t="s">
        <v>2608</v>
      </c>
      <c r="AL106" t="s">
        <v>3049</v>
      </c>
      <c r="AM106">
        <v>50</v>
      </c>
      <c r="AN106" t="s">
        <v>493</v>
      </c>
      <c r="AO106">
        <v>1</v>
      </c>
      <c r="AP106">
        <v>0</v>
      </c>
      <c r="AQ106">
        <v>0</v>
      </c>
      <c r="AT106" t="s">
        <v>500</v>
      </c>
      <c r="AU106" t="s">
        <v>503</v>
      </c>
      <c r="AV106" t="s">
        <v>508</v>
      </c>
      <c r="AW106">
        <v>0</v>
      </c>
      <c r="AY106" t="s">
        <v>290</v>
      </c>
      <c r="BA106" t="s">
        <v>522</v>
      </c>
      <c r="BD106" t="s">
        <v>544</v>
      </c>
      <c r="BE106" t="s">
        <v>586</v>
      </c>
    </row>
    <row r="107" spans="1:58">
      <c r="A107" s="1">
        <f>HYPERLINK("https://lsnyc.legalserver.org/matter/dynamic-profile/view/1870805","18-1870805")</f>
        <v>0</v>
      </c>
      <c r="E107" t="s">
        <v>381</v>
      </c>
      <c r="F107" t="s">
        <v>66</v>
      </c>
      <c r="G107" t="s">
        <v>80</v>
      </c>
      <c r="H107" t="s">
        <v>120</v>
      </c>
      <c r="J107" t="s">
        <v>920</v>
      </c>
      <c r="K107" t="s">
        <v>1240</v>
      </c>
      <c r="L107" t="s">
        <v>1573</v>
      </c>
      <c r="M107" t="s">
        <v>1904</v>
      </c>
      <c r="N107" t="s">
        <v>288</v>
      </c>
      <c r="O107" t="s">
        <v>289</v>
      </c>
      <c r="P107">
        <v>11223</v>
      </c>
      <c r="Q107" t="s">
        <v>290</v>
      </c>
      <c r="R107" t="s">
        <v>290</v>
      </c>
      <c r="S107" t="s">
        <v>297</v>
      </c>
      <c r="T107" t="s">
        <v>2138</v>
      </c>
      <c r="U107">
        <v>6</v>
      </c>
      <c r="V107" t="s">
        <v>339</v>
      </c>
      <c r="W107" t="s">
        <v>346</v>
      </c>
      <c r="Y107" t="s">
        <v>349</v>
      </c>
      <c r="Z107" t="s">
        <v>350</v>
      </c>
      <c r="AC107" t="s">
        <v>353</v>
      </c>
      <c r="AD107" t="s">
        <v>356</v>
      </c>
      <c r="AE107" t="s">
        <v>2457</v>
      </c>
      <c r="AF107">
        <v>2018</v>
      </c>
      <c r="AG107">
        <v>0</v>
      </c>
      <c r="AH107">
        <v>758</v>
      </c>
      <c r="AI107">
        <v>17.5</v>
      </c>
      <c r="AJ107" t="s">
        <v>2609</v>
      </c>
      <c r="AL107" t="s">
        <v>3050</v>
      </c>
      <c r="AM107">
        <v>127</v>
      </c>
      <c r="AN107" t="s">
        <v>495</v>
      </c>
      <c r="AO107">
        <v>1</v>
      </c>
      <c r="AP107">
        <v>0</v>
      </c>
      <c r="AQ107">
        <v>36.67</v>
      </c>
      <c r="AT107" t="s">
        <v>500</v>
      </c>
      <c r="AV107" t="s">
        <v>508</v>
      </c>
      <c r="AW107">
        <v>4452</v>
      </c>
      <c r="AY107" t="s">
        <v>290</v>
      </c>
      <c r="BA107" t="s">
        <v>522</v>
      </c>
      <c r="BB107" t="s">
        <v>535</v>
      </c>
      <c r="BC107" t="s">
        <v>299</v>
      </c>
      <c r="BD107" t="s">
        <v>538</v>
      </c>
      <c r="BE107" t="s">
        <v>810</v>
      </c>
    </row>
    <row r="108" spans="1:58">
      <c r="A108" s="1">
        <f>HYPERLINK("https://lsnyc.legalserver.org/matter/dynamic-profile/view/1875510","18-1875510")</f>
        <v>0</v>
      </c>
      <c r="E108" t="s">
        <v>381</v>
      </c>
      <c r="F108" t="s">
        <v>621</v>
      </c>
      <c r="G108" t="s">
        <v>80</v>
      </c>
      <c r="H108" t="s">
        <v>709</v>
      </c>
      <c r="J108" t="s">
        <v>910</v>
      </c>
      <c r="K108" t="s">
        <v>1241</v>
      </c>
      <c r="L108" t="s">
        <v>1574</v>
      </c>
      <c r="N108" t="s">
        <v>288</v>
      </c>
      <c r="O108" t="s">
        <v>289</v>
      </c>
      <c r="P108">
        <v>11217</v>
      </c>
      <c r="Q108" t="s">
        <v>290</v>
      </c>
      <c r="R108" t="s">
        <v>290</v>
      </c>
      <c r="S108" t="s">
        <v>296</v>
      </c>
      <c r="T108" t="s">
        <v>2139</v>
      </c>
      <c r="U108">
        <v>8</v>
      </c>
      <c r="V108" t="s">
        <v>340</v>
      </c>
      <c r="W108" t="s">
        <v>346</v>
      </c>
      <c r="Y108" t="s">
        <v>349</v>
      </c>
      <c r="Z108" t="s">
        <v>350</v>
      </c>
      <c r="AA108" t="s">
        <v>350</v>
      </c>
      <c r="AC108" t="s">
        <v>352</v>
      </c>
      <c r="AE108" t="s">
        <v>2457</v>
      </c>
      <c r="AF108">
        <v>2018</v>
      </c>
      <c r="AG108">
        <v>400</v>
      </c>
      <c r="AH108">
        <v>400</v>
      </c>
      <c r="AI108">
        <v>55.1</v>
      </c>
      <c r="AJ108" t="s">
        <v>2610</v>
      </c>
      <c r="AK108" t="s">
        <v>2914</v>
      </c>
      <c r="AL108" t="s">
        <v>3051</v>
      </c>
      <c r="AM108">
        <v>2</v>
      </c>
      <c r="AN108" t="s">
        <v>496</v>
      </c>
      <c r="AO108">
        <v>1</v>
      </c>
      <c r="AP108">
        <v>1</v>
      </c>
      <c r="AQ108">
        <v>55.41</v>
      </c>
      <c r="AT108" t="s">
        <v>501</v>
      </c>
      <c r="AU108" t="s">
        <v>503</v>
      </c>
      <c r="AV108" t="s">
        <v>508</v>
      </c>
      <c r="AW108">
        <v>9120</v>
      </c>
      <c r="AX108" t="s">
        <v>3338</v>
      </c>
      <c r="BA108" t="s">
        <v>529</v>
      </c>
      <c r="BD108" t="s">
        <v>554</v>
      </c>
      <c r="BE108" t="s">
        <v>808</v>
      </c>
    </row>
    <row r="109" spans="1:58">
      <c r="A109" s="1">
        <f>HYPERLINK("https://lsnyc.legalserver.org/matter/dynamic-profile/view/1873858","18-1873858")</f>
        <v>0</v>
      </c>
      <c r="E109" t="s">
        <v>381</v>
      </c>
      <c r="F109" t="s">
        <v>632</v>
      </c>
      <c r="G109" t="s">
        <v>80</v>
      </c>
      <c r="H109" t="s">
        <v>710</v>
      </c>
      <c r="J109" t="s">
        <v>921</v>
      </c>
      <c r="K109" t="s">
        <v>1242</v>
      </c>
      <c r="L109" t="s">
        <v>1575</v>
      </c>
      <c r="M109" t="s">
        <v>1905</v>
      </c>
      <c r="N109" t="s">
        <v>288</v>
      </c>
      <c r="O109" t="s">
        <v>289</v>
      </c>
      <c r="P109">
        <v>11217</v>
      </c>
      <c r="Q109" t="s">
        <v>290</v>
      </c>
      <c r="R109" t="s">
        <v>290</v>
      </c>
      <c r="S109" t="s">
        <v>293</v>
      </c>
      <c r="T109" t="s">
        <v>2140</v>
      </c>
      <c r="U109">
        <v>17</v>
      </c>
      <c r="V109" t="s">
        <v>343</v>
      </c>
      <c r="W109" t="s">
        <v>346</v>
      </c>
      <c r="Y109" t="s">
        <v>349</v>
      </c>
      <c r="Z109" t="s">
        <v>350</v>
      </c>
      <c r="AC109" t="s">
        <v>353</v>
      </c>
      <c r="AD109" t="s">
        <v>356</v>
      </c>
      <c r="AE109" t="s">
        <v>2457</v>
      </c>
      <c r="AF109">
        <v>2018</v>
      </c>
      <c r="AG109">
        <v>321</v>
      </c>
      <c r="AH109">
        <v>321</v>
      </c>
      <c r="AI109">
        <v>13.25</v>
      </c>
      <c r="AJ109" t="s">
        <v>2611</v>
      </c>
      <c r="AK109">
        <v>35030898</v>
      </c>
      <c r="AL109" t="s">
        <v>3052</v>
      </c>
      <c r="AM109">
        <v>126</v>
      </c>
      <c r="AN109" t="s">
        <v>495</v>
      </c>
      <c r="AO109">
        <v>3</v>
      </c>
      <c r="AP109">
        <v>0</v>
      </c>
      <c r="AQ109">
        <v>87.58</v>
      </c>
      <c r="AT109" t="s">
        <v>500</v>
      </c>
      <c r="AU109" t="s">
        <v>503</v>
      </c>
      <c r="AV109" t="s">
        <v>508</v>
      </c>
      <c r="AW109">
        <v>18200</v>
      </c>
      <c r="AY109" t="s">
        <v>290</v>
      </c>
      <c r="BA109" t="s">
        <v>3341</v>
      </c>
      <c r="BD109" t="s">
        <v>537</v>
      </c>
      <c r="BE109" t="s">
        <v>814</v>
      </c>
    </row>
    <row r="110" spans="1:58">
      <c r="A110" s="1">
        <f>HYPERLINK("https://lsnyc.legalserver.org/matter/dynamic-profile/view/1871221","18-1871221")</f>
        <v>0</v>
      </c>
      <c r="E110" t="s">
        <v>381</v>
      </c>
      <c r="F110" t="s">
        <v>69</v>
      </c>
      <c r="G110" t="s">
        <v>80</v>
      </c>
      <c r="H110" t="s">
        <v>682</v>
      </c>
      <c r="J110" t="s">
        <v>922</v>
      </c>
      <c r="K110" t="s">
        <v>1243</v>
      </c>
      <c r="L110" t="s">
        <v>1576</v>
      </c>
      <c r="M110" t="s">
        <v>1906</v>
      </c>
      <c r="N110" t="s">
        <v>288</v>
      </c>
      <c r="O110" t="s">
        <v>289</v>
      </c>
      <c r="P110">
        <v>11213</v>
      </c>
      <c r="Q110" t="s">
        <v>290</v>
      </c>
      <c r="R110" t="s">
        <v>290</v>
      </c>
      <c r="S110" t="s">
        <v>297</v>
      </c>
      <c r="T110" t="s">
        <v>2141</v>
      </c>
      <c r="U110">
        <v>50</v>
      </c>
      <c r="V110" t="s">
        <v>340</v>
      </c>
      <c r="W110" t="s">
        <v>346</v>
      </c>
      <c r="Y110" t="s">
        <v>349</v>
      </c>
      <c r="Z110" t="s">
        <v>350</v>
      </c>
      <c r="AA110" t="s">
        <v>350</v>
      </c>
      <c r="AC110" t="s">
        <v>352</v>
      </c>
      <c r="AE110" t="s">
        <v>2457</v>
      </c>
      <c r="AF110">
        <v>2018</v>
      </c>
      <c r="AG110">
        <v>300</v>
      </c>
      <c r="AH110">
        <v>1093</v>
      </c>
      <c r="AI110">
        <v>82.8</v>
      </c>
      <c r="AJ110" t="s">
        <v>2612</v>
      </c>
      <c r="AL110" t="s">
        <v>3053</v>
      </c>
      <c r="AM110">
        <v>66</v>
      </c>
      <c r="AO110">
        <v>1</v>
      </c>
      <c r="AP110">
        <v>0</v>
      </c>
      <c r="AQ110">
        <v>74.14</v>
      </c>
      <c r="AT110" t="s">
        <v>500</v>
      </c>
      <c r="AU110" t="s">
        <v>3330</v>
      </c>
      <c r="AV110" t="s">
        <v>508</v>
      </c>
      <c r="AW110">
        <v>9000</v>
      </c>
      <c r="AY110" t="s">
        <v>290</v>
      </c>
      <c r="BA110" t="s">
        <v>522</v>
      </c>
      <c r="BD110" t="s">
        <v>548</v>
      </c>
      <c r="BE110" t="s">
        <v>582</v>
      </c>
    </row>
    <row r="111" spans="1:58">
      <c r="A111" s="1">
        <f>HYPERLINK("https://lsnyc.legalserver.org/matter/dynamic-profile/view/1870887","18-1870887")</f>
        <v>0</v>
      </c>
      <c r="E111" t="s">
        <v>381</v>
      </c>
      <c r="F111" t="s">
        <v>75</v>
      </c>
      <c r="G111" t="s">
        <v>80</v>
      </c>
      <c r="H111" t="s">
        <v>711</v>
      </c>
      <c r="J111" t="s">
        <v>158</v>
      </c>
      <c r="K111" t="s">
        <v>1148</v>
      </c>
      <c r="L111" t="s">
        <v>1577</v>
      </c>
      <c r="M111" t="s">
        <v>1907</v>
      </c>
      <c r="N111" t="s">
        <v>288</v>
      </c>
      <c r="O111" t="s">
        <v>289</v>
      </c>
      <c r="P111">
        <v>11206</v>
      </c>
      <c r="Q111" t="s">
        <v>290</v>
      </c>
      <c r="R111" t="s">
        <v>290</v>
      </c>
      <c r="S111" t="s">
        <v>297</v>
      </c>
      <c r="T111" t="s">
        <v>2142</v>
      </c>
      <c r="U111">
        <v>19</v>
      </c>
      <c r="V111" t="s">
        <v>340</v>
      </c>
      <c r="W111" t="s">
        <v>346</v>
      </c>
      <c r="Y111" t="s">
        <v>349</v>
      </c>
      <c r="Z111" t="s">
        <v>350</v>
      </c>
      <c r="AA111" t="s">
        <v>350</v>
      </c>
      <c r="AC111" t="s">
        <v>353</v>
      </c>
      <c r="AE111" t="s">
        <v>2457</v>
      </c>
      <c r="AF111">
        <v>2018</v>
      </c>
      <c r="AG111">
        <v>265.1</v>
      </c>
      <c r="AH111">
        <v>265.1</v>
      </c>
      <c r="AI111">
        <v>33.2</v>
      </c>
      <c r="AJ111" t="s">
        <v>2613</v>
      </c>
      <c r="AL111" t="s">
        <v>3054</v>
      </c>
      <c r="AM111">
        <v>0</v>
      </c>
      <c r="AN111" t="s">
        <v>495</v>
      </c>
      <c r="AO111">
        <v>2</v>
      </c>
      <c r="AP111">
        <v>0</v>
      </c>
      <c r="AQ111">
        <v>63.43</v>
      </c>
      <c r="AT111" t="s">
        <v>500</v>
      </c>
      <c r="AU111" t="s">
        <v>503</v>
      </c>
      <c r="AV111" t="s">
        <v>508</v>
      </c>
      <c r="AW111">
        <v>10440</v>
      </c>
      <c r="AY111" t="s">
        <v>290</v>
      </c>
      <c r="BA111" t="s">
        <v>522</v>
      </c>
      <c r="BD111" t="s">
        <v>3388</v>
      </c>
      <c r="BE111" t="s">
        <v>582</v>
      </c>
    </row>
    <row r="112" spans="1:58">
      <c r="A112" s="1">
        <f>HYPERLINK("https://lsnyc.legalserver.org/matter/dynamic-profile/view/1873454","18-1873454")</f>
        <v>0</v>
      </c>
      <c r="E112" t="s">
        <v>381</v>
      </c>
      <c r="F112" t="s">
        <v>623</v>
      </c>
      <c r="G112" t="s">
        <v>80</v>
      </c>
      <c r="H112" t="s">
        <v>702</v>
      </c>
      <c r="J112" t="s">
        <v>923</v>
      </c>
      <c r="K112" t="s">
        <v>1244</v>
      </c>
      <c r="L112" t="s">
        <v>1578</v>
      </c>
      <c r="M112" t="s">
        <v>1908</v>
      </c>
      <c r="N112" t="s">
        <v>288</v>
      </c>
      <c r="O112" t="s">
        <v>289</v>
      </c>
      <c r="P112">
        <v>11206</v>
      </c>
      <c r="Q112" t="s">
        <v>290</v>
      </c>
      <c r="R112" t="s">
        <v>290</v>
      </c>
      <c r="S112" t="s">
        <v>297</v>
      </c>
      <c r="T112" t="s">
        <v>2143</v>
      </c>
      <c r="U112">
        <v>27</v>
      </c>
      <c r="V112" t="s">
        <v>339</v>
      </c>
      <c r="W112" t="s">
        <v>346</v>
      </c>
      <c r="Y112" t="s">
        <v>349</v>
      </c>
      <c r="Z112" t="s">
        <v>350</v>
      </c>
      <c r="AA112" t="s">
        <v>350</v>
      </c>
      <c r="AC112" t="s">
        <v>353</v>
      </c>
      <c r="AD112" t="s">
        <v>356</v>
      </c>
      <c r="AE112" t="s">
        <v>2457</v>
      </c>
      <c r="AF112">
        <v>2018</v>
      </c>
      <c r="AG112">
        <v>141.5</v>
      </c>
      <c r="AH112">
        <v>0</v>
      </c>
      <c r="AI112">
        <v>40.15</v>
      </c>
      <c r="AJ112" t="s">
        <v>2614</v>
      </c>
      <c r="AK112" t="s">
        <v>2915</v>
      </c>
      <c r="AL112" t="s">
        <v>3055</v>
      </c>
      <c r="AM112">
        <v>120</v>
      </c>
      <c r="AN112" t="s">
        <v>495</v>
      </c>
      <c r="AO112">
        <v>1</v>
      </c>
      <c r="AP112">
        <v>1</v>
      </c>
      <c r="AQ112">
        <v>16.91</v>
      </c>
      <c r="AT112" t="s">
        <v>501</v>
      </c>
      <c r="AU112" t="s">
        <v>503</v>
      </c>
      <c r="AV112" t="s">
        <v>508</v>
      </c>
      <c r="AW112">
        <v>2784</v>
      </c>
      <c r="BA112" t="s">
        <v>3342</v>
      </c>
      <c r="BD112" t="s">
        <v>538</v>
      </c>
      <c r="BE112" t="s">
        <v>3436</v>
      </c>
    </row>
    <row r="113" spans="1:58">
      <c r="A113" s="1">
        <f>HYPERLINK("https://lsnyc.legalserver.org/matter/dynamic-profile/view/1872940","18-1872940")</f>
        <v>0</v>
      </c>
      <c r="E113" t="s">
        <v>381</v>
      </c>
      <c r="F113" t="s">
        <v>59</v>
      </c>
      <c r="G113" t="s">
        <v>80</v>
      </c>
      <c r="H113" t="s">
        <v>658</v>
      </c>
      <c r="J113" t="s">
        <v>924</v>
      </c>
      <c r="K113" t="s">
        <v>1245</v>
      </c>
      <c r="L113" t="s">
        <v>1579</v>
      </c>
      <c r="M113" t="s">
        <v>1909</v>
      </c>
      <c r="N113" t="s">
        <v>288</v>
      </c>
      <c r="O113" t="s">
        <v>289</v>
      </c>
      <c r="P113">
        <v>11205</v>
      </c>
      <c r="Q113" t="s">
        <v>290</v>
      </c>
      <c r="R113" t="s">
        <v>290</v>
      </c>
      <c r="S113" t="s">
        <v>297</v>
      </c>
      <c r="T113" t="s">
        <v>2144</v>
      </c>
      <c r="U113">
        <v>14</v>
      </c>
      <c r="V113" t="s">
        <v>339</v>
      </c>
      <c r="W113" t="s">
        <v>346</v>
      </c>
      <c r="Y113" t="s">
        <v>349</v>
      </c>
      <c r="Z113" t="s">
        <v>350</v>
      </c>
      <c r="AA113" t="s">
        <v>350</v>
      </c>
      <c r="AC113" t="s">
        <v>352</v>
      </c>
      <c r="AD113" t="s">
        <v>356</v>
      </c>
      <c r="AE113" t="s">
        <v>2457</v>
      </c>
      <c r="AF113">
        <v>2018</v>
      </c>
      <c r="AG113">
        <v>694.54</v>
      </c>
      <c r="AH113">
        <v>2285.54</v>
      </c>
      <c r="AI113">
        <v>6.5</v>
      </c>
      <c r="AJ113" t="s">
        <v>2615</v>
      </c>
      <c r="AL113" t="s">
        <v>3056</v>
      </c>
      <c r="AM113">
        <v>16</v>
      </c>
      <c r="AO113">
        <v>1</v>
      </c>
      <c r="AP113">
        <v>0</v>
      </c>
      <c r="AQ113">
        <v>65.90000000000001</v>
      </c>
      <c r="AT113" t="s">
        <v>500</v>
      </c>
      <c r="AV113" t="s">
        <v>508</v>
      </c>
      <c r="AW113">
        <v>8000</v>
      </c>
      <c r="AY113" t="s">
        <v>290</v>
      </c>
      <c r="BA113" t="s">
        <v>522</v>
      </c>
      <c r="BD113" t="s">
        <v>550</v>
      </c>
      <c r="BE113" t="s">
        <v>578</v>
      </c>
    </row>
    <row r="114" spans="1:58">
      <c r="A114" s="1">
        <f>HYPERLINK("https://lsnyc.legalserver.org/matter/dynamic-profile/view/1879305","18-1879305")</f>
        <v>0</v>
      </c>
      <c r="E114" t="s">
        <v>381</v>
      </c>
      <c r="F114" t="s">
        <v>75</v>
      </c>
      <c r="G114" t="s">
        <v>80</v>
      </c>
      <c r="H114" t="s">
        <v>712</v>
      </c>
      <c r="J114" t="s">
        <v>925</v>
      </c>
      <c r="K114" t="s">
        <v>1246</v>
      </c>
      <c r="L114" t="s">
        <v>1580</v>
      </c>
      <c r="M114" t="s">
        <v>261</v>
      </c>
      <c r="N114" t="s">
        <v>288</v>
      </c>
      <c r="O114" t="s">
        <v>289</v>
      </c>
      <c r="P114">
        <v>11225</v>
      </c>
      <c r="Q114" t="s">
        <v>290</v>
      </c>
      <c r="R114" t="s">
        <v>291</v>
      </c>
      <c r="S114" t="s">
        <v>292</v>
      </c>
      <c r="T114" t="s">
        <v>2145</v>
      </c>
      <c r="U114">
        <v>42</v>
      </c>
      <c r="V114" t="s">
        <v>339</v>
      </c>
      <c r="W114" t="s">
        <v>346</v>
      </c>
      <c r="Y114" t="s">
        <v>348</v>
      </c>
      <c r="Z114" t="s">
        <v>350</v>
      </c>
      <c r="AC114" t="s">
        <v>352</v>
      </c>
      <c r="AE114" t="s">
        <v>2476</v>
      </c>
      <c r="AF114">
        <v>2018</v>
      </c>
      <c r="AG114">
        <v>171</v>
      </c>
      <c r="AH114">
        <v>1813</v>
      </c>
      <c r="AI114">
        <v>13.3</v>
      </c>
      <c r="AJ114" t="s">
        <v>2616</v>
      </c>
      <c r="AL114" t="s">
        <v>3057</v>
      </c>
      <c r="AM114">
        <v>103</v>
      </c>
      <c r="AN114" t="s">
        <v>493</v>
      </c>
      <c r="AO114">
        <v>2</v>
      </c>
      <c r="AP114">
        <v>0</v>
      </c>
      <c r="AQ114">
        <v>60.75</v>
      </c>
      <c r="AT114" t="s">
        <v>500</v>
      </c>
      <c r="AV114" t="s">
        <v>508</v>
      </c>
      <c r="AW114">
        <v>10000</v>
      </c>
      <c r="BA114" t="s">
        <v>530</v>
      </c>
      <c r="BD114" t="s">
        <v>3389</v>
      </c>
      <c r="BE114" t="s">
        <v>693</v>
      </c>
    </row>
    <row r="115" spans="1:58">
      <c r="A115" s="1">
        <f>HYPERLINK("https://lsnyc.legalserver.org/matter/dynamic-profile/view/1876553","18-1876553")</f>
        <v>0</v>
      </c>
      <c r="E115" t="s">
        <v>381</v>
      </c>
      <c r="F115" t="s">
        <v>72</v>
      </c>
      <c r="G115" t="s">
        <v>80</v>
      </c>
      <c r="H115" t="s">
        <v>640</v>
      </c>
      <c r="J115" t="s">
        <v>926</v>
      </c>
      <c r="K115" t="s">
        <v>1247</v>
      </c>
      <c r="L115" t="s">
        <v>1580</v>
      </c>
      <c r="M115" t="s">
        <v>1910</v>
      </c>
      <c r="N115" t="s">
        <v>288</v>
      </c>
      <c r="O115" t="s">
        <v>289</v>
      </c>
      <c r="P115">
        <v>11225</v>
      </c>
      <c r="Q115" t="s">
        <v>290</v>
      </c>
      <c r="R115" t="s">
        <v>290</v>
      </c>
      <c r="S115" t="s">
        <v>292</v>
      </c>
      <c r="T115" t="s">
        <v>2146</v>
      </c>
      <c r="U115">
        <v>19</v>
      </c>
      <c r="V115" t="s">
        <v>340</v>
      </c>
      <c r="W115" t="s">
        <v>346</v>
      </c>
      <c r="Y115" t="s">
        <v>348</v>
      </c>
      <c r="Z115" t="s">
        <v>350</v>
      </c>
      <c r="AA115" t="s">
        <v>350</v>
      </c>
      <c r="AC115" t="s">
        <v>352</v>
      </c>
      <c r="AD115" t="s">
        <v>356</v>
      </c>
      <c r="AE115" t="s">
        <v>2477</v>
      </c>
      <c r="AF115">
        <v>2018</v>
      </c>
      <c r="AG115">
        <v>988.71</v>
      </c>
      <c r="AH115">
        <v>988.71</v>
      </c>
      <c r="AI115">
        <v>97.55</v>
      </c>
      <c r="AJ115" t="s">
        <v>2617</v>
      </c>
      <c r="AL115" t="s">
        <v>3058</v>
      </c>
      <c r="AM115">
        <v>101</v>
      </c>
      <c r="AN115" t="s">
        <v>493</v>
      </c>
      <c r="AO115">
        <v>1</v>
      </c>
      <c r="AP115">
        <v>1</v>
      </c>
      <c r="AQ115">
        <v>273.39</v>
      </c>
      <c r="AR115" t="s">
        <v>782</v>
      </c>
      <c r="AS115" t="s">
        <v>3328</v>
      </c>
      <c r="AT115" t="s">
        <v>502</v>
      </c>
      <c r="AV115" t="s">
        <v>508</v>
      </c>
      <c r="AW115">
        <v>45000</v>
      </c>
      <c r="BA115" t="s">
        <v>530</v>
      </c>
      <c r="BB115" t="s">
        <v>3350</v>
      </c>
      <c r="BD115" t="s">
        <v>537</v>
      </c>
      <c r="BE115" t="s">
        <v>576</v>
      </c>
    </row>
    <row r="116" spans="1:58">
      <c r="A116" s="1">
        <f>HYPERLINK("https://lsnyc.legalserver.org/matter/dynamic-profile/view/1874444","18-1874444")</f>
        <v>0</v>
      </c>
      <c r="E116" t="s">
        <v>381</v>
      </c>
      <c r="F116" t="s">
        <v>623</v>
      </c>
      <c r="G116" t="s">
        <v>80</v>
      </c>
      <c r="H116" t="s">
        <v>579</v>
      </c>
      <c r="J116" t="s">
        <v>927</v>
      </c>
      <c r="K116" t="s">
        <v>1220</v>
      </c>
      <c r="L116" t="s">
        <v>1581</v>
      </c>
      <c r="M116">
        <v>339</v>
      </c>
      <c r="N116" t="s">
        <v>288</v>
      </c>
      <c r="O116" t="s">
        <v>289</v>
      </c>
      <c r="P116">
        <v>11224</v>
      </c>
      <c r="Q116" t="s">
        <v>290</v>
      </c>
      <c r="R116" t="s">
        <v>290</v>
      </c>
      <c r="S116" t="s">
        <v>293</v>
      </c>
      <c r="T116" t="s">
        <v>2147</v>
      </c>
      <c r="U116">
        <v>30</v>
      </c>
      <c r="V116" t="s">
        <v>340</v>
      </c>
      <c r="W116" t="s">
        <v>346</v>
      </c>
      <c r="Y116" t="s">
        <v>349</v>
      </c>
      <c r="Z116" t="s">
        <v>350</v>
      </c>
      <c r="AA116" t="s">
        <v>350</v>
      </c>
      <c r="AC116" t="s">
        <v>352</v>
      </c>
      <c r="AD116" t="s">
        <v>356</v>
      </c>
      <c r="AE116" t="s">
        <v>2478</v>
      </c>
      <c r="AF116">
        <v>2018</v>
      </c>
      <c r="AG116">
        <v>1398</v>
      </c>
      <c r="AH116">
        <v>1398</v>
      </c>
      <c r="AI116">
        <v>35.8</v>
      </c>
      <c r="AJ116" t="s">
        <v>2618</v>
      </c>
      <c r="AL116" t="s">
        <v>3059</v>
      </c>
      <c r="AM116">
        <v>132</v>
      </c>
      <c r="AN116" t="s">
        <v>497</v>
      </c>
      <c r="AO116">
        <v>3</v>
      </c>
      <c r="AP116">
        <v>2</v>
      </c>
      <c r="AQ116">
        <v>70.7</v>
      </c>
      <c r="AT116" t="s">
        <v>502</v>
      </c>
      <c r="AU116" t="s">
        <v>503</v>
      </c>
      <c r="AV116" t="s">
        <v>508</v>
      </c>
      <c r="AW116">
        <v>20800</v>
      </c>
      <c r="BA116" t="s">
        <v>3341</v>
      </c>
      <c r="BD116" t="s">
        <v>3390</v>
      </c>
      <c r="BE116" t="s">
        <v>582</v>
      </c>
    </row>
    <row r="117" spans="1:58">
      <c r="A117" s="1">
        <f>HYPERLINK("https://lsnyc.legalserver.org/matter/dynamic-profile/view/1877712","18-1877712")</f>
        <v>0</v>
      </c>
      <c r="E117" t="s">
        <v>381</v>
      </c>
      <c r="F117" t="s">
        <v>75</v>
      </c>
      <c r="G117" t="s">
        <v>80</v>
      </c>
      <c r="H117" t="s">
        <v>712</v>
      </c>
      <c r="J117" t="s">
        <v>928</v>
      </c>
      <c r="K117" t="s">
        <v>1248</v>
      </c>
      <c r="L117" t="s">
        <v>1582</v>
      </c>
      <c r="M117" t="s">
        <v>1864</v>
      </c>
      <c r="N117" t="s">
        <v>288</v>
      </c>
      <c r="O117" t="s">
        <v>289</v>
      </c>
      <c r="P117">
        <v>11220</v>
      </c>
      <c r="Q117" t="s">
        <v>290</v>
      </c>
      <c r="R117" t="s">
        <v>290</v>
      </c>
      <c r="S117" t="s">
        <v>296</v>
      </c>
      <c r="T117" t="s">
        <v>2148</v>
      </c>
      <c r="U117">
        <v>3</v>
      </c>
      <c r="V117" t="s">
        <v>340</v>
      </c>
      <c r="W117" t="s">
        <v>346</v>
      </c>
      <c r="Y117" t="s">
        <v>349</v>
      </c>
      <c r="Z117" t="s">
        <v>350</v>
      </c>
      <c r="AA117" t="s">
        <v>350</v>
      </c>
      <c r="AC117" t="s">
        <v>352</v>
      </c>
      <c r="AD117" t="s">
        <v>356</v>
      </c>
      <c r="AE117" t="s">
        <v>2479</v>
      </c>
      <c r="AF117">
        <v>2018</v>
      </c>
      <c r="AG117">
        <v>806.66</v>
      </c>
      <c r="AH117">
        <v>806.66</v>
      </c>
      <c r="AI117">
        <v>52.7</v>
      </c>
      <c r="AJ117" t="s">
        <v>2619</v>
      </c>
      <c r="AL117" t="s">
        <v>3060</v>
      </c>
      <c r="AM117">
        <v>6</v>
      </c>
      <c r="AN117" t="s">
        <v>493</v>
      </c>
      <c r="AO117">
        <v>1</v>
      </c>
      <c r="AP117">
        <v>0</v>
      </c>
      <c r="AQ117">
        <v>96.87</v>
      </c>
      <c r="AT117" t="s">
        <v>500</v>
      </c>
      <c r="AV117" t="s">
        <v>508</v>
      </c>
      <c r="AW117">
        <v>11760</v>
      </c>
      <c r="BA117" t="s">
        <v>78</v>
      </c>
      <c r="BD117" t="s">
        <v>537</v>
      </c>
      <c r="BE117" t="s">
        <v>669</v>
      </c>
    </row>
    <row r="118" spans="1:58">
      <c r="A118" s="1">
        <f>HYPERLINK("https://lsnyc.legalserver.org/matter/dynamic-profile/view/1879224","18-1879224")</f>
        <v>0</v>
      </c>
      <c r="E118" t="s">
        <v>381</v>
      </c>
      <c r="F118" t="s">
        <v>623</v>
      </c>
      <c r="G118" t="s">
        <v>80</v>
      </c>
      <c r="H118" t="s">
        <v>713</v>
      </c>
      <c r="J118" t="s">
        <v>929</v>
      </c>
      <c r="K118" t="s">
        <v>1165</v>
      </c>
      <c r="L118" t="s">
        <v>1583</v>
      </c>
      <c r="M118" t="s">
        <v>1911</v>
      </c>
      <c r="N118" t="s">
        <v>288</v>
      </c>
      <c r="O118" t="s">
        <v>289</v>
      </c>
      <c r="P118">
        <v>11238</v>
      </c>
      <c r="Q118" t="s">
        <v>290</v>
      </c>
      <c r="R118" t="s">
        <v>290</v>
      </c>
      <c r="S118" t="s">
        <v>293</v>
      </c>
      <c r="T118" t="s">
        <v>2149</v>
      </c>
      <c r="U118">
        <v>19</v>
      </c>
      <c r="V118" t="s">
        <v>339</v>
      </c>
      <c r="W118" t="s">
        <v>346</v>
      </c>
      <c r="Y118" t="s">
        <v>349</v>
      </c>
      <c r="Z118" t="s">
        <v>350</v>
      </c>
      <c r="AA118" t="s">
        <v>350</v>
      </c>
      <c r="AC118" t="s">
        <v>352</v>
      </c>
      <c r="AD118" t="s">
        <v>356</v>
      </c>
      <c r="AE118" t="s">
        <v>364</v>
      </c>
      <c r="AF118">
        <v>2018</v>
      </c>
      <c r="AG118">
        <v>0</v>
      </c>
      <c r="AH118">
        <v>947</v>
      </c>
      <c r="AI118">
        <v>20.45</v>
      </c>
      <c r="AJ118" t="s">
        <v>2620</v>
      </c>
      <c r="AL118" t="s">
        <v>3061</v>
      </c>
      <c r="AM118">
        <v>52</v>
      </c>
      <c r="AN118" t="s">
        <v>493</v>
      </c>
      <c r="AO118">
        <v>2</v>
      </c>
      <c r="AP118">
        <v>1</v>
      </c>
      <c r="AQ118">
        <v>81.81</v>
      </c>
      <c r="AT118" t="s">
        <v>502</v>
      </c>
      <c r="AU118" t="s">
        <v>507</v>
      </c>
      <c r="AV118" t="s">
        <v>508</v>
      </c>
      <c r="AW118">
        <v>17000</v>
      </c>
      <c r="BA118" t="s">
        <v>3341</v>
      </c>
      <c r="BD118" t="s">
        <v>537</v>
      </c>
      <c r="BE118" t="s">
        <v>590</v>
      </c>
      <c r="BF118" t="s">
        <v>600</v>
      </c>
    </row>
    <row r="119" spans="1:58">
      <c r="A119" s="1">
        <f>HYPERLINK("https://lsnyc.legalserver.org/matter/dynamic-profile/view/1842647","17-1842647")</f>
        <v>0</v>
      </c>
      <c r="E119" t="s">
        <v>381</v>
      </c>
      <c r="F119" t="s">
        <v>630</v>
      </c>
      <c r="G119" t="s">
        <v>80</v>
      </c>
      <c r="H119" t="s">
        <v>714</v>
      </c>
      <c r="J119" t="s">
        <v>930</v>
      </c>
      <c r="K119" t="s">
        <v>1249</v>
      </c>
      <c r="L119" t="s">
        <v>1584</v>
      </c>
      <c r="M119" t="s">
        <v>1910</v>
      </c>
      <c r="N119" t="s">
        <v>288</v>
      </c>
      <c r="O119" t="s">
        <v>289</v>
      </c>
      <c r="P119">
        <v>11225</v>
      </c>
      <c r="Q119" t="s">
        <v>290</v>
      </c>
      <c r="R119" t="s">
        <v>290</v>
      </c>
      <c r="S119" t="s">
        <v>293</v>
      </c>
      <c r="T119" t="s">
        <v>2150</v>
      </c>
      <c r="U119">
        <v>28</v>
      </c>
      <c r="V119" t="s">
        <v>340</v>
      </c>
      <c r="W119" t="s">
        <v>346</v>
      </c>
      <c r="Y119" t="s">
        <v>348</v>
      </c>
      <c r="Z119" t="s">
        <v>350</v>
      </c>
      <c r="AA119" t="s">
        <v>350</v>
      </c>
      <c r="AC119" t="s">
        <v>352</v>
      </c>
      <c r="AD119" t="s">
        <v>2444</v>
      </c>
      <c r="AE119" t="s">
        <v>364</v>
      </c>
      <c r="AF119">
        <v>2018</v>
      </c>
      <c r="AG119">
        <v>1400.5</v>
      </c>
      <c r="AH119">
        <v>1400.5</v>
      </c>
      <c r="AI119">
        <v>111.75</v>
      </c>
      <c r="AJ119" t="s">
        <v>2621</v>
      </c>
      <c r="AL119" t="s">
        <v>3062</v>
      </c>
      <c r="AM119">
        <v>72</v>
      </c>
      <c r="AN119" t="s">
        <v>3323</v>
      </c>
      <c r="AO119">
        <v>5</v>
      </c>
      <c r="AP119">
        <v>0</v>
      </c>
      <c r="AQ119">
        <v>66.70999999999999</v>
      </c>
      <c r="AS119" t="s">
        <v>3329</v>
      </c>
      <c r="AT119" t="s">
        <v>500</v>
      </c>
      <c r="AU119" t="s">
        <v>503</v>
      </c>
      <c r="AV119" t="s">
        <v>508</v>
      </c>
      <c r="AW119">
        <v>19200</v>
      </c>
      <c r="AY119" t="s">
        <v>290</v>
      </c>
      <c r="BA119" t="s">
        <v>3344</v>
      </c>
      <c r="BB119" t="s">
        <v>3351</v>
      </c>
      <c r="BC119" t="s">
        <v>299</v>
      </c>
      <c r="BD119" t="s">
        <v>299</v>
      </c>
      <c r="BE119" t="s">
        <v>559</v>
      </c>
    </row>
    <row r="120" spans="1:58">
      <c r="A120" s="1">
        <f>HYPERLINK("https://lsnyc.legalserver.org/matter/dynamic-profile/view/1862983","18-1862983")</f>
        <v>0</v>
      </c>
      <c r="E120" t="s">
        <v>381</v>
      </c>
      <c r="F120" t="s">
        <v>58</v>
      </c>
      <c r="G120" t="s">
        <v>80</v>
      </c>
      <c r="H120" t="s">
        <v>715</v>
      </c>
      <c r="J120" t="s">
        <v>931</v>
      </c>
      <c r="K120" t="s">
        <v>1250</v>
      </c>
      <c r="L120" t="s">
        <v>1585</v>
      </c>
      <c r="M120" t="s">
        <v>270</v>
      </c>
      <c r="N120" t="s">
        <v>288</v>
      </c>
      <c r="O120" t="s">
        <v>289</v>
      </c>
      <c r="P120">
        <v>11225</v>
      </c>
      <c r="Q120" t="s">
        <v>290</v>
      </c>
      <c r="R120" t="s">
        <v>290</v>
      </c>
      <c r="S120" t="s">
        <v>296</v>
      </c>
      <c r="U120">
        <v>5</v>
      </c>
      <c r="V120" t="s">
        <v>342</v>
      </c>
      <c r="W120" t="s">
        <v>346</v>
      </c>
      <c r="Y120" t="s">
        <v>349</v>
      </c>
      <c r="Z120" t="s">
        <v>350</v>
      </c>
      <c r="AA120" t="s">
        <v>290</v>
      </c>
      <c r="AB120" t="s">
        <v>351</v>
      </c>
      <c r="AC120" t="s">
        <v>352</v>
      </c>
      <c r="AE120" t="s">
        <v>364</v>
      </c>
      <c r="AF120">
        <v>2018</v>
      </c>
      <c r="AG120">
        <v>1654</v>
      </c>
      <c r="AH120">
        <v>1654</v>
      </c>
      <c r="AI120">
        <v>1</v>
      </c>
      <c r="AJ120" t="s">
        <v>2622</v>
      </c>
      <c r="AL120" t="s">
        <v>3063</v>
      </c>
      <c r="AM120">
        <v>0</v>
      </c>
      <c r="AN120" t="s">
        <v>493</v>
      </c>
      <c r="AO120">
        <v>2</v>
      </c>
      <c r="AP120">
        <v>0</v>
      </c>
      <c r="AQ120">
        <v>127.58</v>
      </c>
      <c r="AT120" t="s">
        <v>500</v>
      </c>
      <c r="AU120" t="s">
        <v>503</v>
      </c>
      <c r="AV120" t="s">
        <v>508</v>
      </c>
      <c r="AW120">
        <v>21000</v>
      </c>
      <c r="BA120" t="s">
        <v>529</v>
      </c>
      <c r="BD120" t="s">
        <v>537</v>
      </c>
      <c r="BE120" t="s">
        <v>3438</v>
      </c>
    </row>
    <row r="121" spans="1:58">
      <c r="A121" s="1">
        <f>HYPERLINK("https://lsnyc.legalserver.org/matter/dynamic-profile/view/1879069","18-1879069")</f>
        <v>0</v>
      </c>
      <c r="E121" t="s">
        <v>381</v>
      </c>
      <c r="F121" t="s">
        <v>633</v>
      </c>
      <c r="G121" t="s">
        <v>80</v>
      </c>
      <c r="H121" t="s">
        <v>716</v>
      </c>
      <c r="J121" t="s">
        <v>932</v>
      </c>
      <c r="K121" t="s">
        <v>1251</v>
      </c>
      <c r="L121" t="s">
        <v>1586</v>
      </c>
      <c r="M121" t="s">
        <v>1872</v>
      </c>
      <c r="N121" t="s">
        <v>288</v>
      </c>
      <c r="O121" t="s">
        <v>289</v>
      </c>
      <c r="P121">
        <v>11225</v>
      </c>
      <c r="Q121" t="s">
        <v>290</v>
      </c>
      <c r="R121" t="s">
        <v>291</v>
      </c>
      <c r="S121" t="s">
        <v>2032</v>
      </c>
      <c r="U121">
        <v>13</v>
      </c>
      <c r="V121" t="s">
        <v>342</v>
      </c>
      <c r="W121" t="s">
        <v>346</v>
      </c>
      <c r="Y121" t="s">
        <v>349</v>
      </c>
      <c r="Z121" t="s">
        <v>350</v>
      </c>
      <c r="AB121" t="s">
        <v>351</v>
      </c>
      <c r="AC121" t="s">
        <v>352</v>
      </c>
      <c r="AE121" t="s">
        <v>2480</v>
      </c>
      <c r="AF121">
        <v>2018</v>
      </c>
      <c r="AG121">
        <v>51</v>
      </c>
      <c r="AH121">
        <v>1108.02</v>
      </c>
      <c r="AI121">
        <v>27.85</v>
      </c>
      <c r="AJ121" t="s">
        <v>2623</v>
      </c>
      <c r="AL121" t="s">
        <v>3064</v>
      </c>
      <c r="AM121">
        <v>0</v>
      </c>
      <c r="AO121">
        <v>1</v>
      </c>
      <c r="AP121">
        <v>0</v>
      </c>
      <c r="AQ121">
        <v>14.09</v>
      </c>
      <c r="AT121" t="s">
        <v>500</v>
      </c>
      <c r="AU121" t="s">
        <v>507</v>
      </c>
      <c r="AV121" t="s">
        <v>508</v>
      </c>
      <c r="AW121">
        <v>1710.72</v>
      </c>
      <c r="BA121" t="s">
        <v>3342</v>
      </c>
      <c r="BD121" t="s">
        <v>538</v>
      </c>
      <c r="BE121" t="s">
        <v>3439</v>
      </c>
    </row>
    <row r="122" spans="1:58">
      <c r="A122" s="1">
        <f>HYPERLINK("https://lsnyc.legalserver.org/matter/dynamic-profile/view/1880446","18-1880446")</f>
        <v>0</v>
      </c>
      <c r="E122" t="s">
        <v>381</v>
      </c>
      <c r="F122" t="s">
        <v>72</v>
      </c>
      <c r="G122" t="s">
        <v>80</v>
      </c>
      <c r="H122" t="s">
        <v>717</v>
      </c>
      <c r="J122" t="s">
        <v>933</v>
      </c>
      <c r="K122" t="s">
        <v>1252</v>
      </c>
      <c r="L122" t="s">
        <v>1587</v>
      </c>
      <c r="M122" t="s">
        <v>281</v>
      </c>
      <c r="N122" t="s">
        <v>288</v>
      </c>
      <c r="O122" t="s">
        <v>289</v>
      </c>
      <c r="P122">
        <v>11221</v>
      </c>
      <c r="Q122" t="s">
        <v>290</v>
      </c>
      <c r="R122" t="s">
        <v>290</v>
      </c>
      <c r="S122" t="s">
        <v>292</v>
      </c>
      <c r="T122" t="s">
        <v>2151</v>
      </c>
      <c r="U122">
        <v>15</v>
      </c>
      <c r="V122" t="s">
        <v>339</v>
      </c>
      <c r="W122" t="s">
        <v>346</v>
      </c>
      <c r="Y122" t="s">
        <v>348</v>
      </c>
      <c r="Z122" t="s">
        <v>350</v>
      </c>
      <c r="AA122" t="s">
        <v>350</v>
      </c>
      <c r="AC122" t="s">
        <v>352</v>
      </c>
      <c r="AD122" t="s">
        <v>356</v>
      </c>
      <c r="AE122" t="s">
        <v>2481</v>
      </c>
      <c r="AF122">
        <v>2018</v>
      </c>
      <c r="AG122">
        <v>0</v>
      </c>
      <c r="AH122">
        <v>206</v>
      </c>
      <c r="AI122">
        <v>38.35</v>
      </c>
      <c r="AJ122" t="s">
        <v>2624</v>
      </c>
      <c r="AL122" t="s">
        <v>3065</v>
      </c>
      <c r="AM122">
        <v>64</v>
      </c>
      <c r="AO122">
        <v>1</v>
      </c>
      <c r="AP122">
        <v>0</v>
      </c>
      <c r="AQ122">
        <v>82.73</v>
      </c>
      <c r="AT122" t="s">
        <v>500</v>
      </c>
      <c r="AV122" t="s">
        <v>508</v>
      </c>
      <c r="AW122">
        <v>10044</v>
      </c>
      <c r="BA122" t="s">
        <v>3341</v>
      </c>
      <c r="BD122" t="s">
        <v>543</v>
      </c>
      <c r="BE122" t="s">
        <v>826</v>
      </c>
    </row>
    <row r="123" spans="1:58">
      <c r="A123" s="1">
        <f>HYPERLINK("https://lsnyc.legalserver.org/matter/dynamic-profile/view/1877325","18-1877325")</f>
        <v>0</v>
      </c>
      <c r="E123" t="s">
        <v>381</v>
      </c>
      <c r="F123" t="s">
        <v>75</v>
      </c>
      <c r="G123" t="s">
        <v>80</v>
      </c>
      <c r="H123" t="s">
        <v>683</v>
      </c>
      <c r="J123" t="s">
        <v>934</v>
      </c>
      <c r="K123" t="s">
        <v>1253</v>
      </c>
      <c r="L123" t="s">
        <v>1588</v>
      </c>
      <c r="M123" t="s">
        <v>281</v>
      </c>
      <c r="N123" t="s">
        <v>288</v>
      </c>
      <c r="O123" t="s">
        <v>289</v>
      </c>
      <c r="P123">
        <v>11249</v>
      </c>
      <c r="Q123" t="s">
        <v>290</v>
      </c>
      <c r="R123" t="s">
        <v>290</v>
      </c>
      <c r="S123" t="s">
        <v>295</v>
      </c>
      <c r="T123" t="s">
        <v>2152</v>
      </c>
      <c r="U123">
        <v>3</v>
      </c>
      <c r="V123" t="s">
        <v>339</v>
      </c>
      <c r="W123" t="s">
        <v>346</v>
      </c>
      <c r="Y123" t="s">
        <v>349</v>
      </c>
      <c r="Z123" t="s">
        <v>350</v>
      </c>
      <c r="AA123" t="s">
        <v>350</v>
      </c>
      <c r="AC123" t="s">
        <v>352</v>
      </c>
      <c r="AD123" t="s">
        <v>356</v>
      </c>
      <c r="AE123" t="s">
        <v>2482</v>
      </c>
      <c r="AF123">
        <v>2018</v>
      </c>
      <c r="AG123">
        <v>1159</v>
      </c>
      <c r="AH123">
        <v>1159</v>
      </c>
      <c r="AI123">
        <v>74.7</v>
      </c>
      <c r="AJ123" t="s">
        <v>2625</v>
      </c>
      <c r="AK123" t="s">
        <v>2916</v>
      </c>
      <c r="AL123" t="s">
        <v>3066</v>
      </c>
      <c r="AM123">
        <v>83</v>
      </c>
      <c r="AN123" t="s">
        <v>3324</v>
      </c>
      <c r="AO123">
        <v>1</v>
      </c>
      <c r="AP123">
        <v>0</v>
      </c>
      <c r="AQ123">
        <v>60.59</v>
      </c>
      <c r="AT123" t="s">
        <v>500</v>
      </c>
      <c r="AU123" t="s">
        <v>503</v>
      </c>
      <c r="AV123" t="s">
        <v>508</v>
      </c>
      <c r="AW123">
        <v>7356</v>
      </c>
      <c r="BA123" t="s">
        <v>522</v>
      </c>
      <c r="BD123" t="s">
        <v>3388</v>
      </c>
      <c r="BE123" t="s">
        <v>811</v>
      </c>
    </row>
    <row r="124" spans="1:58">
      <c r="A124" s="1">
        <f>HYPERLINK("https://lsnyc.legalserver.org/matter/dynamic-profile/view/1882080","18-1882080")</f>
        <v>0</v>
      </c>
      <c r="E124" t="s">
        <v>381</v>
      </c>
      <c r="F124" t="s">
        <v>623</v>
      </c>
      <c r="G124" t="s">
        <v>80</v>
      </c>
      <c r="H124" t="s">
        <v>718</v>
      </c>
      <c r="J124" t="s">
        <v>935</v>
      </c>
      <c r="K124" t="s">
        <v>183</v>
      </c>
      <c r="L124" t="s">
        <v>1589</v>
      </c>
      <c r="M124" t="s">
        <v>1912</v>
      </c>
      <c r="N124" t="s">
        <v>288</v>
      </c>
      <c r="O124" t="s">
        <v>289</v>
      </c>
      <c r="P124">
        <v>11205</v>
      </c>
      <c r="Q124" t="s">
        <v>290</v>
      </c>
      <c r="R124" t="s">
        <v>290</v>
      </c>
      <c r="S124" t="s">
        <v>2033</v>
      </c>
      <c r="T124" t="s">
        <v>2153</v>
      </c>
      <c r="U124">
        <v>40</v>
      </c>
      <c r="V124" t="s">
        <v>339</v>
      </c>
      <c r="W124" t="s">
        <v>346</v>
      </c>
      <c r="Y124" t="s">
        <v>349</v>
      </c>
      <c r="Z124" t="s">
        <v>350</v>
      </c>
      <c r="AA124" t="s">
        <v>350</v>
      </c>
      <c r="AC124" t="s">
        <v>352</v>
      </c>
      <c r="AD124" t="s">
        <v>356</v>
      </c>
      <c r="AE124" t="s">
        <v>2483</v>
      </c>
      <c r="AF124">
        <v>2018</v>
      </c>
      <c r="AG124">
        <v>1575.49</v>
      </c>
      <c r="AH124">
        <v>1897.95</v>
      </c>
      <c r="AI124">
        <v>11.7</v>
      </c>
      <c r="AJ124" t="s">
        <v>2626</v>
      </c>
      <c r="AL124" t="s">
        <v>3067</v>
      </c>
      <c r="AM124">
        <v>76</v>
      </c>
      <c r="AN124" t="s">
        <v>493</v>
      </c>
      <c r="AO124">
        <v>2</v>
      </c>
      <c r="AP124">
        <v>0</v>
      </c>
      <c r="AQ124">
        <v>153.1</v>
      </c>
      <c r="AT124" t="s">
        <v>502</v>
      </c>
      <c r="AU124" t="s">
        <v>503</v>
      </c>
      <c r="AV124" t="s">
        <v>508</v>
      </c>
      <c r="AW124">
        <v>25200</v>
      </c>
      <c r="BA124" t="s">
        <v>530</v>
      </c>
      <c r="BD124" t="s">
        <v>3391</v>
      </c>
      <c r="BE124" t="s">
        <v>778</v>
      </c>
      <c r="BF124" t="s">
        <v>600</v>
      </c>
    </row>
    <row r="125" spans="1:58">
      <c r="A125" s="1">
        <f>HYPERLINK("https://lsnyc.legalserver.org/matter/dynamic-profile/view/1882171","18-1882171")</f>
        <v>0</v>
      </c>
      <c r="E125" t="s">
        <v>381</v>
      </c>
      <c r="F125" t="s">
        <v>633</v>
      </c>
      <c r="G125" t="s">
        <v>80</v>
      </c>
      <c r="H125" t="s">
        <v>719</v>
      </c>
      <c r="J125" t="s">
        <v>936</v>
      </c>
      <c r="K125" t="s">
        <v>1254</v>
      </c>
      <c r="L125" t="s">
        <v>1590</v>
      </c>
      <c r="M125" t="s">
        <v>280</v>
      </c>
      <c r="N125" t="s">
        <v>288</v>
      </c>
      <c r="O125" t="s">
        <v>289</v>
      </c>
      <c r="P125">
        <v>11225</v>
      </c>
      <c r="Q125" t="s">
        <v>290</v>
      </c>
      <c r="R125" t="s">
        <v>291</v>
      </c>
      <c r="S125" t="s">
        <v>296</v>
      </c>
      <c r="U125">
        <v>6</v>
      </c>
      <c r="V125" t="s">
        <v>339</v>
      </c>
      <c r="W125" t="s">
        <v>346</v>
      </c>
      <c r="Y125" t="s">
        <v>348</v>
      </c>
      <c r="Z125" t="s">
        <v>350</v>
      </c>
      <c r="AB125" t="s">
        <v>351</v>
      </c>
      <c r="AC125" t="s">
        <v>352</v>
      </c>
      <c r="AE125" t="s">
        <v>2484</v>
      </c>
      <c r="AF125">
        <v>2018</v>
      </c>
      <c r="AG125">
        <v>0</v>
      </c>
      <c r="AH125">
        <v>1526.3</v>
      </c>
      <c r="AI125">
        <v>33.2</v>
      </c>
      <c r="AJ125" t="s">
        <v>2627</v>
      </c>
      <c r="AM125">
        <v>11</v>
      </c>
      <c r="AN125" t="s">
        <v>493</v>
      </c>
      <c r="AO125">
        <v>2</v>
      </c>
      <c r="AP125">
        <v>0</v>
      </c>
      <c r="AQ125">
        <v>117.38</v>
      </c>
      <c r="AT125" t="s">
        <v>501</v>
      </c>
      <c r="AV125" t="s">
        <v>508</v>
      </c>
      <c r="AW125">
        <v>19320</v>
      </c>
      <c r="BA125" t="s">
        <v>530</v>
      </c>
      <c r="BD125" t="s">
        <v>3392</v>
      </c>
      <c r="BE125" t="s">
        <v>806</v>
      </c>
    </row>
    <row r="126" spans="1:58">
      <c r="A126" s="1">
        <f>HYPERLINK("https://lsnyc.legalserver.org/matter/dynamic-profile/view/1882538","18-1882538")</f>
        <v>0</v>
      </c>
      <c r="E126" t="s">
        <v>381</v>
      </c>
      <c r="F126" t="s">
        <v>79</v>
      </c>
      <c r="G126" t="s">
        <v>80</v>
      </c>
      <c r="H126" t="s">
        <v>720</v>
      </c>
      <c r="J126" t="s">
        <v>878</v>
      </c>
      <c r="K126" t="s">
        <v>1255</v>
      </c>
      <c r="L126" t="s">
        <v>1591</v>
      </c>
      <c r="M126" t="s">
        <v>1913</v>
      </c>
      <c r="N126" t="s">
        <v>288</v>
      </c>
      <c r="O126" t="s">
        <v>289</v>
      </c>
      <c r="P126">
        <v>11230</v>
      </c>
      <c r="Q126" t="s">
        <v>290</v>
      </c>
      <c r="R126" t="s">
        <v>290</v>
      </c>
      <c r="S126" t="s">
        <v>293</v>
      </c>
      <c r="T126" t="s">
        <v>2154</v>
      </c>
      <c r="U126">
        <v>6</v>
      </c>
      <c r="V126" t="s">
        <v>344</v>
      </c>
      <c r="W126" t="s">
        <v>346</v>
      </c>
      <c r="Y126" t="s">
        <v>349</v>
      </c>
      <c r="Z126" t="s">
        <v>350</v>
      </c>
      <c r="AA126" t="s">
        <v>350</v>
      </c>
      <c r="AC126" t="s">
        <v>352</v>
      </c>
      <c r="AD126" t="s">
        <v>356</v>
      </c>
      <c r="AE126" t="s">
        <v>2485</v>
      </c>
      <c r="AF126">
        <v>2018</v>
      </c>
      <c r="AG126">
        <v>0</v>
      </c>
      <c r="AH126">
        <v>1100</v>
      </c>
      <c r="AI126">
        <v>43.8</v>
      </c>
      <c r="AJ126" t="s">
        <v>2628</v>
      </c>
      <c r="AL126" t="s">
        <v>3068</v>
      </c>
      <c r="AM126">
        <v>90</v>
      </c>
      <c r="AN126" t="s">
        <v>493</v>
      </c>
      <c r="AO126">
        <v>1</v>
      </c>
      <c r="AP126">
        <v>0</v>
      </c>
      <c r="AQ126">
        <v>197.69</v>
      </c>
      <c r="AT126" t="s">
        <v>500</v>
      </c>
      <c r="AU126" t="s">
        <v>503</v>
      </c>
      <c r="AV126" t="s">
        <v>508</v>
      </c>
      <c r="AW126">
        <v>24000</v>
      </c>
      <c r="BA126" t="s">
        <v>3345</v>
      </c>
      <c r="BB126" t="s">
        <v>3352</v>
      </c>
      <c r="BC126" t="s">
        <v>299</v>
      </c>
      <c r="BD126" t="s">
        <v>537</v>
      </c>
      <c r="BE126" t="s">
        <v>3432</v>
      </c>
    </row>
    <row r="127" spans="1:58">
      <c r="A127" s="1">
        <f>HYPERLINK("https://lsnyc.legalserver.org/matter/dynamic-profile/view/1884230","18-1884230")</f>
        <v>0</v>
      </c>
      <c r="E127" t="s">
        <v>381</v>
      </c>
      <c r="F127" t="s">
        <v>72</v>
      </c>
      <c r="G127" t="s">
        <v>80</v>
      </c>
      <c r="H127" t="s">
        <v>721</v>
      </c>
      <c r="J127" t="s">
        <v>937</v>
      </c>
      <c r="K127" t="s">
        <v>1256</v>
      </c>
      <c r="L127" t="s">
        <v>1592</v>
      </c>
      <c r="M127" t="s">
        <v>1914</v>
      </c>
      <c r="N127" t="s">
        <v>288</v>
      </c>
      <c r="O127" t="s">
        <v>289</v>
      </c>
      <c r="P127">
        <v>11208</v>
      </c>
      <c r="Q127" t="s">
        <v>290</v>
      </c>
      <c r="R127" t="s">
        <v>291</v>
      </c>
      <c r="S127" t="s">
        <v>293</v>
      </c>
      <c r="T127" t="s">
        <v>2155</v>
      </c>
      <c r="U127">
        <v>24</v>
      </c>
      <c r="V127" t="s">
        <v>341</v>
      </c>
      <c r="W127" t="s">
        <v>347</v>
      </c>
      <c r="Y127" t="s">
        <v>349</v>
      </c>
      <c r="Z127" t="s">
        <v>350</v>
      </c>
      <c r="AC127" t="s">
        <v>353</v>
      </c>
      <c r="AE127" t="s">
        <v>367</v>
      </c>
      <c r="AF127">
        <v>2018</v>
      </c>
      <c r="AG127">
        <v>0</v>
      </c>
      <c r="AH127">
        <v>1065</v>
      </c>
      <c r="AI127">
        <v>32.2</v>
      </c>
      <c r="AJ127" t="s">
        <v>2629</v>
      </c>
      <c r="AL127" t="s">
        <v>3069</v>
      </c>
      <c r="AM127">
        <v>78</v>
      </c>
      <c r="AN127" t="s">
        <v>495</v>
      </c>
      <c r="AO127">
        <v>3</v>
      </c>
      <c r="AP127">
        <v>0</v>
      </c>
      <c r="AQ127">
        <v>142.11</v>
      </c>
      <c r="AT127" t="s">
        <v>500</v>
      </c>
      <c r="AV127" t="s">
        <v>508</v>
      </c>
      <c r="AW127">
        <v>29530</v>
      </c>
      <c r="BA127" t="s">
        <v>3341</v>
      </c>
      <c r="BD127" t="s">
        <v>537</v>
      </c>
      <c r="BE127" t="s">
        <v>3440</v>
      </c>
    </row>
    <row r="128" spans="1:58">
      <c r="A128" s="1">
        <f>HYPERLINK("https://lsnyc.legalserver.org/matter/dynamic-profile/view/1873724","18-1873724")</f>
        <v>0</v>
      </c>
      <c r="E128" t="s">
        <v>381</v>
      </c>
      <c r="F128" t="s">
        <v>75</v>
      </c>
      <c r="G128" t="s">
        <v>80</v>
      </c>
      <c r="H128" t="s">
        <v>722</v>
      </c>
      <c r="J128" t="s">
        <v>138</v>
      </c>
      <c r="K128" t="s">
        <v>1257</v>
      </c>
      <c r="L128" t="s">
        <v>1569</v>
      </c>
      <c r="M128" t="s">
        <v>1915</v>
      </c>
      <c r="N128" t="s">
        <v>288</v>
      </c>
      <c r="O128" t="s">
        <v>289</v>
      </c>
      <c r="P128">
        <v>11236</v>
      </c>
      <c r="Q128" t="s">
        <v>290</v>
      </c>
      <c r="R128" t="s">
        <v>291</v>
      </c>
      <c r="S128" t="s">
        <v>297</v>
      </c>
      <c r="T128" t="s">
        <v>2156</v>
      </c>
      <c r="U128">
        <v>1</v>
      </c>
      <c r="V128" t="s">
        <v>340</v>
      </c>
      <c r="W128" t="s">
        <v>346</v>
      </c>
      <c r="Y128" t="s">
        <v>349</v>
      </c>
      <c r="Z128" t="s">
        <v>350</v>
      </c>
      <c r="AC128" t="s">
        <v>352</v>
      </c>
      <c r="AE128" t="s">
        <v>367</v>
      </c>
      <c r="AF128">
        <v>2018</v>
      </c>
      <c r="AG128">
        <v>0</v>
      </c>
      <c r="AH128">
        <v>0</v>
      </c>
      <c r="AI128">
        <v>47.7</v>
      </c>
      <c r="AJ128" t="s">
        <v>2630</v>
      </c>
      <c r="AL128" t="s">
        <v>3070</v>
      </c>
      <c r="AM128">
        <v>0</v>
      </c>
      <c r="AO128">
        <v>1</v>
      </c>
      <c r="AP128">
        <v>0</v>
      </c>
      <c r="AQ128">
        <v>19.6</v>
      </c>
      <c r="AT128" t="s">
        <v>500</v>
      </c>
      <c r="AU128" t="s">
        <v>504</v>
      </c>
      <c r="AV128" t="s">
        <v>508</v>
      </c>
      <c r="AW128">
        <v>2379</v>
      </c>
      <c r="AY128" t="s">
        <v>290</v>
      </c>
      <c r="BA128" t="s">
        <v>522</v>
      </c>
      <c r="BD128" t="s">
        <v>538</v>
      </c>
      <c r="BE128" t="s">
        <v>590</v>
      </c>
    </row>
    <row r="129" spans="1:58">
      <c r="A129" s="1">
        <f>HYPERLINK("https://lsnyc.legalserver.org/matter/dynamic-profile/view/1878997","18-1878997")</f>
        <v>0</v>
      </c>
      <c r="E129" t="s">
        <v>381</v>
      </c>
      <c r="F129" t="s">
        <v>59</v>
      </c>
      <c r="G129" t="s">
        <v>80</v>
      </c>
      <c r="H129" t="s">
        <v>716</v>
      </c>
      <c r="J129" t="s">
        <v>938</v>
      </c>
      <c r="K129" t="s">
        <v>1258</v>
      </c>
      <c r="L129" t="s">
        <v>1593</v>
      </c>
      <c r="M129">
        <v>1</v>
      </c>
      <c r="N129" t="s">
        <v>288</v>
      </c>
      <c r="O129" t="s">
        <v>289</v>
      </c>
      <c r="P129">
        <v>11236</v>
      </c>
      <c r="Q129" t="s">
        <v>290</v>
      </c>
      <c r="R129" t="s">
        <v>350</v>
      </c>
      <c r="S129" t="s">
        <v>295</v>
      </c>
      <c r="T129" t="s">
        <v>2157</v>
      </c>
      <c r="U129">
        <v>60</v>
      </c>
      <c r="V129" t="s">
        <v>340</v>
      </c>
      <c r="W129" t="s">
        <v>346</v>
      </c>
      <c r="Y129" t="s">
        <v>349</v>
      </c>
      <c r="Z129" t="s">
        <v>350</v>
      </c>
      <c r="AC129" t="s">
        <v>352</v>
      </c>
      <c r="AE129" t="s">
        <v>367</v>
      </c>
      <c r="AF129">
        <v>2018</v>
      </c>
      <c r="AG129">
        <v>600</v>
      </c>
      <c r="AH129">
        <v>600</v>
      </c>
      <c r="AI129">
        <v>39.6</v>
      </c>
      <c r="AJ129" t="s">
        <v>2631</v>
      </c>
      <c r="AL129" t="s">
        <v>3071</v>
      </c>
      <c r="AM129">
        <v>2</v>
      </c>
      <c r="AN129" t="s">
        <v>496</v>
      </c>
      <c r="AO129">
        <v>1</v>
      </c>
      <c r="AP129">
        <v>0</v>
      </c>
      <c r="AQ129">
        <v>98.84999999999999</v>
      </c>
      <c r="AT129" t="s">
        <v>500</v>
      </c>
      <c r="AU129" t="s">
        <v>503</v>
      </c>
      <c r="AV129" t="s">
        <v>508</v>
      </c>
      <c r="AW129">
        <v>12000</v>
      </c>
      <c r="BA129" t="s">
        <v>522</v>
      </c>
      <c r="BB129" t="s">
        <v>3350</v>
      </c>
      <c r="BD129" t="s">
        <v>299</v>
      </c>
      <c r="BE129" t="s">
        <v>779</v>
      </c>
    </row>
    <row r="130" spans="1:58">
      <c r="A130" s="1">
        <f>HYPERLINK("https://lsnyc.legalserver.org/matter/dynamic-profile/view/1883453","18-1883453")</f>
        <v>0</v>
      </c>
      <c r="E130" t="s">
        <v>381</v>
      </c>
      <c r="F130" t="s">
        <v>75</v>
      </c>
      <c r="G130" t="s">
        <v>80</v>
      </c>
      <c r="H130" t="s">
        <v>643</v>
      </c>
      <c r="J130" t="s">
        <v>939</v>
      </c>
      <c r="K130" t="s">
        <v>1259</v>
      </c>
      <c r="L130" t="s">
        <v>1594</v>
      </c>
      <c r="M130" t="s">
        <v>270</v>
      </c>
      <c r="N130" t="s">
        <v>288</v>
      </c>
      <c r="O130" t="s">
        <v>289</v>
      </c>
      <c r="P130">
        <v>11226</v>
      </c>
      <c r="Q130" t="s">
        <v>290</v>
      </c>
      <c r="R130" t="s">
        <v>290</v>
      </c>
      <c r="S130" t="s">
        <v>295</v>
      </c>
      <c r="T130" t="s">
        <v>2158</v>
      </c>
      <c r="U130">
        <v>18</v>
      </c>
      <c r="V130" t="s">
        <v>339</v>
      </c>
      <c r="W130" t="s">
        <v>346</v>
      </c>
      <c r="Y130" t="s">
        <v>348</v>
      </c>
      <c r="Z130" t="s">
        <v>350</v>
      </c>
      <c r="AC130" t="s">
        <v>352</v>
      </c>
      <c r="AE130" t="s">
        <v>367</v>
      </c>
      <c r="AF130">
        <v>2018</v>
      </c>
      <c r="AG130">
        <v>0</v>
      </c>
      <c r="AH130">
        <v>726</v>
      </c>
      <c r="AI130">
        <v>11.3</v>
      </c>
      <c r="AJ130" t="s">
        <v>2632</v>
      </c>
      <c r="AL130" t="s">
        <v>3072</v>
      </c>
      <c r="AM130">
        <v>16</v>
      </c>
      <c r="AO130">
        <v>1</v>
      </c>
      <c r="AP130">
        <v>0</v>
      </c>
      <c r="AQ130">
        <v>88.95999999999999</v>
      </c>
      <c r="AT130" t="s">
        <v>500</v>
      </c>
      <c r="AU130" t="s">
        <v>503</v>
      </c>
      <c r="AV130" t="s">
        <v>508</v>
      </c>
      <c r="AW130">
        <v>10800</v>
      </c>
      <c r="BA130" t="s">
        <v>522</v>
      </c>
      <c r="BD130" t="s">
        <v>3388</v>
      </c>
      <c r="BE130" t="s">
        <v>693</v>
      </c>
    </row>
    <row r="131" spans="1:58">
      <c r="A131" s="1">
        <f>HYPERLINK("https://lsnyc.legalserver.org/matter/dynamic-profile/view/1879877","18-1879877")</f>
        <v>0</v>
      </c>
      <c r="E131" t="s">
        <v>381</v>
      </c>
      <c r="F131" t="s">
        <v>626</v>
      </c>
      <c r="G131" t="s">
        <v>80</v>
      </c>
      <c r="H131" t="s">
        <v>697</v>
      </c>
      <c r="J131" t="s">
        <v>940</v>
      </c>
      <c r="K131" t="s">
        <v>1260</v>
      </c>
      <c r="L131" t="s">
        <v>1595</v>
      </c>
      <c r="M131" t="s">
        <v>1907</v>
      </c>
      <c r="N131" t="s">
        <v>288</v>
      </c>
      <c r="O131" t="s">
        <v>289</v>
      </c>
      <c r="P131">
        <v>11225</v>
      </c>
      <c r="Q131" t="s">
        <v>290</v>
      </c>
      <c r="R131" t="s">
        <v>290</v>
      </c>
      <c r="S131" t="s">
        <v>292</v>
      </c>
      <c r="T131" t="s">
        <v>2159</v>
      </c>
      <c r="U131">
        <v>34</v>
      </c>
      <c r="V131" t="s">
        <v>340</v>
      </c>
      <c r="W131" t="s">
        <v>346</v>
      </c>
      <c r="Y131" t="s">
        <v>348</v>
      </c>
      <c r="Z131" t="s">
        <v>350</v>
      </c>
      <c r="AC131" t="s">
        <v>352</v>
      </c>
      <c r="AE131" t="s">
        <v>367</v>
      </c>
      <c r="AF131">
        <v>2018</v>
      </c>
      <c r="AG131">
        <v>877.0700000000001</v>
      </c>
      <c r="AH131">
        <v>877.0700000000001</v>
      </c>
      <c r="AI131">
        <v>57.1</v>
      </c>
      <c r="AJ131" t="s">
        <v>2633</v>
      </c>
      <c r="AL131" t="s">
        <v>3073</v>
      </c>
      <c r="AM131">
        <v>0</v>
      </c>
      <c r="AO131">
        <v>2</v>
      </c>
      <c r="AP131">
        <v>0</v>
      </c>
      <c r="AQ131">
        <v>0</v>
      </c>
      <c r="AT131" t="s">
        <v>500</v>
      </c>
      <c r="AU131" t="s">
        <v>503</v>
      </c>
      <c r="AV131" t="s">
        <v>508</v>
      </c>
      <c r="AW131">
        <v>0</v>
      </c>
      <c r="BA131" t="s">
        <v>522</v>
      </c>
      <c r="BD131" t="s">
        <v>544</v>
      </c>
      <c r="BE131" t="s">
        <v>582</v>
      </c>
    </row>
    <row r="132" spans="1:58">
      <c r="A132" s="1">
        <f>HYPERLINK("https://lsnyc.legalserver.org/matter/dynamic-profile/view/1879383","18-1879383")</f>
        <v>0</v>
      </c>
      <c r="E132" t="s">
        <v>381</v>
      </c>
      <c r="F132" t="s">
        <v>59</v>
      </c>
      <c r="G132" t="s">
        <v>80</v>
      </c>
      <c r="H132" t="s">
        <v>723</v>
      </c>
      <c r="J132" t="s">
        <v>941</v>
      </c>
      <c r="K132" t="s">
        <v>1261</v>
      </c>
      <c r="L132" t="s">
        <v>1596</v>
      </c>
      <c r="M132">
        <v>3</v>
      </c>
      <c r="N132" t="s">
        <v>288</v>
      </c>
      <c r="O132" t="s">
        <v>289</v>
      </c>
      <c r="P132">
        <v>11225</v>
      </c>
      <c r="Q132" t="s">
        <v>290</v>
      </c>
      <c r="R132" t="s">
        <v>290</v>
      </c>
      <c r="S132" t="s">
        <v>292</v>
      </c>
      <c r="T132" t="s">
        <v>2160</v>
      </c>
      <c r="U132">
        <v>19</v>
      </c>
      <c r="V132" t="s">
        <v>339</v>
      </c>
      <c r="W132" t="s">
        <v>346</v>
      </c>
      <c r="Y132" t="s">
        <v>348</v>
      </c>
      <c r="Z132" t="s">
        <v>350</v>
      </c>
      <c r="AC132" t="s">
        <v>352</v>
      </c>
      <c r="AD132" t="s">
        <v>356</v>
      </c>
      <c r="AE132" t="s">
        <v>367</v>
      </c>
      <c r="AF132">
        <v>2018</v>
      </c>
      <c r="AG132">
        <v>969.49</v>
      </c>
      <c r="AH132">
        <v>969.49</v>
      </c>
      <c r="AI132">
        <v>14.8</v>
      </c>
      <c r="AJ132" t="s">
        <v>2634</v>
      </c>
      <c r="AL132" t="s">
        <v>3074</v>
      </c>
      <c r="AM132">
        <v>0</v>
      </c>
      <c r="AO132">
        <v>1</v>
      </c>
      <c r="AP132">
        <v>1</v>
      </c>
      <c r="AQ132">
        <v>0</v>
      </c>
      <c r="AT132" t="s">
        <v>501</v>
      </c>
      <c r="AU132" t="s">
        <v>503</v>
      </c>
      <c r="AV132" t="s">
        <v>508</v>
      </c>
      <c r="AW132">
        <v>0</v>
      </c>
      <c r="BA132" t="s">
        <v>522</v>
      </c>
      <c r="BD132" t="s">
        <v>3368</v>
      </c>
      <c r="BE132" t="s">
        <v>589</v>
      </c>
    </row>
    <row r="133" spans="1:58">
      <c r="A133" s="1">
        <f>HYPERLINK("https://lsnyc.legalserver.org/matter/dynamic-profile/view/1883560","18-1883560")</f>
        <v>0</v>
      </c>
      <c r="E133" t="s">
        <v>381</v>
      </c>
      <c r="F133" t="s">
        <v>72</v>
      </c>
      <c r="G133" t="s">
        <v>80</v>
      </c>
      <c r="H133" t="s">
        <v>643</v>
      </c>
      <c r="J133" t="s">
        <v>942</v>
      </c>
      <c r="K133" t="s">
        <v>1262</v>
      </c>
      <c r="L133" t="s">
        <v>1597</v>
      </c>
      <c r="M133" t="s">
        <v>1916</v>
      </c>
      <c r="N133" t="s">
        <v>288</v>
      </c>
      <c r="O133" t="s">
        <v>289</v>
      </c>
      <c r="P133">
        <v>11225</v>
      </c>
      <c r="Q133" t="s">
        <v>290</v>
      </c>
      <c r="R133" t="s">
        <v>290</v>
      </c>
      <c r="S133" t="s">
        <v>2030</v>
      </c>
      <c r="T133" t="s">
        <v>2161</v>
      </c>
      <c r="U133">
        <v>13</v>
      </c>
      <c r="V133" t="s">
        <v>339</v>
      </c>
      <c r="W133" t="s">
        <v>346</v>
      </c>
      <c r="Y133" t="s">
        <v>348</v>
      </c>
      <c r="Z133" t="s">
        <v>350</v>
      </c>
      <c r="AC133" t="s">
        <v>352</v>
      </c>
      <c r="AE133" t="s">
        <v>367</v>
      </c>
      <c r="AF133">
        <v>2018</v>
      </c>
      <c r="AG133">
        <v>0</v>
      </c>
      <c r="AH133">
        <v>1312.84</v>
      </c>
      <c r="AI133">
        <v>13.85</v>
      </c>
      <c r="AJ133" t="s">
        <v>2635</v>
      </c>
      <c r="AL133" t="s">
        <v>3075</v>
      </c>
      <c r="AM133">
        <v>6</v>
      </c>
      <c r="AN133" t="s">
        <v>493</v>
      </c>
      <c r="AO133">
        <v>2</v>
      </c>
      <c r="AP133">
        <v>0</v>
      </c>
      <c r="AQ133">
        <v>0</v>
      </c>
      <c r="AT133" t="s">
        <v>500</v>
      </c>
      <c r="AU133" t="s">
        <v>3332</v>
      </c>
      <c r="AV133" t="s">
        <v>508</v>
      </c>
      <c r="AW133">
        <v>0</v>
      </c>
      <c r="BA133" t="s">
        <v>530</v>
      </c>
      <c r="BD133" t="s">
        <v>544</v>
      </c>
      <c r="BE133" t="s">
        <v>800</v>
      </c>
    </row>
    <row r="134" spans="1:58">
      <c r="A134" s="1">
        <f>HYPERLINK("https://lsnyc.legalserver.org/matter/dynamic-profile/view/1882490","18-1882490")</f>
        <v>0</v>
      </c>
      <c r="E134" t="s">
        <v>381</v>
      </c>
      <c r="F134" t="s">
        <v>63</v>
      </c>
      <c r="G134" t="s">
        <v>80</v>
      </c>
      <c r="H134" t="s">
        <v>720</v>
      </c>
      <c r="J134" t="s">
        <v>943</v>
      </c>
      <c r="K134" t="s">
        <v>1196</v>
      </c>
      <c r="L134" t="s">
        <v>1598</v>
      </c>
      <c r="M134" t="s">
        <v>1857</v>
      </c>
      <c r="N134" t="s">
        <v>288</v>
      </c>
      <c r="O134" t="s">
        <v>289</v>
      </c>
      <c r="P134">
        <v>11224</v>
      </c>
      <c r="Q134" t="s">
        <v>290</v>
      </c>
      <c r="R134" t="s">
        <v>291</v>
      </c>
      <c r="S134" t="s">
        <v>295</v>
      </c>
      <c r="T134" t="s">
        <v>2162</v>
      </c>
      <c r="U134">
        <v>41</v>
      </c>
      <c r="V134" t="s">
        <v>340</v>
      </c>
      <c r="W134" t="s">
        <v>346</v>
      </c>
      <c r="Y134" t="s">
        <v>349</v>
      </c>
      <c r="Z134" t="s">
        <v>350</v>
      </c>
      <c r="AC134" t="s">
        <v>352</v>
      </c>
      <c r="AE134" t="s">
        <v>367</v>
      </c>
      <c r="AF134">
        <v>2018</v>
      </c>
      <c r="AG134">
        <v>0</v>
      </c>
      <c r="AH134">
        <v>800</v>
      </c>
      <c r="AI134">
        <v>35.55</v>
      </c>
      <c r="AJ134" t="s">
        <v>2636</v>
      </c>
      <c r="AL134" t="s">
        <v>3076</v>
      </c>
      <c r="AM134">
        <v>6</v>
      </c>
      <c r="AO134">
        <v>2</v>
      </c>
      <c r="AP134">
        <v>1</v>
      </c>
      <c r="AQ134">
        <v>0</v>
      </c>
      <c r="AT134" t="s">
        <v>501</v>
      </c>
      <c r="AU134" t="s">
        <v>299</v>
      </c>
      <c r="AV134" t="s">
        <v>508</v>
      </c>
      <c r="AW134">
        <v>0</v>
      </c>
      <c r="BA134" t="s">
        <v>3341</v>
      </c>
      <c r="BB134" t="s">
        <v>3350</v>
      </c>
      <c r="BC134" t="s">
        <v>299</v>
      </c>
      <c r="BD134" t="s">
        <v>3368</v>
      </c>
      <c r="BE134" t="s">
        <v>3441</v>
      </c>
    </row>
    <row r="135" spans="1:58">
      <c r="A135" s="1">
        <f>HYPERLINK("https://lsnyc.legalserver.org/matter/dynamic-profile/view/1884421","18-1884421")</f>
        <v>0</v>
      </c>
      <c r="E135" t="s">
        <v>381</v>
      </c>
      <c r="F135" t="s">
        <v>626</v>
      </c>
      <c r="G135" t="s">
        <v>80</v>
      </c>
      <c r="H135" t="s">
        <v>641</v>
      </c>
      <c r="J135" t="s">
        <v>944</v>
      </c>
      <c r="K135" t="s">
        <v>1263</v>
      </c>
      <c r="L135" t="s">
        <v>1599</v>
      </c>
      <c r="M135" t="s">
        <v>1872</v>
      </c>
      <c r="N135" t="s">
        <v>288</v>
      </c>
      <c r="O135" t="s">
        <v>289</v>
      </c>
      <c r="P135">
        <v>11221</v>
      </c>
      <c r="Q135" t="s">
        <v>290</v>
      </c>
      <c r="R135" t="s">
        <v>291</v>
      </c>
      <c r="S135" t="s">
        <v>295</v>
      </c>
      <c r="T135" t="s">
        <v>2163</v>
      </c>
      <c r="U135">
        <v>26</v>
      </c>
      <c r="V135" t="s">
        <v>340</v>
      </c>
      <c r="W135" t="s">
        <v>346</v>
      </c>
      <c r="Y135" t="s">
        <v>348</v>
      </c>
      <c r="Z135" t="s">
        <v>350</v>
      </c>
      <c r="AC135" t="s">
        <v>353</v>
      </c>
      <c r="AE135" t="s">
        <v>367</v>
      </c>
      <c r="AF135">
        <v>2018</v>
      </c>
      <c r="AG135">
        <v>0</v>
      </c>
      <c r="AH135">
        <v>193</v>
      </c>
      <c r="AI135">
        <v>38.7</v>
      </c>
      <c r="AJ135" t="s">
        <v>2637</v>
      </c>
      <c r="AL135" t="s">
        <v>3077</v>
      </c>
      <c r="AM135">
        <v>117</v>
      </c>
      <c r="AO135">
        <v>3</v>
      </c>
      <c r="AP135">
        <v>0</v>
      </c>
      <c r="AQ135">
        <v>44.64</v>
      </c>
      <c r="AT135" t="s">
        <v>500</v>
      </c>
      <c r="AU135" t="s">
        <v>503</v>
      </c>
      <c r="AV135" t="s">
        <v>508</v>
      </c>
      <c r="AW135">
        <v>9276</v>
      </c>
      <c r="BA135" t="s">
        <v>3341</v>
      </c>
      <c r="BD135" t="s">
        <v>543</v>
      </c>
      <c r="BE135" t="s">
        <v>3442</v>
      </c>
    </row>
    <row r="136" spans="1:58">
      <c r="A136" s="1">
        <f>HYPERLINK("https://lsnyc.legalserver.org/matter/dynamic-profile/view/1874568","18-1874568")</f>
        <v>0</v>
      </c>
      <c r="E136" t="s">
        <v>381</v>
      </c>
      <c r="F136" t="s">
        <v>60</v>
      </c>
      <c r="G136" t="s">
        <v>80</v>
      </c>
      <c r="H136" t="s">
        <v>724</v>
      </c>
      <c r="J136" t="s">
        <v>837</v>
      </c>
      <c r="K136" t="s">
        <v>180</v>
      </c>
      <c r="L136" t="s">
        <v>1484</v>
      </c>
      <c r="M136">
        <v>1</v>
      </c>
      <c r="N136" t="s">
        <v>288</v>
      </c>
      <c r="O136" t="s">
        <v>289</v>
      </c>
      <c r="P136">
        <v>11221</v>
      </c>
      <c r="Q136" t="s">
        <v>290</v>
      </c>
      <c r="R136" t="s">
        <v>291</v>
      </c>
      <c r="T136" t="s">
        <v>2164</v>
      </c>
      <c r="U136">
        <v>3</v>
      </c>
      <c r="V136" t="s">
        <v>342</v>
      </c>
      <c r="W136" t="s">
        <v>346</v>
      </c>
      <c r="Y136" t="s">
        <v>349</v>
      </c>
      <c r="Z136" t="s">
        <v>350</v>
      </c>
      <c r="AA136" t="s">
        <v>350</v>
      </c>
      <c r="AC136" t="s">
        <v>352</v>
      </c>
      <c r="AD136" t="s">
        <v>356</v>
      </c>
      <c r="AE136" t="s">
        <v>367</v>
      </c>
      <c r="AF136">
        <v>2018</v>
      </c>
      <c r="AG136">
        <v>0</v>
      </c>
      <c r="AH136">
        <v>0</v>
      </c>
      <c r="AI136">
        <v>67.40000000000001</v>
      </c>
      <c r="AJ136" t="s">
        <v>2516</v>
      </c>
      <c r="AL136" t="s">
        <v>2965</v>
      </c>
      <c r="AM136">
        <v>6</v>
      </c>
      <c r="AN136" t="s">
        <v>3320</v>
      </c>
      <c r="AO136">
        <v>1</v>
      </c>
      <c r="AP136">
        <v>0</v>
      </c>
      <c r="AQ136">
        <v>19.77</v>
      </c>
      <c r="AU136" t="s">
        <v>503</v>
      </c>
      <c r="AV136" t="s">
        <v>508</v>
      </c>
      <c r="AW136">
        <v>2400</v>
      </c>
      <c r="BA136" t="s">
        <v>60</v>
      </c>
      <c r="BD136" t="s">
        <v>537</v>
      </c>
      <c r="BE136" t="s">
        <v>561</v>
      </c>
    </row>
    <row r="137" spans="1:58">
      <c r="A137" s="1">
        <f>HYPERLINK("https://lsnyc.legalserver.org/matter/dynamic-profile/view/1879446","18-1879446")</f>
        <v>0</v>
      </c>
      <c r="E137" t="s">
        <v>381</v>
      </c>
      <c r="F137" t="s">
        <v>622</v>
      </c>
      <c r="G137" t="s">
        <v>80</v>
      </c>
      <c r="H137" t="s">
        <v>723</v>
      </c>
      <c r="J137" t="s">
        <v>945</v>
      </c>
      <c r="K137" t="s">
        <v>1264</v>
      </c>
      <c r="L137" t="s">
        <v>1600</v>
      </c>
      <c r="M137" t="s">
        <v>1864</v>
      </c>
      <c r="N137" t="s">
        <v>288</v>
      </c>
      <c r="O137" t="s">
        <v>289</v>
      </c>
      <c r="P137">
        <v>11221</v>
      </c>
      <c r="Q137" t="s">
        <v>290</v>
      </c>
      <c r="R137" t="s">
        <v>290</v>
      </c>
      <c r="S137" t="s">
        <v>292</v>
      </c>
      <c r="T137" t="s">
        <v>2165</v>
      </c>
      <c r="U137">
        <v>7</v>
      </c>
      <c r="V137" t="s">
        <v>339</v>
      </c>
      <c r="W137" t="s">
        <v>346</v>
      </c>
      <c r="Y137" t="s">
        <v>348</v>
      </c>
      <c r="Z137" t="s">
        <v>350</v>
      </c>
      <c r="AA137" t="s">
        <v>350</v>
      </c>
      <c r="AC137" t="s">
        <v>352</v>
      </c>
      <c r="AD137" t="s">
        <v>356</v>
      </c>
      <c r="AE137" t="s">
        <v>367</v>
      </c>
      <c r="AF137">
        <v>2018</v>
      </c>
      <c r="AG137">
        <v>223</v>
      </c>
      <c r="AH137">
        <v>510</v>
      </c>
      <c r="AI137">
        <v>50.2</v>
      </c>
      <c r="AJ137" t="s">
        <v>2638</v>
      </c>
      <c r="AL137" t="s">
        <v>3078</v>
      </c>
      <c r="AM137">
        <v>8</v>
      </c>
      <c r="AN137" t="s">
        <v>3325</v>
      </c>
      <c r="AO137">
        <v>1</v>
      </c>
      <c r="AP137">
        <v>1</v>
      </c>
      <c r="AQ137">
        <v>166.46</v>
      </c>
      <c r="AT137" t="s">
        <v>502</v>
      </c>
      <c r="AU137" t="s">
        <v>299</v>
      </c>
      <c r="AV137" t="s">
        <v>508</v>
      </c>
      <c r="AW137">
        <v>27400</v>
      </c>
      <c r="BA137" t="s">
        <v>3341</v>
      </c>
      <c r="BD137" t="s">
        <v>537</v>
      </c>
      <c r="BE137" t="s">
        <v>586</v>
      </c>
    </row>
    <row r="138" spans="1:58">
      <c r="A138" s="1">
        <f>HYPERLINK("https://lsnyc.legalserver.org/matter/dynamic-profile/view/1883689","18-1883689")</f>
        <v>0</v>
      </c>
      <c r="E138" t="s">
        <v>381</v>
      </c>
      <c r="F138" t="s">
        <v>68</v>
      </c>
      <c r="G138" t="s">
        <v>80</v>
      </c>
      <c r="H138" t="s">
        <v>645</v>
      </c>
      <c r="J138" t="s">
        <v>946</v>
      </c>
      <c r="K138" t="s">
        <v>1196</v>
      </c>
      <c r="L138" t="s">
        <v>1601</v>
      </c>
      <c r="M138" t="s">
        <v>1917</v>
      </c>
      <c r="N138" t="s">
        <v>288</v>
      </c>
      <c r="O138" t="s">
        <v>289</v>
      </c>
      <c r="P138">
        <v>11221</v>
      </c>
      <c r="Q138" t="s">
        <v>290</v>
      </c>
      <c r="R138" t="s">
        <v>290</v>
      </c>
      <c r="S138" t="s">
        <v>292</v>
      </c>
      <c r="T138" t="s">
        <v>2166</v>
      </c>
      <c r="U138">
        <v>9</v>
      </c>
      <c r="V138" t="s">
        <v>339</v>
      </c>
      <c r="W138" t="s">
        <v>346</v>
      </c>
      <c r="Y138" t="s">
        <v>348</v>
      </c>
      <c r="Z138" t="s">
        <v>350</v>
      </c>
      <c r="AA138" t="s">
        <v>350</v>
      </c>
      <c r="AC138" t="s">
        <v>352</v>
      </c>
      <c r="AD138" t="s">
        <v>356</v>
      </c>
      <c r="AE138" t="s">
        <v>367</v>
      </c>
      <c r="AF138">
        <v>2018</v>
      </c>
      <c r="AG138">
        <v>0</v>
      </c>
      <c r="AH138">
        <v>1413</v>
      </c>
      <c r="AI138">
        <v>28</v>
      </c>
      <c r="AJ138" t="s">
        <v>2639</v>
      </c>
      <c r="AL138" t="s">
        <v>3079</v>
      </c>
      <c r="AM138">
        <v>30</v>
      </c>
      <c r="AO138">
        <v>1</v>
      </c>
      <c r="AP138">
        <v>4</v>
      </c>
      <c r="AQ138">
        <v>8.16</v>
      </c>
      <c r="AT138" t="s">
        <v>501</v>
      </c>
      <c r="AU138" t="s">
        <v>3330</v>
      </c>
      <c r="AV138" t="s">
        <v>508</v>
      </c>
      <c r="AW138">
        <v>2400</v>
      </c>
      <c r="BA138" t="s">
        <v>522</v>
      </c>
      <c r="BB138" t="s">
        <v>3350</v>
      </c>
      <c r="BC138" t="s">
        <v>299</v>
      </c>
      <c r="BD138" t="s">
        <v>538</v>
      </c>
      <c r="BE138" t="s">
        <v>3443</v>
      </c>
    </row>
    <row r="139" spans="1:58">
      <c r="A139" s="1">
        <f>HYPERLINK("https://lsnyc.legalserver.org/matter/dynamic-profile/view/1881160","18-1881160")</f>
        <v>0</v>
      </c>
      <c r="E139" t="s">
        <v>381</v>
      </c>
      <c r="F139" t="s">
        <v>632</v>
      </c>
      <c r="G139" t="s">
        <v>80</v>
      </c>
      <c r="H139" t="s">
        <v>725</v>
      </c>
      <c r="J139" t="s">
        <v>947</v>
      </c>
      <c r="K139" t="s">
        <v>1265</v>
      </c>
      <c r="L139" t="s">
        <v>1602</v>
      </c>
      <c r="M139" t="s">
        <v>1918</v>
      </c>
      <c r="N139" t="s">
        <v>288</v>
      </c>
      <c r="O139" t="s">
        <v>289</v>
      </c>
      <c r="P139">
        <v>11217</v>
      </c>
      <c r="Q139" t="s">
        <v>290</v>
      </c>
      <c r="R139" t="s">
        <v>290</v>
      </c>
      <c r="S139" t="s">
        <v>295</v>
      </c>
      <c r="T139" t="s">
        <v>2167</v>
      </c>
      <c r="U139">
        <v>-1</v>
      </c>
      <c r="V139" t="s">
        <v>339</v>
      </c>
      <c r="W139" t="s">
        <v>346</v>
      </c>
      <c r="Y139" t="s">
        <v>349</v>
      </c>
      <c r="Z139" t="s">
        <v>350</v>
      </c>
      <c r="AC139" t="s">
        <v>352</v>
      </c>
      <c r="AE139" t="s">
        <v>367</v>
      </c>
      <c r="AF139">
        <v>2018</v>
      </c>
      <c r="AG139">
        <v>493.2</v>
      </c>
      <c r="AH139">
        <v>770</v>
      </c>
      <c r="AI139">
        <v>26</v>
      </c>
      <c r="AJ139" t="s">
        <v>2640</v>
      </c>
      <c r="AK139" t="s">
        <v>2917</v>
      </c>
      <c r="AL139" t="s">
        <v>3080</v>
      </c>
      <c r="AM139">
        <v>0</v>
      </c>
      <c r="AO139">
        <v>2</v>
      </c>
      <c r="AP139">
        <v>0</v>
      </c>
      <c r="AQ139">
        <v>81.94</v>
      </c>
      <c r="AT139" t="s">
        <v>500</v>
      </c>
      <c r="AU139" t="s">
        <v>505</v>
      </c>
      <c r="AV139" t="s">
        <v>508</v>
      </c>
      <c r="AW139">
        <v>13488</v>
      </c>
      <c r="BA139" t="s">
        <v>522</v>
      </c>
      <c r="BD139" t="s">
        <v>543</v>
      </c>
      <c r="BE139" t="s">
        <v>816</v>
      </c>
    </row>
    <row r="140" spans="1:58">
      <c r="A140" s="1">
        <f>HYPERLINK("https://lsnyc.legalserver.org/matter/dynamic-profile/view/1879288","18-1879288")</f>
        <v>0</v>
      </c>
      <c r="E140" t="s">
        <v>381</v>
      </c>
      <c r="F140" t="s">
        <v>620</v>
      </c>
      <c r="G140" t="s">
        <v>80</v>
      </c>
      <c r="H140" t="s">
        <v>712</v>
      </c>
      <c r="J140" t="s">
        <v>948</v>
      </c>
      <c r="K140" t="s">
        <v>1266</v>
      </c>
      <c r="L140" t="s">
        <v>1603</v>
      </c>
      <c r="M140" t="s">
        <v>1919</v>
      </c>
      <c r="N140" t="s">
        <v>288</v>
      </c>
      <c r="O140" t="s">
        <v>289</v>
      </c>
      <c r="P140">
        <v>11216</v>
      </c>
      <c r="Q140" t="s">
        <v>290</v>
      </c>
      <c r="R140" t="s">
        <v>290</v>
      </c>
      <c r="S140" t="s">
        <v>292</v>
      </c>
      <c r="T140" t="s">
        <v>2168</v>
      </c>
      <c r="U140">
        <v>9</v>
      </c>
      <c r="V140" t="s">
        <v>340</v>
      </c>
      <c r="W140" t="s">
        <v>346</v>
      </c>
      <c r="Y140" t="s">
        <v>348</v>
      </c>
      <c r="Z140" t="s">
        <v>350</v>
      </c>
      <c r="AA140" t="s">
        <v>350</v>
      </c>
      <c r="AC140" t="s">
        <v>352</v>
      </c>
      <c r="AD140" t="s">
        <v>356</v>
      </c>
      <c r="AE140" t="s">
        <v>367</v>
      </c>
      <c r="AF140">
        <v>2018</v>
      </c>
      <c r="AG140">
        <v>1322.11</v>
      </c>
      <c r="AH140">
        <v>1322.11</v>
      </c>
      <c r="AI140">
        <v>33.25</v>
      </c>
      <c r="AJ140" t="s">
        <v>2641</v>
      </c>
      <c r="AL140" t="s">
        <v>3081</v>
      </c>
      <c r="AM140">
        <v>42</v>
      </c>
      <c r="AN140" t="s">
        <v>493</v>
      </c>
      <c r="AO140">
        <v>1</v>
      </c>
      <c r="AP140">
        <v>1</v>
      </c>
      <c r="AQ140">
        <v>160.9</v>
      </c>
      <c r="AT140" t="s">
        <v>502</v>
      </c>
      <c r="AU140" t="s">
        <v>299</v>
      </c>
      <c r="AV140" t="s">
        <v>508</v>
      </c>
      <c r="AW140">
        <v>26484</v>
      </c>
      <c r="BA140" t="s">
        <v>3341</v>
      </c>
      <c r="BB140" t="s">
        <v>3350</v>
      </c>
      <c r="BD140" t="s">
        <v>554</v>
      </c>
      <c r="BE140" t="s">
        <v>799</v>
      </c>
      <c r="BF140" t="s">
        <v>600</v>
      </c>
    </row>
    <row r="141" spans="1:58">
      <c r="A141" s="1">
        <f>HYPERLINK("https://lsnyc.legalserver.org/matter/dynamic-profile/view/1883024","18-1883024")</f>
        <v>0</v>
      </c>
      <c r="E141" t="s">
        <v>381</v>
      </c>
      <c r="F141" t="s">
        <v>75</v>
      </c>
      <c r="G141" t="s">
        <v>80</v>
      </c>
      <c r="H141" t="s">
        <v>726</v>
      </c>
      <c r="J141" t="s">
        <v>949</v>
      </c>
      <c r="K141" t="s">
        <v>1267</v>
      </c>
      <c r="L141" t="s">
        <v>1604</v>
      </c>
      <c r="M141" t="s">
        <v>274</v>
      </c>
      <c r="N141" t="s">
        <v>288</v>
      </c>
      <c r="O141" t="s">
        <v>289</v>
      </c>
      <c r="P141">
        <v>11216</v>
      </c>
      <c r="Q141" t="s">
        <v>290</v>
      </c>
      <c r="R141" t="s">
        <v>290</v>
      </c>
      <c r="S141" t="s">
        <v>292</v>
      </c>
      <c r="T141" t="s">
        <v>2169</v>
      </c>
      <c r="U141">
        <v>8</v>
      </c>
      <c r="V141" t="s">
        <v>340</v>
      </c>
      <c r="W141" t="s">
        <v>346</v>
      </c>
      <c r="Y141" t="s">
        <v>348</v>
      </c>
      <c r="Z141" t="s">
        <v>350</v>
      </c>
      <c r="AC141" t="s">
        <v>352</v>
      </c>
      <c r="AE141" t="s">
        <v>367</v>
      </c>
      <c r="AF141">
        <v>2018</v>
      </c>
      <c r="AG141">
        <v>0</v>
      </c>
      <c r="AH141">
        <v>0</v>
      </c>
      <c r="AI141">
        <v>35.3</v>
      </c>
      <c r="AJ141" t="s">
        <v>2642</v>
      </c>
      <c r="AL141" t="s">
        <v>3082</v>
      </c>
      <c r="AM141">
        <v>0</v>
      </c>
      <c r="AO141">
        <v>1</v>
      </c>
      <c r="AP141">
        <v>0</v>
      </c>
      <c r="AQ141">
        <v>18.42</v>
      </c>
      <c r="AT141" t="s">
        <v>500</v>
      </c>
      <c r="AU141" t="s">
        <v>299</v>
      </c>
      <c r="AV141" t="s">
        <v>508</v>
      </c>
      <c r="AW141">
        <v>2236</v>
      </c>
      <c r="BA141" t="s">
        <v>522</v>
      </c>
      <c r="BD141" t="s">
        <v>538</v>
      </c>
      <c r="BE141" t="s">
        <v>565</v>
      </c>
    </row>
    <row r="142" spans="1:58">
      <c r="A142" s="1">
        <f>HYPERLINK("https://lsnyc.legalserver.org/matter/dynamic-profile/view/1882278","18-1882278")</f>
        <v>0</v>
      </c>
      <c r="E142" t="s">
        <v>381</v>
      </c>
      <c r="F142" t="s">
        <v>626</v>
      </c>
      <c r="G142" t="s">
        <v>80</v>
      </c>
      <c r="H142" t="s">
        <v>727</v>
      </c>
      <c r="J142" t="s">
        <v>950</v>
      </c>
      <c r="K142" t="s">
        <v>1268</v>
      </c>
      <c r="L142" t="s">
        <v>1605</v>
      </c>
      <c r="M142" t="s">
        <v>1843</v>
      </c>
      <c r="N142" t="s">
        <v>288</v>
      </c>
      <c r="O142" t="s">
        <v>289</v>
      </c>
      <c r="P142">
        <v>11216</v>
      </c>
      <c r="Q142" t="s">
        <v>290</v>
      </c>
      <c r="R142" t="s">
        <v>290</v>
      </c>
      <c r="S142" t="s">
        <v>292</v>
      </c>
      <c r="T142" t="s">
        <v>2170</v>
      </c>
      <c r="U142">
        <v>22</v>
      </c>
      <c r="V142" t="s">
        <v>339</v>
      </c>
      <c r="W142" t="s">
        <v>346</v>
      </c>
      <c r="Y142" t="s">
        <v>348</v>
      </c>
      <c r="Z142" t="s">
        <v>350</v>
      </c>
      <c r="AC142" t="s">
        <v>352</v>
      </c>
      <c r="AE142" t="s">
        <v>367</v>
      </c>
      <c r="AF142">
        <v>2018</v>
      </c>
      <c r="AG142">
        <v>0</v>
      </c>
      <c r="AH142">
        <v>0</v>
      </c>
      <c r="AI142">
        <v>22.3</v>
      </c>
      <c r="AJ142" t="s">
        <v>2643</v>
      </c>
      <c r="AL142" t="s">
        <v>3083</v>
      </c>
      <c r="AM142">
        <v>8</v>
      </c>
      <c r="AO142">
        <v>2</v>
      </c>
      <c r="AP142">
        <v>0</v>
      </c>
      <c r="AQ142">
        <v>152.81</v>
      </c>
      <c r="AT142" t="s">
        <v>500</v>
      </c>
      <c r="AU142" t="s">
        <v>503</v>
      </c>
      <c r="AV142" t="s">
        <v>508</v>
      </c>
      <c r="AW142">
        <v>25152</v>
      </c>
      <c r="BA142" t="s">
        <v>522</v>
      </c>
      <c r="BD142" t="s">
        <v>3360</v>
      </c>
      <c r="BE142" t="s">
        <v>680</v>
      </c>
    </row>
    <row r="143" spans="1:58">
      <c r="A143" s="1">
        <f>HYPERLINK("https://lsnyc.legalserver.org/matter/dynamic-profile/view/1881845","18-1881845")</f>
        <v>0</v>
      </c>
      <c r="E143" t="s">
        <v>381</v>
      </c>
      <c r="F143" t="s">
        <v>59</v>
      </c>
      <c r="G143" t="s">
        <v>80</v>
      </c>
      <c r="H143" t="s">
        <v>728</v>
      </c>
      <c r="J143" t="s">
        <v>951</v>
      </c>
      <c r="K143" t="s">
        <v>1269</v>
      </c>
      <c r="L143" t="s">
        <v>1606</v>
      </c>
      <c r="M143" t="s">
        <v>276</v>
      </c>
      <c r="N143" t="s">
        <v>288</v>
      </c>
      <c r="O143" t="s">
        <v>289</v>
      </c>
      <c r="P143">
        <v>11213</v>
      </c>
      <c r="Q143" t="s">
        <v>290</v>
      </c>
      <c r="R143" t="s">
        <v>290</v>
      </c>
      <c r="S143" t="s">
        <v>295</v>
      </c>
      <c r="T143" t="s">
        <v>2171</v>
      </c>
      <c r="U143">
        <v>3</v>
      </c>
      <c r="V143" t="s">
        <v>339</v>
      </c>
      <c r="W143" t="s">
        <v>346</v>
      </c>
      <c r="Y143" t="s">
        <v>349</v>
      </c>
      <c r="Z143" t="s">
        <v>350</v>
      </c>
      <c r="AC143" t="s">
        <v>352</v>
      </c>
      <c r="AD143" t="s">
        <v>356</v>
      </c>
      <c r="AE143" t="s">
        <v>367</v>
      </c>
      <c r="AF143">
        <v>2018</v>
      </c>
      <c r="AG143">
        <v>130</v>
      </c>
      <c r="AH143">
        <v>2207</v>
      </c>
      <c r="AI143">
        <v>20.6</v>
      </c>
      <c r="AJ143" t="s">
        <v>2644</v>
      </c>
      <c r="AL143" t="s">
        <v>3084</v>
      </c>
      <c r="AM143">
        <v>16</v>
      </c>
      <c r="AO143">
        <v>2</v>
      </c>
      <c r="AP143">
        <v>0</v>
      </c>
      <c r="AQ143">
        <v>68.52</v>
      </c>
      <c r="AT143" t="s">
        <v>500</v>
      </c>
      <c r="AU143" t="s">
        <v>507</v>
      </c>
      <c r="AV143" t="s">
        <v>508</v>
      </c>
      <c r="AW143">
        <v>11278</v>
      </c>
      <c r="BA143" t="s">
        <v>522</v>
      </c>
      <c r="BB143" t="s">
        <v>535</v>
      </c>
      <c r="BC143" t="s">
        <v>3354</v>
      </c>
      <c r="BD143" t="s">
        <v>548</v>
      </c>
      <c r="BE143" t="s">
        <v>3439</v>
      </c>
    </row>
    <row r="144" spans="1:58">
      <c r="A144" s="1">
        <f>HYPERLINK("https://lsnyc.legalserver.org/matter/dynamic-profile/view/1877445","18-1877445")</f>
        <v>0</v>
      </c>
      <c r="E144" t="s">
        <v>381</v>
      </c>
      <c r="F144" t="s">
        <v>59</v>
      </c>
      <c r="G144" t="s">
        <v>80</v>
      </c>
      <c r="H144" t="s">
        <v>729</v>
      </c>
      <c r="J144" t="s">
        <v>952</v>
      </c>
      <c r="K144" t="s">
        <v>1270</v>
      </c>
      <c r="L144" t="s">
        <v>1607</v>
      </c>
      <c r="M144" t="s">
        <v>278</v>
      </c>
      <c r="N144" t="s">
        <v>288</v>
      </c>
      <c r="O144" t="s">
        <v>289</v>
      </c>
      <c r="P144">
        <v>11212</v>
      </c>
      <c r="Q144" t="s">
        <v>290</v>
      </c>
      <c r="R144" t="s">
        <v>290</v>
      </c>
      <c r="S144" t="s">
        <v>295</v>
      </c>
      <c r="T144" t="s">
        <v>2172</v>
      </c>
      <c r="U144">
        <v>7</v>
      </c>
      <c r="V144" t="s">
        <v>339</v>
      </c>
      <c r="W144" t="s">
        <v>346</v>
      </c>
      <c r="Y144" t="s">
        <v>349</v>
      </c>
      <c r="Z144" t="s">
        <v>350</v>
      </c>
      <c r="AA144" t="s">
        <v>350</v>
      </c>
      <c r="AC144" t="s">
        <v>353</v>
      </c>
      <c r="AD144" t="s">
        <v>356</v>
      </c>
      <c r="AE144" t="s">
        <v>367</v>
      </c>
      <c r="AF144">
        <v>2018</v>
      </c>
      <c r="AG144">
        <v>901</v>
      </c>
      <c r="AH144">
        <v>901</v>
      </c>
      <c r="AI144">
        <v>19.7</v>
      </c>
      <c r="AJ144" t="s">
        <v>2645</v>
      </c>
      <c r="AK144" t="s">
        <v>2918</v>
      </c>
      <c r="AL144" t="s">
        <v>3085</v>
      </c>
      <c r="AM144">
        <v>54</v>
      </c>
      <c r="AN144" t="s">
        <v>495</v>
      </c>
      <c r="AO144">
        <v>1</v>
      </c>
      <c r="AP144">
        <v>3</v>
      </c>
      <c r="AQ144">
        <v>131.47</v>
      </c>
      <c r="AT144" t="s">
        <v>501</v>
      </c>
      <c r="AU144" t="s">
        <v>503</v>
      </c>
      <c r="AV144" t="s">
        <v>509</v>
      </c>
      <c r="AW144">
        <v>33000</v>
      </c>
      <c r="BA144" t="s">
        <v>522</v>
      </c>
      <c r="BB144" t="s">
        <v>535</v>
      </c>
      <c r="BC144" t="s">
        <v>3354</v>
      </c>
      <c r="BD144" t="s">
        <v>537</v>
      </c>
      <c r="BE144" t="s">
        <v>3444</v>
      </c>
    </row>
    <row r="145" spans="1:58">
      <c r="A145" s="1">
        <f>HYPERLINK("https://lsnyc.legalserver.org/matter/dynamic-profile/view/1877836","18-1877836")</f>
        <v>0</v>
      </c>
      <c r="E145" t="s">
        <v>381</v>
      </c>
      <c r="F145" t="s">
        <v>59</v>
      </c>
      <c r="G145" t="s">
        <v>80</v>
      </c>
      <c r="H145" t="s">
        <v>730</v>
      </c>
      <c r="J145" t="s">
        <v>953</v>
      </c>
      <c r="K145" t="s">
        <v>1271</v>
      </c>
      <c r="L145" t="s">
        <v>1608</v>
      </c>
      <c r="M145" t="s">
        <v>261</v>
      </c>
      <c r="N145" t="s">
        <v>288</v>
      </c>
      <c r="O145" t="s">
        <v>289</v>
      </c>
      <c r="P145">
        <v>11207</v>
      </c>
      <c r="Q145" t="s">
        <v>290</v>
      </c>
      <c r="R145" t="s">
        <v>290</v>
      </c>
      <c r="S145" t="s">
        <v>295</v>
      </c>
      <c r="T145" t="s">
        <v>2173</v>
      </c>
      <c r="U145">
        <v>20</v>
      </c>
      <c r="V145" t="s">
        <v>339</v>
      </c>
      <c r="W145" t="s">
        <v>346</v>
      </c>
      <c r="Y145" t="s">
        <v>349</v>
      </c>
      <c r="Z145" t="s">
        <v>350</v>
      </c>
      <c r="AC145" t="s">
        <v>353</v>
      </c>
      <c r="AD145" t="s">
        <v>356</v>
      </c>
      <c r="AE145" t="s">
        <v>367</v>
      </c>
      <c r="AF145">
        <v>2018</v>
      </c>
      <c r="AG145">
        <v>0</v>
      </c>
      <c r="AH145">
        <v>886</v>
      </c>
      <c r="AI145">
        <v>15.7</v>
      </c>
      <c r="AJ145" t="s">
        <v>2646</v>
      </c>
      <c r="AL145" t="s">
        <v>3086</v>
      </c>
      <c r="AM145">
        <v>39</v>
      </c>
      <c r="AN145" t="s">
        <v>495</v>
      </c>
      <c r="AO145">
        <v>3</v>
      </c>
      <c r="AP145">
        <v>2</v>
      </c>
      <c r="AQ145">
        <v>164.69</v>
      </c>
      <c r="AT145" t="s">
        <v>501</v>
      </c>
      <c r="AV145" t="s">
        <v>508</v>
      </c>
      <c r="AW145">
        <v>48452</v>
      </c>
      <c r="BA145" t="s">
        <v>522</v>
      </c>
      <c r="BB145" t="s">
        <v>535</v>
      </c>
      <c r="BC145" t="s">
        <v>3354</v>
      </c>
      <c r="BD145" t="s">
        <v>3393</v>
      </c>
      <c r="BE145" t="s">
        <v>766</v>
      </c>
    </row>
    <row r="146" spans="1:58">
      <c r="A146" s="1">
        <f>HYPERLINK("https://lsnyc.legalserver.org/matter/dynamic-profile/view/1884953","18-1884953")</f>
        <v>0</v>
      </c>
      <c r="E146" t="s">
        <v>381</v>
      </c>
      <c r="F146" t="s">
        <v>59</v>
      </c>
      <c r="G146" t="s">
        <v>80</v>
      </c>
      <c r="H146" t="s">
        <v>660</v>
      </c>
      <c r="J146" t="s">
        <v>954</v>
      </c>
      <c r="K146" t="s">
        <v>1272</v>
      </c>
      <c r="L146" t="s">
        <v>1609</v>
      </c>
      <c r="M146" t="s">
        <v>1920</v>
      </c>
      <c r="N146" t="s">
        <v>288</v>
      </c>
      <c r="O146" t="s">
        <v>289</v>
      </c>
      <c r="P146">
        <v>11208</v>
      </c>
      <c r="Q146" t="s">
        <v>290</v>
      </c>
      <c r="R146" t="s">
        <v>291</v>
      </c>
      <c r="S146" t="s">
        <v>295</v>
      </c>
      <c r="T146" t="s">
        <v>2174</v>
      </c>
      <c r="U146">
        <v>27</v>
      </c>
      <c r="V146" t="s">
        <v>339</v>
      </c>
      <c r="W146" t="s">
        <v>346</v>
      </c>
      <c r="Y146" t="s">
        <v>349</v>
      </c>
      <c r="Z146" t="s">
        <v>350</v>
      </c>
      <c r="AC146" t="s">
        <v>353</v>
      </c>
      <c r="AD146" t="s">
        <v>356</v>
      </c>
      <c r="AE146" t="s">
        <v>2486</v>
      </c>
      <c r="AF146">
        <v>2018</v>
      </c>
      <c r="AG146">
        <v>0</v>
      </c>
      <c r="AH146">
        <v>768</v>
      </c>
      <c r="AI146">
        <v>8.300000000000001</v>
      </c>
      <c r="AJ146" t="s">
        <v>2647</v>
      </c>
      <c r="AL146" t="s">
        <v>3087</v>
      </c>
      <c r="AM146">
        <v>63</v>
      </c>
      <c r="AO146">
        <v>1</v>
      </c>
      <c r="AP146">
        <v>0</v>
      </c>
      <c r="AQ146">
        <v>178.19</v>
      </c>
      <c r="AT146" t="s">
        <v>500</v>
      </c>
      <c r="AU146" t="s">
        <v>503</v>
      </c>
      <c r="AV146" t="s">
        <v>508</v>
      </c>
      <c r="AW146">
        <v>21632</v>
      </c>
      <c r="BA146" t="s">
        <v>628</v>
      </c>
      <c r="BD146" t="s">
        <v>537</v>
      </c>
      <c r="BE146" t="s">
        <v>769</v>
      </c>
    </row>
    <row r="147" spans="1:58">
      <c r="A147" s="1">
        <f>HYPERLINK("https://lsnyc.legalserver.org/matter/dynamic-profile/view/1885117","18-1885117")</f>
        <v>0</v>
      </c>
      <c r="E147" t="s">
        <v>381</v>
      </c>
      <c r="F147" t="s">
        <v>74</v>
      </c>
      <c r="G147" t="s">
        <v>80</v>
      </c>
      <c r="H147" t="s">
        <v>731</v>
      </c>
      <c r="J147" t="s">
        <v>139</v>
      </c>
      <c r="K147" t="s">
        <v>1273</v>
      </c>
      <c r="L147" t="s">
        <v>1610</v>
      </c>
      <c r="M147" t="s">
        <v>1919</v>
      </c>
      <c r="N147" t="s">
        <v>288</v>
      </c>
      <c r="O147" t="s">
        <v>289</v>
      </c>
      <c r="P147">
        <v>11225</v>
      </c>
      <c r="Q147" t="s">
        <v>290</v>
      </c>
      <c r="R147" t="s">
        <v>290</v>
      </c>
      <c r="S147" t="s">
        <v>292</v>
      </c>
      <c r="T147" t="s">
        <v>2175</v>
      </c>
      <c r="U147">
        <v>4</v>
      </c>
      <c r="V147" t="s">
        <v>339</v>
      </c>
      <c r="W147" t="s">
        <v>346</v>
      </c>
      <c r="Y147" t="s">
        <v>348</v>
      </c>
      <c r="Z147" t="s">
        <v>350</v>
      </c>
      <c r="AC147" t="s">
        <v>352</v>
      </c>
      <c r="AE147" t="s">
        <v>368</v>
      </c>
      <c r="AF147">
        <v>2018</v>
      </c>
      <c r="AG147">
        <v>0</v>
      </c>
      <c r="AH147">
        <v>1406</v>
      </c>
      <c r="AI147">
        <v>29.8</v>
      </c>
      <c r="AJ147" t="s">
        <v>2648</v>
      </c>
      <c r="AL147" t="s">
        <v>3088</v>
      </c>
      <c r="AM147">
        <v>55</v>
      </c>
      <c r="AO147">
        <v>2</v>
      </c>
      <c r="AP147">
        <v>0</v>
      </c>
      <c r="AQ147">
        <v>164.03</v>
      </c>
      <c r="AT147" t="s">
        <v>500</v>
      </c>
      <c r="AV147" t="s">
        <v>508</v>
      </c>
      <c r="AW147">
        <v>27000</v>
      </c>
      <c r="BA147" t="s">
        <v>522</v>
      </c>
      <c r="BD147" t="s">
        <v>537</v>
      </c>
      <c r="BE147" t="s">
        <v>586</v>
      </c>
      <c r="BF147" t="s">
        <v>600</v>
      </c>
    </row>
    <row r="148" spans="1:58">
      <c r="A148" s="1">
        <f>HYPERLINK("https://lsnyc.legalserver.org/matter/dynamic-profile/view/1884970","18-1884970")</f>
        <v>0</v>
      </c>
      <c r="E148" t="s">
        <v>381</v>
      </c>
      <c r="F148" t="s">
        <v>75</v>
      </c>
      <c r="G148" t="s">
        <v>80</v>
      </c>
      <c r="H148" t="s">
        <v>732</v>
      </c>
      <c r="J148" t="s">
        <v>929</v>
      </c>
      <c r="K148" t="s">
        <v>1274</v>
      </c>
      <c r="L148" t="s">
        <v>1611</v>
      </c>
      <c r="M148" t="s">
        <v>1872</v>
      </c>
      <c r="N148" t="s">
        <v>288</v>
      </c>
      <c r="O148" t="s">
        <v>289</v>
      </c>
      <c r="P148">
        <v>11203</v>
      </c>
      <c r="Q148" t="s">
        <v>290</v>
      </c>
      <c r="R148" t="s">
        <v>290</v>
      </c>
      <c r="S148" t="s">
        <v>2030</v>
      </c>
      <c r="T148" t="s">
        <v>2176</v>
      </c>
      <c r="U148">
        <v>7</v>
      </c>
      <c r="V148" t="s">
        <v>340</v>
      </c>
      <c r="W148" t="s">
        <v>346</v>
      </c>
      <c r="Y148" t="s">
        <v>349</v>
      </c>
      <c r="Z148" t="s">
        <v>350</v>
      </c>
      <c r="AC148" t="s">
        <v>352</v>
      </c>
      <c r="AD148" t="s">
        <v>2443</v>
      </c>
      <c r="AE148" t="s">
        <v>2487</v>
      </c>
      <c r="AF148">
        <v>2018</v>
      </c>
      <c r="AG148">
        <v>0</v>
      </c>
      <c r="AH148">
        <v>1000</v>
      </c>
      <c r="AI148">
        <v>9.199999999999999</v>
      </c>
      <c r="AJ148" t="s">
        <v>2649</v>
      </c>
      <c r="AL148" t="s">
        <v>3089</v>
      </c>
      <c r="AM148">
        <v>42</v>
      </c>
      <c r="AN148" t="s">
        <v>493</v>
      </c>
      <c r="AO148">
        <v>1</v>
      </c>
      <c r="AP148">
        <v>2</v>
      </c>
      <c r="AQ148">
        <v>205.2</v>
      </c>
      <c r="AT148" t="s">
        <v>502</v>
      </c>
      <c r="AV148" t="s">
        <v>508</v>
      </c>
      <c r="AW148">
        <v>42640</v>
      </c>
      <c r="BA148" t="s">
        <v>3346</v>
      </c>
      <c r="BD148" t="s">
        <v>3372</v>
      </c>
      <c r="BE148" t="s">
        <v>774</v>
      </c>
    </row>
    <row r="149" spans="1:58">
      <c r="A149" s="1">
        <f>HYPERLINK("https://lsnyc.legalserver.org/matter/dynamic-profile/view/1886125","18-1886125")</f>
        <v>0</v>
      </c>
      <c r="E149" t="s">
        <v>381</v>
      </c>
      <c r="F149" t="s">
        <v>633</v>
      </c>
      <c r="G149" t="s">
        <v>80</v>
      </c>
      <c r="H149" t="s">
        <v>733</v>
      </c>
      <c r="J149" t="s">
        <v>936</v>
      </c>
      <c r="K149" t="s">
        <v>1254</v>
      </c>
      <c r="L149" t="s">
        <v>1590</v>
      </c>
      <c r="M149" t="s">
        <v>1921</v>
      </c>
      <c r="N149" t="s">
        <v>288</v>
      </c>
      <c r="O149" t="s">
        <v>289</v>
      </c>
      <c r="P149">
        <v>11225</v>
      </c>
      <c r="Q149" t="s">
        <v>290</v>
      </c>
      <c r="R149" t="s">
        <v>290</v>
      </c>
      <c r="S149" t="s">
        <v>2032</v>
      </c>
      <c r="T149" t="s">
        <v>2177</v>
      </c>
      <c r="U149">
        <v>6</v>
      </c>
      <c r="V149" t="s">
        <v>339</v>
      </c>
      <c r="W149" t="s">
        <v>346</v>
      </c>
      <c r="Y149" t="s">
        <v>348</v>
      </c>
      <c r="Z149" t="s">
        <v>350</v>
      </c>
      <c r="AA149" t="s">
        <v>290</v>
      </c>
      <c r="AB149" t="s">
        <v>351</v>
      </c>
      <c r="AC149" t="s">
        <v>352</v>
      </c>
      <c r="AD149" t="s">
        <v>356</v>
      </c>
      <c r="AE149" t="s">
        <v>2488</v>
      </c>
      <c r="AF149">
        <v>2018</v>
      </c>
      <c r="AG149">
        <v>0</v>
      </c>
      <c r="AH149">
        <v>1526.3</v>
      </c>
      <c r="AI149">
        <v>23.5</v>
      </c>
      <c r="AJ149" t="s">
        <v>2627</v>
      </c>
      <c r="AM149">
        <v>0</v>
      </c>
      <c r="AN149" t="s">
        <v>493</v>
      </c>
      <c r="AO149">
        <v>1</v>
      </c>
      <c r="AP149">
        <v>1</v>
      </c>
      <c r="AQ149">
        <v>131.23</v>
      </c>
      <c r="AU149" t="s">
        <v>503</v>
      </c>
      <c r="AW149">
        <v>21600</v>
      </c>
      <c r="BA149" t="s">
        <v>3343</v>
      </c>
      <c r="BB149" t="s">
        <v>3350</v>
      </c>
      <c r="BD149" t="s">
        <v>3394</v>
      </c>
      <c r="BE149" t="s">
        <v>3439</v>
      </c>
    </row>
    <row r="150" spans="1:58">
      <c r="A150" s="1">
        <f>HYPERLINK("https://lsnyc.legalserver.org/matter/dynamic-profile/view/1888596","19-1888596")</f>
        <v>0</v>
      </c>
      <c r="E150" t="s">
        <v>381</v>
      </c>
      <c r="F150" t="s">
        <v>629</v>
      </c>
      <c r="G150" t="s">
        <v>80</v>
      </c>
      <c r="H150" t="s">
        <v>734</v>
      </c>
      <c r="J150" t="s">
        <v>955</v>
      </c>
      <c r="K150" t="s">
        <v>950</v>
      </c>
      <c r="L150" t="s">
        <v>1612</v>
      </c>
      <c r="M150" t="s">
        <v>1888</v>
      </c>
      <c r="N150" t="s">
        <v>288</v>
      </c>
      <c r="O150" t="s">
        <v>289</v>
      </c>
      <c r="P150">
        <v>11226</v>
      </c>
      <c r="Q150" t="s">
        <v>290</v>
      </c>
      <c r="R150" t="s">
        <v>290</v>
      </c>
      <c r="S150" t="s">
        <v>292</v>
      </c>
      <c r="T150" t="s">
        <v>2178</v>
      </c>
      <c r="U150">
        <v>28</v>
      </c>
      <c r="V150" t="s">
        <v>340</v>
      </c>
      <c r="W150" t="s">
        <v>346</v>
      </c>
      <c r="Y150" t="s">
        <v>348</v>
      </c>
      <c r="Z150" t="s">
        <v>350</v>
      </c>
      <c r="AA150" t="s">
        <v>350</v>
      </c>
      <c r="AC150" t="s">
        <v>352</v>
      </c>
      <c r="AD150" t="s">
        <v>356</v>
      </c>
      <c r="AE150" t="s">
        <v>2489</v>
      </c>
      <c r="AF150">
        <v>2018</v>
      </c>
      <c r="AG150">
        <v>0</v>
      </c>
      <c r="AH150">
        <v>965</v>
      </c>
      <c r="AI150">
        <v>63.8</v>
      </c>
      <c r="AJ150" t="s">
        <v>2650</v>
      </c>
      <c r="AK150" t="s">
        <v>503</v>
      </c>
      <c r="AL150" t="s">
        <v>3090</v>
      </c>
      <c r="AM150">
        <v>20</v>
      </c>
      <c r="AN150" t="s">
        <v>493</v>
      </c>
      <c r="AO150">
        <v>4</v>
      </c>
      <c r="AP150">
        <v>0</v>
      </c>
      <c r="AQ150">
        <v>75.73</v>
      </c>
      <c r="AT150" t="s">
        <v>500</v>
      </c>
      <c r="AU150" t="s">
        <v>503</v>
      </c>
      <c r="AV150" t="s">
        <v>508</v>
      </c>
      <c r="AW150">
        <v>19500</v>
      </c>
      <c r="BA150" t="s">
        <v>3342</v>
      </c>
      <c r="BD150" t="s">
        <v>537</v>
      </c>
      <c r="BE150" t="s">
        <v>806</v>
      </c>
    </row>
    <row r="151" spans="1:58">
      <c r="A151" s="1">
        <f>HYPERLINK("https://lsnyc.legalserver.org/matter/dynamic-profile/view/1871895","18-1871895")</f>
        <v>0</v>
      </c>
      <c r="E151" t="s">
        <v>381</v>
      </c>
      <c r="F151" t="s">
        <v>620</v>
      </c>
      <c r="G151" t="s">
        <v>80</v>
      </c>
      <c r="H151" t="s">
        <v>735</v>
      </c>
      <c r="J151" t="s">
        <v>956</v>
      </c>
      <c r="K151" t="s">
        <v>1275</v>
      </c>
      <c r="L151" t="s">
        <v>1613</v>
      </c>
      <c r="M151" t="s">
        <v>263</v>
      </c>
      <c r="N151" t="s">
        <v>288</v>
      </c>
      <c r="O151" t="s">
        <v>289</v>
      </c>
      <c r="P151">
        <v>11236</v>
      </c>
      <c r="Q151" t="s">
        <v>290</v>
      </c>
      <c r="R151" t="s">
        <v>290</v>
      </c>
      <c r="S151" t="s">
        <v>2034</v>
      </c>
      <c r="T151" t="s">
        <v>2179</v>
      </c>
      <c r="U151">
        <v>23</v>
      </c>
      <c r="V151" t="s">
        <v>340</v>
      </c>
      <c r="W151" t="s">
        <v>346</v>
      </c>
      <c r="Y151" t="s">
        <v>349</v>
      </c>
      <c r="Z151" t="s">
        <v>350</v>
      </c>
      <c r="AA151" t="s">
        <v>350</v>
      </c>
      <c r="AC151" t="s">
        <v>353</v>
      </c>
      <c r="AD151" t="s">
        <v>356</v>
      </c>
      <c r="AE151" t="s">
        <v>2449</v>
      </c>
      <c r="AF151">
        <v>2019</v>
      </c>
      <c r="AG151">
        <v>241</v>
      </c>
      <c r="AH151">
        <v>241.6</v>
      </c>
      <c r="AI151">
        <v>21.4</v>
      </c>
      <c r="AJ151" t="s">
        <v>2651</v>
      </c>
      <c r="AL151" t="s">
        <v>3091</v>
      </c>
      <c r="AM151">
        <v>424</v>
      </c>
      <c r="AN151" t="s">
        <v>495</v>
      </c>
      <c r="AO151">
        <v>1</v>
      </c>
      <c r="AP151">
        <v>0</v>
      </c>
      <c r="AQ151">
        <v>131.96</v>
      </c>
      <c r="AT151" t="s">
        <v>500</v>
      </c>
      <c r="AU151" t="s">
        <v>503</v>
      </c>
      <c r="AV151" t="s">
        <v>508</v>
      </c>
      <c r="AW151">
        <v>16020</v>
      </c>
      <c r="AY151" t="s">
        <v>290</v>
      </c>
      <c r="BA151" t="s">
        <v>528</v>
      </c>
      <c r="BD151" t="s">
        <v>554</v>
      </c>
      <c r="BE151" t="s">
        <v>807</v>
      </c>
      <c r="BF151" t="s">
        <v>600</v>
      </c>
    </row>
    <row r="152" spans="1:58">
      <c r="A152" s="1">
        <f>HYPERLINK("https://lsnyc.legalserver.org/matter/dynamic-profile/view/1880025","18-1880025")</f>
        <v>0</v>
      </c>
      <c r="E152" t="s">
        <v>381</v>
      </c>
      <c r="F152" t="s">
        <v>63</v>
      </c>
      <c r="G152" t="s">
        <v>80</v>
      </c>
      <c r="H152" t="s">
        <v>736</v>
      </c>
      <c r="J152" t="s">
        <v>957</v>
      </c>
      <c r="K152" t="s">
        <v>1276</v>
      </c>
      <c r="L152" t="s">
        <v>1614</v>
      </c>
      <c r="M152" t="s">
        <v>1922</v>
      </c>
      <c r="N152" t="s">
        <v>288</v>
      </c>
      <c r="O152" t="s">
        <v>289</v>
      </c>
      <c r="P152">
        <v>11236</v>
      </c>
      <c r="Q152" t="s">
        <v>290</v>
      </c>
      <c r="R152" t="s">
        <v>290</v>
      </c>
      <c r="S152" t="s">
        <v>295</v>
      </c>
      <c r="T152" t="s">
        <v>2180</v>
      </c>
      <c r="U152">
        <v>2</v>
      </c>
      <c r="V152" t="s">
        <v>340</v>
      </c>
      <c r="W152" t="s">
        <v>346</v>
      </c>
      <c r="Y152" t="s">
        <v>349</v>
      </c>
      <c r="Z152" t="s">
        <v>350</v>
      </c>
      <c r="AC152" t="s">
        <v>352</v>
      </c>
      <c r="AE152" t="s">
        <v>2449</v>
      </c>
      <c r="AF152">
        <v>2019</v>
      </c>
      <c r="AG152">
        <v>215</v>
      </c>
      <c r="AH152">
        <v>800</v>
      </c>
      <c r="AI152">
        <v>9.4</v>
      </c>
      <c r="AJ152" t="s">
        <v>2652</v>
      </c>
      <c r="AM152">
        <v>2</v>
      </c>
      <c r="AO152">
        <v>1</v>
      </c>
      <c r="AP152">
        <v>0</v>
      </c>
      <c r="AQ152">
        <v>78.68000000000001</v>
      </c>
      <c r="AT152" t="s">
        <v>500</v>
      </c>
      <c r="AU152" t="s">
        <v>505</v>
      </c>
      <c r="AV152" t="s">
        <v>508</v>
      </c>
      <c r="AW152">
        <v>9552</v>
      </c>
      <c r="BA152" t="s">
        <v>3341</v>
      </c>
      <c r="BD152" t="s">
        <v>538</v>
      </c>
      <c r="BE152" t="s">
        <v>3445</v>
      </c>
    </row>
    <row r="153" spans="1:58">
      <c r="A153" s="1">
        <f>HYPERLINK("https://lsnyc.legalserver.org/matter/dynamic-profile/view/1881825","18-1881825")</f>
        <v>0</v>
      </c>
      <c r="E153" t="s">
        <v>381</v>
      </c>
      <c r="F153" t="s">
        <v>63</v>
      </c>
      <c r="G153" t="s">
        <v>80</v>
      </c>
      <c r="H153" t="s">
        <v>690</v>
      </c>
      <c r="J153" t="s">
        <v>957</v>
      </c>
      <c r="K153" t="s">
        <v>1276</v>
      </c>
      <c r="L153" t="s">
        <v>1614</v>
      </c>
      <c r="M153" t="s">
        <v>1922</v>
      </c>
      <c r="N153" t="s">
        <v>288</v>
      </c>
      <c r="O153" t="s">
        <v>289</v>
      </c>
      <c r="P153">
        <v>11236</v>
      </c>
      <c r="Q153" t="s">
        <v>290</v>
      </c>
      <c r="R153" t="s">
        <v>290</v>
      </c>
      <c r="S153" t="s">
        <v>295</v>
      </c>
      <c r="T153" t="s">
        <v>2181</v>
      </c>
      <c r="U153">
        <v>2</v>
      </c>
      <c r="V153" t="s">
        <v>340</v>
      </c>
      <c r="W153" t="s">
        <v>346</v>
      </c>
      <c r="Y153" t="s">
        <v>349</v>
      </c>
      <c r="Z153" t="s">
        <v>350</v>
      </c>
      <c r="AC153" t="s">
        <v>352</v>
      </c>
      <c r="AE153" t="s">
        <v>2449</v>
      </c>
      <c r="AF153">
        <v>2019</v>
      </c>
      <c r="AG153">
        <v>215</v>
      </c>
      <c r="AH153">
        <v>800</v>
      </c>
      <c r="AI153">
        <v>15.65</v>
      </c>
      <c r="AJ153" t="s">
        <v>2652</v>
      </c>
      <c r="AM153">
        <v>2</v>
      </c>
      <c r="AO153">
        <v>1</v>
      </c>
      <c r="AP153">
        <v>0</v>
      </c>
      <c r="AQ153">
        <v>78.68000000000001</v>
      </c>
      <c r="AT153" t="s">
        <v>500</v>
      </c>
      <c r="AU153" t="s">
        <v>505</v>
      </c>
      <c r="AV153" t="s">
        <v>508</v>
      </c>
      <c r="AW153">
        <v>9552</v>
      </c>
      <c r="BA153" t="s">
        <v>3341</v>
      </c>
      <c r="BD153" t="s">
        <v>538</v>
      </c>
      <c r="BE153" t="s">
        <v>764</v>
      </c>
    </row>
    <row r="154" spans="1:58">
      <c r="A154" s="1">
        <f>HYPERLINK("https://lsnyc.legalserver.org/matter/dynamic-profile/view/1880017","18-1880017")</f>
        <v>0</v>
      </c>
      <c r="E154" t="s">
        <v>381</v>
      </c>
      <c r="F154" t="s">
        <v>63</v>
      </c>
      <c r="G154" t="s">
        <v>80</v>
      </c>
      <c r="H154" t="s">
        <v>736</v>
      </c>
      <c r="J154" t="s">
        <v>958</v>
      </c>
      <c r="K154" t="s">
        <v>1277</v>
      </c>
      <c r="L154" t="s">
        <v>1615</v>
      </c>
      <c r="M154" t="s">
        <v>281</v>
      </c>
      <c r="N154" t="s">
        <v>288</v>
      </c>
      <c r="O154" t="s">
        <v>289</v>
      </c>
      <c r="P154">
        <v>11230</v>
      </c>
      <c r="Q154" t="s">
        <v>290</v>
      </c>
      <c r="R154" t="s">
        <v>290</v>
      </c>
      <c r="S154" t="s">
        <v>295</v>
      </c>
      <c r="T154" t="s">
        <v>2182</v>
      </c>
      <c r="U154">
        <v>4</v>
      </c>
      <c r="V154" t="s">
        <v>340</v>
      </c>
      <c r="W154" t="s">
        <v>346</v>
      </c>
      <c r="Y154" t="s">
        <v>349</v>
      </c>
      <c r="Z154" t="s">
        <v>350</v>
      </c>
      <c r="AC154" t="s">
        <v>352</v>
      </c>
      <c r="AE154" t="s">
        <v>2449</v>
      </c>
      <c r="AF154">
        <v>2019</v>
      </c>
      <c r="AG154">
        <v>500</v>
      </c>
      <c r="AH154">
        <v>1400</v>
      </c>
      <c r="AI154">
        <v>28.15</v>
      </c>
      <c r="AJ154" t="s">
        <v>2653</v>
      </c>
      <c r="AL154" t="s">
        <v>3092</v>
      </c>
      <c r="AM154">
        <v>0</v>
      </c>
      <c r="AO154">
        <v>3</v>
      </c>
      <c r="AP154">
        <v>1</v>
      </c>
      <c r="AQ154">
        <v>41.59</v>
      </c>
      <c r="AT154" t="s">
        <v>501</v>
      </c>
      <c r="AU154" t="s">
        <v>3331</v>
      </c>
      <c r="AV154" t="s">
        <v>508</v>
      </c>
      <c r="AW154">
        <v>10440</v>
      </c>
      <c r="BA154" t="s">
        <v>3341</v>
      </c>
      <c r="BD154" t="s">
        <v>541</v>
      </c>
      <c r="BE154" t="s">
        <v>3431</v>
      </c>
    </row>
    <row r="155" spans="1:58">
      <c r="A155" s="1">
        <f>HYPERLINK("https://lsnyc.legalserver.org/matter/dynamic-profile/view/1882424","18-1882424")</f>
        <v>0</v>
      </c>
      <c r="E155" t="s">
        <v>381</v>
      </c>
      <c r="F155" t="s">
        <v>628</v>
      </c>
      <c r="G155" t="s">
        <v>80</v>
      </c>
      <c r="H155" t="s">
        <v>685</v>
      </c>
      <c r="J155" t="s">
        <v>959</v>
      </c>
      <c r="K155" t="s">
        <v>1278</v>
      </c>
      <c r="L155" t="s">
        <v>1616</v>
      </c>
      <c r="M155" t="s">
        <v>1857</v>
      </c>
      <c r="N155" t="s">
        <v>288</v>
      </c>
      <c r="O155" t="s">
        <v>289</v>
      </c>
      <c r="P155">
        <v>11226</v>
      </c>
      <c r="Q155" t="s">
        <v>290</v>
      </c>
      <c r="R155" t="s">
        <v>290</v>
      </c>
      <c r="S155" t="s">
        <v>295</v>
      </c>
      <c r="T155" t="s">
        <v>2183</v>
      </c>
      <c r="U155">
        <v>40</v>
      </c>
      <c r="V155" t="s">
        <v>340</v>
      </c>
      <c r="W155" t="s">
        <v>346</v>
      </c>
      <c r="Y155" t="s">
        <v>348</v>
      </c>
      <c r="Z155" t="s">
        <v>350</v>
      </c>
      <c r="AA155" t="s">
        <v>350</v>
      </c>
      <c r="AC155" t="s">
        <v>352</v>
      </c>
      <c r="AD155" t="s">
        <v>2444</v>
      </c>
      <c r="AE155" t="s">
        <v>2449</v>
      </c>
      <c r="AF155">
        <v>2019</v>
      </c>
      <c r="AG155">
        <v>0</v>
      </c>
      <c r="AH155">
        <v>1418</v>
      </c>
      <c r="AI155">
        <v>65.8</v>
      </c>
      <c r="AJ155" t="s">
        <v>2654</v>
      </c>
      <c r="AL155" t="s">
        <v>3093</v>
      </c>
      <c r="AM155">
        <v>8</v>
      </c>
      <c r="AN155" t="s">
        <v>493</v>
      </c>
      <c r="AO155">
        <v>1</v>
      </c>
      <c r="AP155">
        <v>0</v>
      </c>
      <c r="AQ155">
        <v>153.99</v>
      </c>
      <c r="AT155" t="s">
        <v>500</v>
      </c>
      <c r="AU155" t="s">
        <v>503</v>
      </c>
      <c r="AW155">
        <v>18694</v>
      </c>
      <c r="BA155" t="s">
        <v>3341</v>
      </c>
      <c r="BD155" t="s">
        <v>537</v>
      </c>
      <c r="BE155" t="s">
        <v>581</v>
      </c>
    </row>
    <row r="156" spans="1:58">
      <c r="A156" s="1">
        <f>HYPERLINK("https://lsnyc.legalserver.org/matter/dynamic-profile/view/1882880","18-1882880")</f>
        <v>0</v>
      </c>
      <c r="E156" t="s">
        <v>381</v>
      </c>
      <c r="F156" t="s">
        <v>63</v>
      </c>
      <c r="G156" t="s">
        <v>80</v>
      </c>
      <c r="H156" t="s">
        <v>737</v>
      </c>
      <c r="J156" t="s">
        <v>960</v>
      </c>
      <c r="K156" t="s">
        <v>1279</v>
      </c>
      <c r="L156" t="s">
        <v>1617</v>
      </c>
      <c r="N156" t="s">
        <v>288</v>
      </c>
      <c r="O156" t="s">
        <v>289</v>
      </c>
      <c r="P156">
        <v>11225</v>
      </c>
      <c r="Q156" t="s">
        <v>290</v>
      </c>
      <c r="R156" t="s">
        <v>290</v>
      </c>
      <c r="S156" t="s">
        <v>292</v>
      </c>
      <c r="T156" t="s">
        <v>2184</v>
      </c>
      <c r="U156">
        <v>33</v>
      </c>
      <c r="V156" t="s">
        <v>340</v>
      </c>
      <c r="W156" t="s">
        <v>346</v>
      </c>
      <c r="Y156" t="s">
        <v>348</v>
      </c>
      <c r="Z156" t="s">
        <v>350</v>
      </c>
      <c r="AC156" t="s">
        <v>352</v>
      </c>
      <c r="AE156" t="s">
        <v>2449</v>
      </c>
      <c r="AF156">
        <v>2019</v>
      </c>
      <c r="AG156">
        <v>0</v>
      </c>
      <c r="AH156">
        <v>865</v>
      </c>
      <c r="AI156">
        <v>6.65</v>
      </c>
      <c r="AJ156" t="s">
        <v>2564</v>
      </c>
      <c r="AL156" t="s">
        <v>3094</v>
      </c>
      <c r="AM156">
        <v>2</v>
      </c>
      <c r="AO156">
        <v>2</v>
      </c>
      <c r="AP156">
        <v>2</v>
      </c>
      <c r="AQ156">
        <v>0</v>
      </c>
      <c r="AT156" t="s">
        <v>501</v>
      </c>
      <c r="AU156" t="s">
        <v>503</v>
      </c>
      <c r="AV156" t="s">
        <v>508</v>
      </c>
      <c r="AW156">
        <v>0</v>
      </c>
      <c r="BA156" t="s">
        <v>3341</v>
      </c>
      <c r="BD156" t="s">
        <v>3368</v>
      </c>
      <c r="BE156" t="s">
        <v>738</v>
      </c>
    </row>
    <row r="157" spans="1:58">
      <c r="A157" s="1">
        <f>HYPERLINK("https://lsnyc.legalserver.org/matter/dynamic-profile/view/1885678","18-1885678")</f>
        <v>0</v>
      </c>
      <c r="E157" t="s">
        <v>381</v>
      </c>
      <c r="F157" t="s">
        <v>63</v>
      </c>
      <c r="G157" t="s">
        <v>80</v>
      </c>
      <c r="H157" t="s">
        <v>738</v>
      </c>
      <c r="J157" t="s">
        <v>961</v>
      </c>
      <c r="K157" t="s">
        <v>1280</v>
      </c>
      <c r="L157" t="s">
        <v>1618</v>
      </c>
      <c r="M157" t="s">
        <v>1862</v>
      </c>
      <c r="N157" t="s">
        <v>288</v>
      </c>
      <c r="O157" t="s">
        <v>289</v>
      </c>
      <c r="P157">
        <v>11225</v>
      </c>
      <c r="Q157" t="s">
        <v>290</v>
      </c>
      <c r="R157" t="s">
        <v>290</v>
      </c>
      <c r="S157" t="s">
        <v>292</v>
      </c>
      <c r="T157" t="s">
        <v>2185</v>
      </c>
      <c r="U157">
        <v>28</v>
      </c>
      <c r="V157" t="s">
        <v>340</v>
      </c>
      <c r="W157" t="s">
        <v>346</v>
      </c>
      <c r="Y157" t="s">
        <v>348</v>
      </c>
      <c r="Z157" t="s">
        <v>350</v>
      </c>
      <c r="AC157" t="s">
        <v>352</v>
      </c>
      <c r="AE157" t="s">
        <v>2449</v>
      </c>
      <c r="AF157">
        <v>2019</v>
      </c>
      <c r="AG157">
        <v>0</v>
      </c>
      <c r="AH157">
        <v>1123.35</v>
      </c>
      <c r="AI157">
        <v>23.8</v>
      </c>
      <c r="AJ157" t="s">
        <v>2655</v>
      </c>
      <c r="AL157" t="s">
        <v>3095</v>
      </c>
      <c r="AM157">
        <v>0</v>
      </c>
      <c r="AO157">
        <v>4</v>
      </c>
      <c r="AP157">
        <v>3</v>
      </c>
      <c r="AQ157">
        <v>135.53</v>
      </c>
      <c r="AT157" t="s">
        <v>501</v>
      </c>
      <c r="AU157" t="s">
        <v>503</v>
      </c>
      <c r="AV157" t="s">
        <v>508</v>
      </c>
      <c r="AW157">
        <v>51584</v>
      </c>
      <c r="BA157" t="s">
        <v>522</v>
      </c>
      <c r="BD157" t="s">
        <v>3395</v>
      </c>
      <c r="BE157" t="s">
        <v>3446</v>
      </c>
    </row>
    <row r="158" spans="1:58">
      <c r="A158" s="1">
        <f>HYPERLINK("https://lsnyc.legalserver.org/matter/dynamic-profile/view/1885704","18-1885704")</f>
        <v>0</v>
      </c>
      <c r="E158" t="s">
        <v>381</v>
      </c>
      <c r="F158" t="s">
        <v>63</v>
      </c>
      <c r="G158" t="s">
        <v>80</v>
      </c>
      <c r="H158" t="s">
        <v>738</v>
      </c>
      <c r="J158" t="s">
        <v>962</v>
      </c>
      <c r="K158" t="s">
        <v>1281</v>
      </c>
      <c r="L158" t="s">
        <v>1619</v>
      </c>
      <c r="M158" t="s">
        <v>281</v>
      </c>
      <c r="N158" t="s">
        <v>288</v>
      </c>
      <c r="O158" t="s">
        <v>289</v>
      </c>
      <c r="P158">
        <v>11225</v>
      </c>
      <c r="Q158" t="s">
        <v>290</v>
      </c>
      <c r="R158" t="s">
        <v>290</v>
      </c>
      <c r="S158" t="s">
        <v>292</v>
      </c>
      <c r="T158" t="s">
        <v>2186</v>
      </c>
      <c r="U158">
        <v>15</v>
      </c>
      <c r="V158" t="s">
        <v>340</v>
      </c>
      <c r="W158" t="s">
        <v>346</v>
      </c>
      <c r="Y158" t="s">
        <v>348</v>
      </c>
      <c r="Z158" t="s">
        <v>350</v>
      </c>
      <c r="AA158" t="s">
        <v>350</v>
      </c>
      <c r="AC158" t="s">
        <v>352</v>
      </c>
      <c r="AD158" t="s">
        <v>356</v>
      </c>
      <c r="AE158" t="s">
        <v>2449</v>
      </c>
      <c r="AF158">
        <v>2019</v>
      </c>
      <c r="AG158">
        <v>0</v>
      </c>
      <c r="AH158">
        <v>1078.57</v>
      </c>
      <c r="AI158">
        <v>36</v>
      </c>
      <c r="AJ158" t="s">
        <v>2656</v>
      </c>
      <c r="AL158" t="s">
        <v>3096</v>
      </c>
      <c r="AM158">
        <v>33</v>
      </c>
      <c r="AN158" t="s">
        <v>493</v>
      </c>
      <c r="AO158">
        <v>6</v>
      </c>
      <c r="AP158">
        <v>0</v>
      </c>
      <c r="AQ158">
        <v>136.34</v>
      </c>
      <c r="AT158" t="s">
        <v>500</v>
      </c>
      <c r="AU158" t="s">
        <v>503</v>
      </c>
      <c r="AV158" t="s">
        <v>508</v>
      </c>
      <c r="AW158">
        <v>46000</v>
      </c>
      <c r="BA158" t="s">
        <v>522</v>
      </c>
      <c r="BD158" t="s">
        <v>537</v>
      </c>
      <c r="BE158" t="s">
        <v>3441</v>
      </c>
    </row>
    <row r="159" spans="1:58">
      <c r="A159" s="1">
        <f>HYPERLINK("https://lsnyc.legalserver.org/matter/dynamic-profile/view/1882852","18-1882852")</f>
        <v>0</v>
      </c>
      <c r="E159" t="s">
        <v>381</v>
      </c>
      <c r="F159" t="s">
        <v>63</v>
      </c>
      <c r="G159" t="s">
        <v>80</v>
      </c>
      <c r="H159" t="s">
        <v>737</v>
      </c>
      <c r="J159" t="s">
        <v>168</v>
      </c>
      <c r="K159" t="s">
        <v>1282</v>
      </c>
      <c r="L159" t="s">
        <v>1620</v>
      </c>
      <c r="M159" t="s">
        <v>1923</v>
      </c>
      <c r="N159" t="s">
        <v>288</v>
      </c>
      <c r="O159" t="s">
        <v>289</v>
      </c>
      <c r="P159">
        <v>11225</v>
      </c>
      <c r="Q159" t="s">
        <v>290</v>
      </c>
      <c r="R159" t="s">
        <v>290</v>
      </c>
      <c r="S159" t="s">
        <v>292</v>
      </c>
      <c r="T159" t="s">
        <v>2187</v>
      </c>
      <c r="U159">
        <v>28</v>
      </c>
      <c r="V159" t="s">
        <v>339</v>
      </c>
      <c r="W159" t="s">
        <v>346</v>
      </c>
      <c r="Y159" t="s">
        <v>348</v>
      </c>
      <c r="Z159" t="s">
        <v>350</v>
      </c>
      <c r="AC159" t="s">
        <v>352</v>
      </c>
      <c r="AE159" t="s">
        <v>2449</v>
      </c>
      <c r="AF159">
        <v>2019</v>
      </c>
      <c r="AG159">
        <v>0</v>
      </c>
      <c r="AH159">
        <v>874.0599999999999</v>
      </c>
      <c r="AI159">
        <v>22.55</v>
      </c>
      <c r="AJ159" t="s">
        <v>2657</v>
      </c>
      <c r="AK159" t="s">
        <v>2919</v>
      </c>
      <c r="AL159" t="s">
        <v>3097</v>
      </c>
      <c r="AM159">
        <v>66</v>
      </c>
      <c r="AO159">
        <v>2</v>
      </c>
      <c r="AP159">
        <v>1</v>
      </c>
      <c r="AQ159">
        <v>87.58</v>
      </c>
      <c r="AT159" t="s">
        <v>501</v>
      </c>
      <c r="AU159" t="s">
        <v>299</v>
      </c>
      <c r="AV159" t="s">
        <v>508</v>
      </c>
      <c r="AW159">
        <v>18200</v>
      </c>
      <c r="BA159" t="s">
        <v>3341</v>
      </c>
      <c r="BD159" t="s">
        <v>3396</v>
      </c>
      <c r="BE159" t="s">
        <v>790</v>
      </c>
    </row>
    <row r="160" spans="1:58">
      <c r="A160" s="1">
        <f>HYPERLINK("https://lsnyc.legalserver.org/matter/dynamic-profile/view/1883055","18-1883055")</f>
        <v>0</v>
      </c>
      <c r="E160" t="s">
        <v>381</v>
      </c>
      <c r="F160" t="s">
        <v>63</v>
      </c>
      <c r="G160" t="s">
        <v>80</v>
      </c>
      <c r="H160" t="s">
        <v>726</v>
      </c>
      <c r="J160" t="s">
        <v>963</v>
      </c>
      <c r="K160" t="s">
        <v>1283</v>
      </c>
      <c r="L160" t="s">
        <v>1621</v>
      </c>
      <c r="M160" t="s">
        <v>1924</v>
      </c>
      <c r="N160" t="s">
        <v>288</v>
      </c>
      <c r="O160" t="s">
        <v>289</v>
      </c>
      <c r="P160">
        <v>11221</v>
      </c>
      <c r="Q160" t="s">
        <v>290</v>
      </c>
      <c r="R160" t="s">
        <v>290</v>
      </c>
      <c r="S160" t="s">
        <v>293</v>
      </c>
      <c r="U160">
        <v>8</v>
      </c>
      <c r="V160" t="s">
        <v>340</v>
      </c>
      <c r="W160" t="s">
        <v>346</v>
      </c>
      <c r="Y160" t="s">
        <v>348</v>
      </c>
      <c r="Z160" t="s">
        <v>350</v>
      </c>
      <c r="AC160" t="s">
        <v>352</v>
      </c>
      <c r="AE160" t="s">
        <v>2449</v>
      </c>
      <c r="AF160">
        <v>2019</v>
      </c>
      <c r="AG160">
        <v>0</v>
      </c>
      <c r="AH160">
        <v>2002</v>
      </c>
      <c r="AI160">
        <v>57.6</v>
      </c>
      <c r="AJ160" t="s">
        <v>2658</v>
      </c>
      <c r="AL160" t="s">
        <v>3098</v>
      </c>
      <c r="AM160">
        <v>8</v>
      </c>
      <c r="AN160" t="s">
        <v>497</v>
      </c>
      <c r="AO160">
        <v>3</v>
      </c>
      <c r="AP160">
        <v>1</v>
      </c>
      <c r="AQ160">
        <v>91.63</v>
      </c>
      <c r="AT160" t="s">
        <v>502</v>
      </c>
      <c r="AU160" t="s">
        <v>507</v>
      </c>
      <c r="AV160" t="s">
        <v>509</v>
      </c>
      <c r="AW160">
        <v>23000</v>
      </c>
      <c r="BA160" t="s">
        <v>3341</v>
      </c>
      <c r="BD160" t="s">
        <v>537</v>
      </c>
      <c r="BE160" t="s">
        <v>572</v>
      </c>
    </row>
    <row r="161" spans="1:58">
      <c r="A161" s="1">
        <f>HYPERLINK("https://lsnyc.legalserver.org/matter/dynamic-profile/view/1879991","18-1879991")</f>
        <v>0</v>
      </c>
      <c r="E161" t="s">
        <v>381</v>
      </c>
      <c r="F161" t="s">
        <v>63</v>
      </c>
      <c r="G161" t="s">
        <v>80</v>
      </c>
      <c r="H161" t="s">
        <v>697</v>
      </c>
      <c r="J161" t="s">
        <v>964</v>
      </c>
      <c r="K161" t="s">
        <v>1284</v>
      </c>
      <c r="L161" t="s">
        <v>1622</v>
      </c>
      <c r="M161" t="s">
        <v>273</v>
      </c>
      <c r="N161" t="s">
        <v>288</v>
      </c>
      <c r="O161" t="s">
        <v>289</v>
      </c>
      <c r="P161">
        <v>11221</v>
      </c>
      <c r="Q161" t="s">
        <v>290</v>
      </c>
      <c r="R161" t="s">
        <v>290</v>
      </c>
      <c r="S161" t="s">
        <v>292</v>
      </c>
      <c r="T161" t="s">
        <v>2188</v>
      </c>
      <c r="U161">
        <v>10</v>
      </c>
      <c r="V161" t="s">
        <v>339</v>
      </c>
      <c r="W161" t="s">
        <v>346</v>
      </c>
      <c r="Y161" t="s">
        <v>348</v>
      </c>
      <c r="Z161" t="s">
        <v>350</v>
      </c>
      <c r="AC161" t="s">
        <v>352</v>
      </c>
      <c r="AE161" t="s">
        <v>2449</v>
      </c>
      <c r="AF161">
        <v>2019</v>
      </c>
      <c r="AG161">
        <v>880</v>
      </c>
      <c r="AH161">
        <v>1862</v>
      </c>
      <c r="AI161">
        <v>4.9</v>
      </c>
      <c r="AJ161" t="s">
        <v>2659</v>
      </c>
      <c r="AL161" t="s">
        <v>3099</v>
      </c>
      <c r="AM161">
        <v>70</v>
      </c>
      <c r="AO161">
        <v>1</v>
      </c>
      <c r="AP161">
        <v>2</v>
      </c>
      <c r="AQ161">
        <v>190.09</v>
      </c>
      <c r="AT161" t="s">
        <v>502</v>
      </c>
      <c r="AU161" t="s">
        <v>507</v>
      </c>
      <c r="AV161" t="s">
        <v>508</v>
      </c>
      <c r="AW161">
        <v>39500</v>
      </c>
      <c r="BA161" t="s">
        <v>3341</v>
      </c>
      <c r="BD161" t="s">
        <v>537</v>
      </c>
      <c r="BE161" t="s">
        <v>3447</v>
      </c>
    </row>
    <row r="162" spans="1:58">
      <c r="A162" s="1">
        <f>HYPERLINK("https://lsnyc.legalserver.org/matter/dynamic-profile/view/1883137","18-1883137")</f>
        <v>0</v>
      </c>
      <c r="E162" t="s">
        <v>381</v>
      </c>
      <c r="F162" t="s">
        <v>632</v>
      </c>
      <c r="G162" t="s">
        <v>80</v>
      </c>
      <c r="H162" t="s">
        <v>739</v>
      </c>
      <c r="J162" t="s">
        <v>844</v>
      </c>
      <c r="K162" t="s">
        <v>186</v>
      </c>
      <c r="L162" t="s">
        <v>1623</v>
      </c>
      <c r="M162">
        <v>10</v>
      </c>
      <c r="N162" t="s">
        <v>288</v>
      </c>
      <c r="O162" t="s">
        <v>289</v>
      </c>
      <c r="P162">
        <v>11220</v>
      </c>
      <c r="Q162" t="s">
        <v>290</v>
      </c>
      <c r="R162" t="s">
        <v>290</v>
      </c>
      <c r="S162" t="s">
        <v>295</v>
      </c>
      <c r="T162" t="s">
        <v>2189</v>
      </c>
      <c r="U162">
        <v>5</v>
      </c>
      <c r="V162" t="s">
        <v>339</v>
      </c>
      <c r="W162" t="s">
        <v>346</v>
      </c>
      <c r="Y162" t="s">
        <v>349</v>
      </c>
      <c r="Z162" t="s">
        <v>350</v>
      </c>
      <c r="AC162" t="s">
        <v>352</v>
      </c>
      <c r="AD162" t="s">
        <v>2445</v>
      </c>
      <c r="AE162" t="s">
        <v>2449</v>
      </c>
      <c r="AF162">
        <v>2019</v>
      </c>
      <c r="AG162">
        <v>0</v>
      </c>
      <c r="AH162">
        <v>800</v>
      </c>
      <c r="AI162">
        <v>70.84999999999999</v>
      </c>
      <c r="AJ162" t="s">
        <v>2660</v>
      </c>
      <c r="AL162" t="s">
        <v>3100</v>
      </c>
      <c r="AM162">
        <v>6</v>
      </c>
      <c r="AO162">
        <v>1</v>
      </c>
      <c r="AP162">
        <v>0</v>
      </c>
      <c r="AQ162">
        <v>115.32</v>
      </c>
      <c r="AT162" t="s">
        <v>500</v>
      </c>
      <c r="AU162" t="s">
        <v>503</v>
      </c>
      <c r="AV162" t="s">
        <v>508</v>
      </c>
      <c r="AW162">
        <v>14000</v>
      </c>
      <c r="BA162" t="s">
        <v>522</v>
      </c>
      <c r="BD162" t="s">
        <v>537</v>
      </c>
      <c r="BE162" t="s">
        <v>3440</v>
      </c>
    </row>
    <row r="163" spans="1:58">
      <c r="A163" s="1">
        <f>HYPERLINK("https://lsnyc.legalserver.org/matter/dynamic-profile/view/1882798","18-1882798")</f>
        <v>0</v>
      </c>
      <c r="E163" t="s">
        <v>381</v>
      </c>
      <c r="F163" t="s">
        <v>72</v>
      </c>
      <c r="G163" t="s">
        <v>80</v>
      </c>
      <c r="H163" t="s">
        <v>719</v>
      </c>
      <c r="J163" t="s">
        <v>965</v>
      </c>
      <c r="K163" t="s">
        <v>1285</v>
      </c>
      <c r="L163" t="s">
        <v>1624</v>
      </c>
      <c r="M163">
        <v>206</v>
      </c>
      <c r="N163" t="s">
        <v>288</v>
      </c>
      <c r="O163" t="s">
        <v>289</v>
      </c>
      <c r="P163">
        <v>11221</v>
      </c>
      <c r="Q163" t="s">
        <v>290</v>
      </c>
      <c r="R163" t="s">
        <v>290</v>
      </c>
      <c r="S163" t="s">
        <v>293</v>
      </c>
      <c r="U163">
        <v>8</v>
      </c>
      <c r="V163" t="s">
        <v>2431</v>
      </c>
      <c r="W163" t="s">
        <v>347</v>
      </c>
      <c r="Y163" t="s">
        <v>349</v>
      </c>
      <c r="Z163" t="s">
        <v>350</v>
      </c>
      <c r="AC163" t="s">
        <v>354</v>
      </c>
      <c r="AE163" t="s">
        <v>2447</v>
      </c>
      <c r="AF163">
        <v>2019</v>
      </c>
      <c r="AG163">
        <v>0</v>
      </c>
      <c r="AH163">
        <v>0</v>
      </c>
      <c r="AI163">
        <v>22.5</v>
      </c>
      <c r="AJ163" t="s">
        <v>2661</v>
      </c>
      <c r="AL163" t="s">
        <v>3101</v>
      </c>
      <c r="AM163">
        <v>0</v>
      </c>
      <c r="AO163">
        <v>1</v>
      </c>
      <c r="AP163">
        <v>0</v>
      </c>
      <c r="AQ163">
        <v>74.04000000000001</v>
      </c>
      <c r="AT163" t="s">
        <v>500</v>
      </c>
      <c r="AV163" t="s">
        <v>508</v>
      </c>
      <c r="AW163">
        <v>8988</v>
      </c>
      <c r="BA163" t="s">
        <v>3341</v>
      </c>
      <c r="BD163" t="s">
        <v>543</v>
      </c>
      <c r="BE163" t="s">
        <v>765</v>
      </c>
    </row>
    <row r="164" spans="1:58">
      <c r="A164" s="1">
        <f>HYPERLINK("https://lsnyc.legalserver.org/matter/dynamic-profile/view/1884451","18-1884451")</f>
        <v>0</v>
      </c>
      <c r="E164" t="s">
        <v>381</v>
      </c>
      <c r="F164" t="s">
        <v>620</v>
      </c>
      <c r="G164" t="s">
        <v>80</v>
      </c>
      <c r="H164" t="s">
        <v>641</v>
      </c>
      <c r="J164" t="s">
        <v>966</v>
      </c>
      <c r="K164" t="s">
        <v>1286</v>
      </c>
      <c r="L164" t="s">
        <v>1625</v>
      </c>
      <c r="M164" t="s">
        <v>1925</v>
      </c>
      <c r="N164" t="s">
        <v>288</v>
      </c>
      <c r="O164" t="s">
        <v>289</v>
      </c>
      <c r="P164">
        <v>11236</v>
      </c>
      <c r="Q164" t="s">
        <v>290</v>
      </c>
      <c r="R164" t="s">
        <v>290</v>
      </c>
      <c r="S164" t="s">
        <v>293</v>
      </c>
      <c r="T164" t="s">
        <v>2190</v>
      </c>
      <c r="U164">
        <v>8</v>
      </c>
      <c r="V164" t="s">
        <v>339</v>
      </c>
      <c r="W164" t="s">
        <v>346</v>
      </c>
      <c r="Y164" t="s">
        <v>349</v>
      </c>
      <c r="Z164" t="s">
        <v>350</v>
      </c>
      <c r="AA164" t="s">
        <v>350</v>
      </c>
      <c r="AC164" t="s">
        <v>353</v>
      </c>
      <c r="AD164" t="s">
        <v>356</v>
      </c>
      <c r="AE164" t="s">
        <v>2447</v>
      </c>
      <c r="AF164">
        <v>2019</v>
      </c>
      <c r="AG164">
        <v>0</v>
      </c>
      <c r="AH164">
        <v>230</v>
      </c>
      <c r="AI164">
        <v>31.9</v>
      </c>
      <c r="AJ164" t="s">
        <v>2662</v>
      </c>
      <c r="AL164" t="s">
        <v>3102</v>
      </c>
      <c r="AM164">
        <v>70</v>
      </c>
      <c r="AN164" t="s">
        <v>495</v>
      </c>
      <c r="AO164">
        <v>1</v>
      </c>
      <c r="AP164">
        <v>1</v>
      </c>
      <c r="AQ164">
        <v>55.29</v>
      </c>
      <c r="AT164" t="s">
        <v>502</v>
      </c>
      <c r="AU164" t="s">
        <v>503</v>
      </c>
      <c r="AV164" t="s">
        <v>508</v>
      </c>
      <c r="AW164">
        <v>9100</v>
      </c>
      <c r="BA164" t="s">
        <v>3341</v>
      </c>
      <c r="BD164" t="s">
        <v>3397</v>
      </c>
      <c r="BE164" t="s">
        <v>560</v>
      </c>
      <c r="BF164" t="s">
        <v>600</v>
      </c>
    </row>
    <row r="165" spans="1:58">
      <c r="A165" s="1">
        <f>HYPERLINK("https://lsnyc.legalserver.org/matter/dynamic-profile/view/1877539","18-1877539")</f>
        <v>0</v>
      </c>
      <c r="E165" t="s">
        <v>381</v>
      </c>
      <c r="F165" t="s">
        <v>63</v>
      </c>
      <c r="G165" t="s">
        <v>80</v>
      </c>
      <c r="H165" t="s">
        <v>729</v>
      </c>
      <c r="J165" t="s">
        <v>967</v>
      </c>
      <c r="K165" t="s">
        <v>1287</v>
      </c>
      <c r="L165" t="s">
        <v>1626</v>
      </c>
      <c r="M165" t="s">
        <v>1926</v>
      </c>
      <c r="N165" t="s">
        <v>288</v>
      </c>
      <c r="O165" t="s">
        <v>289</v>
      </c>
      <c r="P165">
        <v>11225</v>
      </c>
      <c r="Q165" t="s">
        <v>290</v>
      </c>
      <c r="R165" t="s">
        <v>291</v>
      </c>
      <c r="S165" t="s">
        <v>292</v>
      </c>
      <c r="T165" t="s">
        <v>2191</v>
      </c>
      <c r="U165">
        <v>24</v>
      </c>
      <c r="V165" t="s">
        <v>340</v>
      </c>
      <c r="W165" t="s">
        <v>346</v>
      </c>
      <c r="Y165" t="s">
        <v>348</v>
      </c>
      <c r="Z165" t="s">
        <v>350</v>
      </c>
      <c r="AC165" t="s">
        <v>352</v>
      </c>
      <c r="AE165" t="s">
        <v>2447</v>
      </c>
      <c r="AF165">
        <v>2019</v>
      </c>
      <c r="AG165">
        <v>0</v>
      </c>
      <c r="AH165">
        <v>0</v>
      </c>
      <c r="AI165">
        <v>83</v>
      </c>
      <c r="AJ165" t="s">
        <v>2663</v>
      </c>
      <c r="AL165" t="s">
        <v>3103</v>
      </c>
      <c r="AM165">
        <v>100</v>
      </c>
      <c r="AO165">
        <v>1</v>
      </c>
      <c r="AP165">
        <v>0</v>
      </c>
      <c r="AQ165">
        <v>194.4</v>
      </c>
      <c r="AT165" t="s">
        <v>500</v>
      </c>
      <c r="AU165" t="s">
        <v>503</v>
      </c>
      <c r="AV165" t="s">
        <v>508</v>
      </c>
      <c r="AW165">
        <v>23600</v>
      </c>
      <c r="AY165" t="s">
        <v>290</v>
      </c>
      <c r="BA165" t="s">
        <v>3341</v>
      </c>
      <c r="BD165" t="s">
        <v>550</v>
      </c>
      <c r="BE165" t="s">
        <v>572</v>
      </c>
    </row>
    <row r="166" spans="1:58">
      <c r="A166" s="1">
        <f>HYPERLINK("https://lsnyc.legalserver.org/matter/dynamic-profile/view/1886312","18-1886312")</f>
        <v>0</v>
      </c>
      <c r="E166" t="s">
        <v>381</v>
      </c>
      <c r="F166" t="s">
        <v>626</v>
      </c>
      <c r="G166" t="s">
        <v>80</v>
      </c>
      <c r="H166" t="s">
        <v>649</v>
      </c>
      <c r="J166" t="s">
        <v>968</v>
      </c>
      <c r="K166" t="s">
        <v>1288</v>
      </c>
      <c r="L166" t="s">
        <v>1627</v>
      </c>
      <c r="M166" t="s">
        <v>1927</v>
      </c>
      <c r="N166" t="s">
        <v>288</v>
      </c>
      <c r="O166" t="s">
        <v>289</v>
      </c>
      <c r="P166">
        <v>11225</v>
      </c>
      <c r="Q166" t="s">
        <v>290</v>
      </c>
      <c r="R166" t="s">
        <v>290</v>
      </c>
      <c r="S166" t="s">
        <v>292</v>
      </c>
      <c r="T166" t="s">
        <v>2192</v>
      </c>
      <c r="U166">
        <v>3</v>
      </c>
      <c r="V166" t="s">
        <v>340</v>
      </c>
      <c r="W166" t="s">
        <v>346</v>
      </c>
      <c r="Y166" t="s">
        <v>348</v>
      </c>
      <c r="Z166" t="s">
        <v>350</v>
      </c>
      <c r="AA166" t="s">
        <v>350</v>
      </c>
      <c r="AC166" t="s">
        <v>352</v>
      </c>
      <c r="AD166" t="s">
        <v>356</v>
      </c>
      <c r="AE166" t="s">
        <v>2447</v>
      </c>
      <c r="AF166">
        <v>2019</v>
      </c>
      <c r="AG166">
        <v>0</v>
      </c>
      <c r="AH166">
        <v>1732</v>
      </c>
      <c r="AI166">
        <v>45.6</v>
      </c>
      <c r="AJ166" t="s">
        <v>2664</v>
      </c>
      <c r="AL166" t="s">
        <v>3104</v>
      </c>
      <c r="AM166">
        <v>156</v>
      </c>
      <c r="AN166" t="s">
        <v>3323</v>
      </c>
      <c r="AO166">
        <v>1</v>
      </c>
      <c r="AP166">
        <v>0</v>
      </c>
      <c r="AQ166">
        <v>403.62</v>
      </c>
      <c r="AR166" t="s">
        <v>782</v>
      </c>
      <c r="AS166" t="s">
        <v>3328</v>
      </c>
      <c r="AT166" t="s">
        <v>500</v>
      </c>
      <c r="AU166" t="s">
        <v>503</v>
      </c>
      <c r="AV166" t="s">
        <v>508</v>
      </c>
      <c r="AW166">
        <v>49000</v>
      </c>
      <c r="BA166" t="s">
        <v>522</v>
      </c>
      <c r="BD166" t="s">
        <v>547</v>
      </c>
      <c r="BE166" t="s">
        <v>824</v>
      </c>
    </row>
    <row r="167" spans="1:58">
      <c r="A167" s="1">
        <f>HYPERLINK("https://lsnyc.legalserver.org/matter/dynamic-profile/view/1887305","19-1887305")</f>
        <v>0</v>
      </c>
      <c r="E167" t="s">
        <v>381</v>
      </c>
      <c r="F167" t="s">
        <v>65</v>
      </c>
      <c r="G167" t="s">
        <v>80</v>
      </c>
      <c r="H167" t="s">
        <v>653</v>
      </c>
      <c r="J167" t="s">
        <v>969</v>
      </c>
      <c r="K167" t="s">
        <v>1289</v>
      </c>
      <c r="L167" t="s">
        <v>1628</v>
      </c>
      <c r="M167" t="s">
        <v>1928</v>
      </c>
      <c r="N167" t="s">
        <v>288</v>
      </c>
      <c r="O167" t="s">
        <v>289</v>
      </c>
      <c r="P167">
        <v>11225</v>
      </c>
      <c r="Q167" t="s">
        <v>290</v>
      </c>
      <c r="R167" t="s">
        <v>290</v>
      </c>
      <c r="S167" t="s">
        <v>293</v>
      </c>
      <c r="T167" t="s">
        <v>2193</v>
      </c>
      <c r="U167">
        <v>12</v>
      </c>
      <c r="V167" t="s">
        <v>340</v>
      </c>
      <c r="W167" t="s">
        <v>346</v>
      </c>
      <c r="Y167" t="s">
        <v>348</v>
      </c>
      <c r="Z167" t="s">
        <v>350</v>
      </c>
      <c r="AC167" t="s">
        <v>352</v>
      </c>
      <c r="AE167" t="s">
        <v>2447</v>
      </c>
      <c r="AF167">
        <v>2019</v>
      </c>
      <c r="AG167">
        <v>0</v>
      </c>
      <c r="AH167">
        <v>800</v>
      </c>
      <c r="AI167">
        <v>23.7</v>
      </c>
      <c r="AJ167" t="s">
        <v>2665</v>
      </c>
      <c r="AL167" t="s">
        <v>3105</v>
      </c>
      <c r="AM167">
        <v>0</v>
      </c>
      <c r="AO167">
        <v>1</v>
      </c>
      <c r="AP167">
        <v>4</v>
      </c>
      <c r="AQ167">
        <v>159.43</v>
      </c>
      <c r="AT167" t="s">
        <v>502</v>
      </c>
      <c r="AU167" t="s">
        <v>503</v>
      </c>
      <c r="AV167" t="s">
        <v>508</v>
      </c>
      <c r="AW167">
        <v>46904</v>
      </c>
      <c r="BA167" t="s">
        <v>3341</v>
      </c>
      <c r="BD167" t="s">
        <v>3372</v>
      </c>
      <c r="BE167" t="s">
        <v>567</v>
      </c>
    </row>
    <row r="168" spans="1:58">
      <c r="A168" s="1">
        <f>HYPERLINK("https://lsnyc.legalserver.org/matter/dynamic-profile/view/1885740","18-1885740")</f>
        <v>0</v>
      </c>
      <c r="E168" t="s">
        <v>381</v>
      </c>
      <c r="F168" t="s">
        <v>63</v>
      </c>
      <c r="G168" t="s">
        <v>80</v>
      </c>
      <c r="H168" t="s">
        <v>738</v>
      </c>
      <c r="J168" t="s">
        <v>970</v>
      </c>
      <c r="K168" t="s">
        <v>887</v>
      </c>
      <c r="L168" t="s">
        <v>1629</v>
      </c>
      <c r="M168" t="s">
        <v>273</v>
      </c>
      <c r="N168" t="s">
        <v>288</v>
      </c>
      <c r="O168" t="s">
        <v>289</v>
      </c>
      <c r="P168">
        <v>11225</v>
      </c>
      <c r="Q168" t="s">
        <v>290</v>
      </c>
      <c r="R168" t="s">
        <v>290</v>
      </c>
      <c r="S168" t="s">
        <v>292</v>
      </c>
      <c r="T168" t="s">
        <v>2194</v>
      </c>
      <c r="U168">
        <v>18</v>
      </c>
      <c r="V168" t="s">
        <v>339</v>
      </c>
      <c r="W168" t="s">
        <v>346</v>
      </c>
      <c r="Y168" t="s">
        <v>348</v>
      </c>
      <c r="Z168" t="s">
        <v>350</v>
      </c>
      <c r="AC168" t="s">
        <v>352</v>
      </c>
      <c r="AE168" t="s">
        <v>2447</v>
      </c>
      <c r="AF168">
        <v>2019</v>
      </c>
      <c r="AG168">
        <v>0</v>
      </c>
      <c r="AH168">
        <v>642</v>
      </c>
      <c r="AI168">
        <v>1.75</v>
      </c>
      <c r="AJ168" t="s">
        <v>2666</v>
      </c>
      <c r="AM168">
        <v>2</v>
      </c>
      <c r="AO168">
        <v>1</v>
      </c>
      <c r="AP168">
        <v>1</v>
      </c>
      <c r="AQ168">
        <v>236.94</v>
      </c>
      <c r="AR168" t="s">
        <v>782</v>
      </c>
      <c r="AS168" t="s">
        <v>3328</v>
      </c>
      <c r="AT168" t="s">
        <v>502</v>
      </c>
      <c r="AV168" t="s">
        <v>508</v>
      </c>
      <c r="AW168">
        <v>39000</v>
      </c>
      <c r="BA168" t="s">
        <v>522</v>
      </c>
      <c r="BD168" t="s">
        <v>537</v>
      </c>
      <c r="BE168" t="s">
        <v>758</v>
      </c>
    </row>
    <row r="169" spans="1:58">
      <c r="A169" s="1">
        <f>HYPERLINK("https://lsnyc.legalserver.org/matter/dynamic-profile/view/1885798","18-1885798")</f>
        <v>0</v>
      </c>
      <c r="E169" t="s">
        <v>381</v>
      </c>
      <c r="F169" t="s">
        <v>75</v>
      </c>
      <c r="G169" t="s">
        <v>80</v>
      </c>
      <c r="H169" t="s">
        <v>740</v>
      </c>
      <c r="J169" t="s">
        <v>947</v>
      </c>
      <c r="K169" t="s">
        <v>1290</v>
      </c>
      <c r="L169" t="s">
        <v>1630</v>
      </c>
      <c r="M169" t="s">
        <v>1929</v>
      </c>
      <c r="N169" t="s">
        <v>288</v>
      </c>
      <c r="O169" t="s">
        <v>289</v>
      </c>
      <c r="P169">
        <v>11225</v>
      </c>
      <c r="Q169" t="s">
        <v>290</v>
      </c>
      <c r="R169" t="s">
        <v>290</v>
      </c>
      <c r="S169" t="s">
        <v>292</v>
      </c>
      <c r="T169" t="s">
        <v>2195</v>
      </c>
      <c r="U169">
        <v>17</v>
      </c>
      <c r="V169" t="s">
        <v>339</v>
      </c>
      <c r="W169" t="s">
        <v>346</v>
      </c>
      <c r="Y169" t="s">
        <v>348</v>
      </c>
      <c r="Z169" t="s">
        <v>350</v>
      </c>
      <c r="AA169" t="s">
        <v>350</v>
      </c>
      <c r="AC169" t="s">
        <v>352</v>
      </c>
      <c r="AE169" t="s">
        <v>2447</v>
      </c>
      <c r="AF169">
        <v>2019</v>
      </c>
      <c r="AG169">
        <v>0</v>
      </c>
      <c r="AH169">
        <v>900</v>
      </c>
      <c r="AI169">
        <v>57.7</v>
      </c>
      <c r="AJ169" t="s">
        <v>2667</v>
      </c>
      <c r="AL169" t="s">
        <v>3106</v>
      </c>
      <c r="AM169">
        <v>0</v>
      </c>
      <c r="AO169">
        <v>1</v>
      </c>
      <c r="AP169">
        <v>0</v>
      </c>
      <c r="AQ169">
        <v>88.95999999999999</v>
      </c>
      <c r="AT169" t="s">
        <v>500</v>
      </c>
      <c r="AV169" t="s">
        <v>508</v>
      </c>
      <c r="AW169">
        <v>10800</v>
      </c>
      <c r="BA169" t="s">
        <v>522</v>
      </c>
      <c r="BD169" t="s">
        <v>3398</v>
      </c>
      <c r="BE169" t="s">
        <v>597</v>
      </c>
    </row>
    <row r="170" spans="1:58">
      <c r="A170" s="1">
        <f>HYPERLINK("https://lsnyc.legalserver.org/matter/dynamic-profile/view/1885912","18-1885912")</f>
        <v>0</v>
      </c>
      <c r="E170" t="s">
        <v>381</v>
      </c>
      <c r="F170" t="s">
        <v>632</v>
      </c>
      <c r="G170" t="s">
        <v>80</v>
      </c>
      <c r="H170" t="s">
        <v>741</v>
      </c>
      <c r="J170" t="s">
        <v>898</v>
      </c>
      <c r="K170" t="s">
        <v>1291</v>
      </c>
      <c r="L170" t="s">
        <v>1631</v>
      </c>
      <c r="M170" t="s">
        <v>1930</v>
      </c>
      <c r="N170" t="s">
        <v>288</v>
      </c>
      <c r="O170" t="s">
        <v>289</v>
      </c>
      <c r="P170">
        <v>11225</v>
      </c>
      <c r="Q170" t="s">
        <v>290</v>
      </c>
      <c r="R170" t="s">
        <v>290</v>
      </c>
      <c r="S170" t="s">
        <v>292</v>
      </c>
      <c r="T170" t="s">
        <v>2196</v>
      </c>
      <c r="U170">
        <v>23</v>
      </c>
      <c r="V170" t="s">
        <v>339</v>
      </c>
      <c r="W170" t="s">
        <v>346</v>
      </c>
      <c r="Y170" t="s">
        <v>348</v>
      </c>
      <c r="Z170" t="s">
        <v>350</v>
      </c>
      <c r="AA170" t="s">
        <v>350</v>
      </c>
      <c r="AC170" t="s">
        <v>352</v>
      </c>
      <c r="AE170" t="s">
        <v>2447</v>
      </c>
      <c r="AF170">
        <v>2019</v>
      </c>
      <c r="AG170">
        <v>0</v>
      </c>
      <c r="AH170">
        <v>814</v>
      </c>
      <c r="AI170">
        <v>29.6</v>
      </c>
      <c r="AJ170" t="s">
        <v>2668</v>
      </c>
      <c r="AL170" t="s">
        <v>3107</v>
      </c>
      <c r="AM170">
        <v>0</v>
      </c>
      <c r="AO170">
        <v>4</v>
      </c>
      <c r="AP170">
        <v>1</v>
      </c>
      <c r="AQ170">
        <v>217.54</v>
      </c>
      <c r="AR170" t="s">
        <v>782</v>
      </c>
      <c r="AS170" t="s">
        <v>3328</v>
      </c>
      <c r="AT170" t="s">
        <v>501</v>
      </c>
      <c r="AV170" t="s">
        <v>508</v>
      </c>
      <c r="AW170">
        <v>64000</v>
      </c>
      <c r="BA170" t="s">
        <v>522</v>
      </c>
      <c r="BD170" t="s">
        <v>537</v>
      </c>
      <c r="BE170" t="s">
        <v>592</v>
      </c>
    </row>
    <row r="171" spans="1:58">
      <c r="A171" s="1">
        <f>HYPERLINK("https://lsnyc.legalserver.org/matter/dynamic-profile/view/1886458","18-1886458")</f>
        <v>0</v>
      </c>
      <c r="E171" t="s">
        <v>381</v>
      </c>
      <c r="F171" t="s">
        <v>632</v>
      </c>
      <c r="G171" t="s">
        <v>80</v>
      </c>
      <c r="H171" t="s">
        <v>650</v>
      </c>
      <c r="J171" t="s">
        <v>910</v>
      </c>
      <c r="K171" t="s">
        <v>1292</v>
      </c>
      <c r="L171" t="s">
        <v>1632</v>
      </c>
      <c r="M171" t="s">
        <v>1931</v>
      </c>
      <c r="N171" t="s">
        <v>288</v>
      </c>
      <c r="O171" t="s">
        <v>289</v>
      </c>
      <c r="P171">
        <v>11223</v>
      </c>
      <c r="Q171" t="s">
        <v>290</v>
      </c>
      <c r="R171" t="s">
        <v>290</v>
      </c>
      <c r="S171" t="s">
        <v>295</v>
      </c>
      <c r="T171" t="s">
        <v>2197</v>
      </c>
      <c r="U171">
        <v>12</v>
      </c>
      <c r="V171" t="s">
        <v>339</v>
      </c>
      <c r="W171" t="s">
        <v>346</v>
      </c>
      <c r="Y171" t="s">
        <v>349</v>
      </c>
      <c r="Z171" t="s">
        <v>350</v>
      </c>
      <c r="AA171" t="s">
        <v>350</v>
      </c>
      <c r="AC171" t="s">
        <v>353</v>
      </c>
      <c r="AD171" t="s">
        <v>356</v>
      </c>
      <c r="AE171" t="s">
        <v>2447</v>
      </c>
      <c r="AF171">
        <v>2019</v>
      </c>
      <c r="AG171">
        <v>0</v>
      </c>
      <c r="AH171">
        <v>201</v>
      </c>
      <c r="AI171">
        <v>31</v>
      </c>
      <c r="AJ171" t="s">
        <v>2669</v>
      </c>
      <c r="AL171" t="s">
        <v>3108</v>
      </c>
      <c r="AM171">
        <v>693</v>
      </c>
      <c r="AN171" t="s">
        <v>495</v>
      </c>
      <c r="AO171">
        <v>4</v>
      </c>
      <c r="AP171">
        <v>1</v>
      </c>
      <c r="AQ171">
        <v>136.01</v>
      </c>
      <c r="AT171" t="s">
        <v>502</v>
      </c>
      <c r="AU171" t="s">
        <v>299</v>
      </c>
      <c r="AV171" t="s">
        <v>508</v>
      </c>
      <c r="AW171">
        <v>40015</v>
      </c>
      <c r="BA171" t="s">
        <v>522</v>
      </c>
      <c r="BB171" t="s">
        <v>3353</v>
      </c>
      <c r="BD171" t="s">
        <v>3399</v>
      </c>
      <c r="BE171" t="s">
        <v>3424</v>
      </c>
    </row>
    <row r="172" spans="1:58">
      <c r="A172" s="1">
        <f>HYPERLINK("https://lsnyc.legalserver.org/matter/dynamic-profile/view/1886474","18-1886474")</f>
        <v>0</v>
      </c>
      <c r="E172" t="s">
        <v>381</v>
      </c>
      <c r="F172" t="s">
        <v>626</v>
      </c>
      <c r="G172" t="s">
        <v>80</v>
      </c>
      <c r="H172" t="s">
        <v>650</v>
      </c>
      <c r="J172" t="s">
        <v>971</v>
      </c>
      <c r="K172" t="s">
        <v>1293</v>
      </c>
      <c r="L172" t="s">
        <v>1633</v>
      </c>
      <c r="M172">
        <v>7</v>
      </c>
      <c r="N172" t="s">
        <v>288</v>
      </c>
      <c r="O172" t="s">
        <v>289</v>
      </c>
      <c r="P172">
        <v>11221</v>
      </c>
      <c r="Q172" t="s">
        <v>290</v>
      </c>
      <c r="R172" t="s">
        <v>290</v>
      </c>
      <c r="S172" t="s">
        <v>292</v>
      </c>
      <c r="T172" t="s">
        <v>2198</v>
      </c>
      <c r="U172">
        <v>3</v>
      </c>
      <c r="V172" t="s">
        <v>340</v>
      </c>
      <c r="W172" t="s">
        <v>346</v>
      </c>
      <c r="Y172" t="s">
        <v>348</v>
      </c>
      <c r="Z172" t="s">
        <v>350</v>
      </c>
      <c r="AA172" t="s">
        <v>350</v>
      </c>
      <c r="AC172" t="s">
        <v>352</v>
      </c>
      <c r="AD172" t="s">
        <v>356</v>
      </c>
      <c r="AE172" t="s">
        <v>2447</v>
      </c>
      <c r="AF172">
        <v>2019</v>
      </c>
      <c r="AG172">
        <v>0</v>
      </c>
      <c r="AH172">
        <v>1567</v>
      </c>
      <c r="AI172">
        <v>7.4</v>
      </c>
      <c r="AJ172" t="s">
        <v>2670</v>
      </c>
      <c r="AM172">
        <v>8</v>
      </c>
      <c r="AN172" t="s">
        <v>3326</v>
      </c>
      <c r="AO172">
        <v>1</v>
      </c>
      <c r="AP172">
        <v>2</v>
      </c>
      <c r="AQ172">
        <v>84.93000000000001</v>
      </c>
      <c r="AT172" t="s">
        <v>501</v>
      </c>
      <c r="AU172" t="s">
        <v>3330</v>
      </c>
      <c r="AV172" t="s">
        <v>508</v>
      </c>
      <c r="AW172">
        <v>17648</v>
      </c>
      <c r="BA172" t="s">
        <v>522</v>
      </c>
      <c r="BD172" t="s">
        <v>3359</v>
      </c>
      <c r="BE172" t="s">
        <v>3439</v>
      </c>
    </row>
    <row r="173" spans="1:58">
      <c r="A173" s="1">
        <f>HYPERLINK("https://lsnyc.legalserver.org/matter/dynamic-profile/view/1888482","19-1888482")</f>
        <v>0</v>
      </c>
      <c r="E173" t="s">
        <v>381</v>
      </c>
      <c r="F173" t="s">
        <v>63</v>
      </c>
      <c r="G173" t="s">
        <v>80</v>
      </c>
      <c r="H173" t="s">
        <v>742</v>
      </c>
      <c r="J173" t="s">
        <v>940</v>
      </c>
      <c r="K173" t="s">
        <v>1294</v>
      </c>
      <c r="L173" t="s">
        <v>1634</v>
      </c>
      <c r="M173" t="s">
        <v>1932</v>
      </c>
      <c r="N173" t="s">
        <v>288</v>
      </c>
      <c r="O173" t="s">
        <v>289</v>
      </c>
      <c r="P173">
        <v>11221</v>
      </c>
      <c r="Q173" t="s">
        <v>290</v>
      </c>
      <c r="R173" t="s">
        <v>290</v>
      </c>
      <c r="S173" t="s">
        <v>295</v>
      </c>
      <c r="T173" t="s">
        <v>2199</v>
      </c>
      <c r="U173">
        <v>-1</v>
      </c>
      <c r="V173" t="s">
        <v>340</v>
      </c>
      <c r="W173" t="s">
        <v>346</v>
      </c>
      <c r="Y173" t="s">
        <v>348</v>
      </c>
      <c r="Z173" t="s">
        <v>350</v>
      </c>
      <c r="AC173" t="s">
        <v>352</v>
      </c>
      <c r="AE173" t="s">
        <v>2447</v>
      </c>
      <c r="AF173">
        <v>2019</v>
      </c>
      <c r="AG173">
        <v>0</v>
      </c>
      <c r="AH173">
        <v>800</v>
      </c>
      <c r="AI173">
        <v>10.5</v>
      </c>
      <c r="AJ173" t="s">
        <v>2671</v>
      </c>
      <c r="AL173" t="s">
        <v>3109</v>
      </c>
      <c r="AM173">
        <v>3</v>
      </c>
      <c r="AO173">
        <v>1</v>
      </c>
      <c r="AP173">
        <v>0</v>
      </c>
      <c r="AQ173">
        <v>164.74</v>
      </c>
      <c r="AT173" t="s">
        <v>500</v>
      </c>
      <c r="AU173" t="s">
        <v>299</v>
      </c>
      <c r="AV173" t="s">
        <v>508</v>
      </c>
      <c r="AW173">
        <v>20000</v>
      </c>
      <c r="BA173" t="s">
        <v>3341</v>
      </c>
      <c r="BD173" t="s">
        <v>537</v>
      </c>
      <c r="BE173" t="s">
        <v>680</v>
      </c>
    </row>
    <row r="174" spans="1:58">
      <c r="A174" s="1">
        <f>HYPERLINK("https://lsnyc.legalserver.org/matter/dynamic-profile/view/1876730","18-1876730")</f>
        <v>0</v>
      </c>
      <c r="E174" t="s">
        <v>381</v>
      </c>
      <c r="F174" t="s">
        <v>622</v>
      </c>
      <c r="G174" t="s">
        <v>80</v>
      </c>
      <c r="H174" t="s">
        <v>743</v>
      </c>
      <c r="J174" t="s">
        <v>972</v>
      </c>
      <c r="K174" t="s">
        <v>1295</v>
      </c>
      <c r="L174" t="s">
        <v>1635</v>
      </c>
      <c r="M174" t="s">
        <v>1933</v>
      </c>
      <c r="N174" t="s">
        <v>288</v>
      </c>
      <c r="O174" t="s">
        <v>289</v>
      </c>
      <c r="P174">
        <v>11221</v>
      </c>
      <c r="Q174" t="s">
        <v>290</v>
      </c>
      <c r="R174" t="s">
        <v>290</v>
      </c>
      <c r="S174" t="s">
        <v>295</v>
      </c>
      <c r="T174" t="s">
        <v>2200</v>
      </c>
      <c r="U174">
        <v>14</v>
      </c>
      <c r="V174" t="s">
        <v>339</v>
      </c>
      <c r="W174" t="s">
        <v>346</v>
      </c>
      <c r="Y174" t="s">
        <v>348</v>
      </c>
      <c r="Z174" t="s">
        <v>350</v>
      </c>
      <c r="AC174" t="s">
        <v>353</v>
      </c>
      <c r="AE174" t="s">
        <v>2447</v>
      </c>
      <c r="AF174">
        <v>2019</v>
      </c>
      <c r="AG174">
        <v>881.6</v>
      </c>
      <c r="AH174">
        <v>881.6</v>
      </c>
      <c r="AI174">
        <v>11.1</v>
      </c>
      <c r="AJ174" t="s">
        <v>2672</v>
      </c>
      <c r="AL174" t="s">
        <v>3110</v>
      </c>
      <c r="AM174">
        <v>139</v>
      </c>
      <c r="AN174" t="s">
        <v>495</v>
      </c>
      <c r="AO174">
        <v>1</v>
      </c>
      <c r="AP174">
        <v>1</v>
      </c>
      <c r="AQ174">
        <v>124.63</v>
      </c>
      <c r="AT174" t="s">
        <v>501</v>
      </c>
      <c r="AU174" t="s">
        <v>503</v>
      </c>
      <c r="AV174" t="s">
        <v>508</v>
      </c>
      <c r="AW174">
        <v>20514</v>
      </c>
      <c r="BA174" t="s">
        <v>522</v>
      </c>
      <c r="BD174" t="s">
        <v>540</v>
      </c>
      <c r="BE174" t="s">
        <v>805</v>
      </c>
    </row>
    <row r="175" spans="1:58">
      <c r="A175" s="1">
        <f>HYPERLINK("https://lsnyc.legalserver.org/matter/dynamic-profile/view/1884644","18-1884644")</f>
        <v>0</v>
      </c>
      <c r="E175" t="s">
        <v>381</v>
      </c>
      <c r="F175" t="s">
        <v>79</v>
      </c>
      <c r="G175" t="s">
        <v>80</v>
      </c>
      <c r="H175" t="s">
        <v>744</v>
      </c>
      <c r="J175" t="s">
        <v>973</v>
      </c>
      <c r="K175" t="s">
        <v>1293</v>
      </c>
      <c r="L175" t="s">
        <v>1636</v>
      </c>
      <c r="M175" t="s">
        <v>1934</v>
      </c>
      <c r="N175" t="s">
        <v>288</v>
      </c>
      <c r="O175" t="s">
        <v>289</v>
      </c>
      <c r="P175">
        <v>11221</v>
      </c>
      <c r="Q175" t="s">
        <v>290</v>
      </c>
      <c r="R175" t="s">
        <v>290</v>
      </c>
      <c r="S175" t="s">
        <v>295</v>
      </c>
      <c r="T175" t="s">
        <v>2201</v>
      </c>
      <c r="U175">
        <v>-1</v>
      </c>
      <c r="V175" t="s">
        <v>339</v>
      </c>
      <c r="W175" t="s">
        <v>346</v>
      </c>
      <c r="Y175" t="s">
        <v>348</v>
      </c>
      <c r="Z175" t="s">
        <v>350</v>
      </c>
      <c r="AC175" t="s">
        <v>353</v>
      </c>
      <c r="AE175" t="s">
        <v>2447</v>
      </c>
      <c r="AF175">
        <v>2019</v>
      </c>
      <c r="AG175">
        <v>0</v>
      </c>
      <c r="AH175">
        <v>336</v>
      </c>
      <c r="AI175">
        <v>11.45</v>
      </c>
      <c r="AJ175" t="s">
        <v>2673</v>
      </c>
      <c r="AL175" t="s">
        <v>3111</v>
      </c>
      <c r="AM175">
        <v>115</v>
      </c>
      <c r="AN175" t="s">
        <v>495</v>
      </c>
      <c r="AO175">
        <v>2</v>
      </c>
      <c r="AP175">
        <v>3</v>
      </c>
      <c r="AQ175">
        <v>0</v>
      </c>
      <c r="AT175" t="s">
        <v>501</v>
      </c>
      <c r="AV175" t="s">
        <v>508</v>
      </c>
      <c r="AW175">
        <v>0</v>
      </c>
      <c r="BA175" t="s">
        <v>3341</v>
      </c>
      <c r="BD175" t="s">
        <v>3368</v>
      </c>
      <c r="BE175" t="s">
        <v>559</v>
      </c>
    </row>
    <row r="176" spans="1:58">
      <c r="A176" s="1">
        <f>HYPERLINK("https://lsnyc.legalserver.org/matter/dynamic-profile/view/1887354","19-1887354")</f>
        <v>0</v>
      </c>
      <c r="E176" t="s">
        <v>381</v>
      </c>
      <c r="F176" t="s">
        <v>65</v>
      </c>
      <c r="G176" t="s">
        <v>80</v>
      </c>
      <c r="H176" t="s">
        <v>653</v>
      </c>
      <c r="J176" t="s">
        <v>974</v>
      </c>
      <c r="K176" t="s">
        <v>1296</v>
      </c>
      <c r="L176" t="s">
        <v>1637</v>
      </c>
      <c r="M176" t="s">
        <v>1843</v>
      </c>
      <c r="N176" t="s">
        <v>288</v>
      </c>
      <c r="O176" t="s">
        <v>289</v>
      </c>
      <c r="P176">
        <v>11221</v>
      </c>
      <c r="Q176" t="s">
        <v>290</v>
      </c>
      <c r="R176" t="s">
        <v>290</v>
      </c>
      <c r="S176" t="s">
        <v>295</v>
      </c>
      <c r="T176" t="s">
        <v>2202</v>
      </c>
      <c r="U176">
        <v>46</v>
      </c>
      <c r="V176" t="s">
        <v>339</v>
      </c>
      <c r="W176" t="s">
        <v>346</v>
      </c>
      <c r="Y176" t="s">
        <v>348</v>
      </c>
      <c r="Z176" t="s">
        <v>350</v>
      </c>
      <c r="AC176" t="s">
        <v>353</v>
      </c>
      <c r="AE176" t="s">
        <v>2447</v>
      </c>
      <c r="AF176">
        <v>2019</v>
      </c>
      <c r="AG176">
        <v>0</v>
      </c>
      <c r="AH176">
        <v>428</v>
      </c>
      <c r="AI176">
        <v>15.4</v>
      </c>
      <c r="AJ176" t="s">
        <v>2674</v>
      </c>
      <c r="AL176" t="s">
        <v>3112</v>
      </c>
      <c r="AM176">
        <v>94</v>
      </c>
      <c r="AN176" t="s">
        <v>495</v>
      </c>
      <c r="AO176">
        <v>2</v>
      </c>
      <c r="AP176">
        <v>1</v>
      </c>
      <c r="AQ176">
        <v>89.73999999999999</v>
      </c>
      <c r="AT176" t="s">
        <v>502</v>
      </c>
      <c r="AV176" t="s">
        <v>508</v>
      </c>
      <c r="AW176">
        <v>18648</v>
      </c>
      <c r="BA176" t="s">
        <v>3341</v>
      </c>
      <c r="BD176" t="s">
        <v>3360</v>
      </c>
      <c r="BE176" t="s">
        <v>576</v>
      </c>
    </row>
    <row r="177" spans="1:58">
      <c r="A177" s="1">
        <f>HYPERLINK("https://lsnyc.legalserver.org/matter/dynamic-profile/view/1874945","18-1874945")</f>
        <v>0</v>
      </c>
      <c r="E177" t="s">
        <v>381</v>
      </c>
      <c r="F177" t="s">
        <v>69</v>
      </c>
      <c r="G177" t="s">
        <v>80</v>
      </c>
      <c r="H177" t="s">
        <v>708</v>
      </c>
      <c r="J177" t="s">
        <v>975</v>
      </c>
      <c r="K177" t="s">
        <v>1297</v>
      </c>
      <c r="L177" t="s">
        <v>1638</v>
      </c>
      <c r="M177">
        <v>4</v>
      </c>
      <c r="N177" t="s">
        <v>288</v>
      </c>
      <c r="O177" t="s">
        <v>289</v>
      </c>
      <c r="P177">
        <v>11220</v>
      </c>
      <c r="Q177" t="s">
        <v>290</v>
      </c>
      <c r="R177" t="s">
        <v>290</v>
      </c>
      <c r="S177" t="s">
        <v>2030</v>
      </c>
      <c r="T177" t="s">
        <v>2203</v>
      </c>
      <c r="U177">
        <v>24</v>
      </c>
      <c r="V177" t="s">
        <v>339</v>
      </c>
      <c r="W177" t="s">
        <v>346</v>
      </c>
      <c r="Y177" t="s">
        <v>349</v>
      </c>
      <c r="Z177" t="s">
        <v>350</v>
      </c>
      <c r="AA177" t="s">
        <v>350</v>
      </c>
      <c r="AC177" t="s">
        <v>352</v>
      </c>
      <c r="AD177" t="s">
        <v>356</v>
      </c>
      <c r="AE177" t="s">
        <v>2447</v>
      </c>
      <c r="AF177">
        <v>2019</v>
      </c>
      <c r="AG177">
        <v>1068.5</v>
      </c>
      <c r="AH177">
        <v>1068.5</v>
      </c>
      <c r="AI177">
        <v>26.3</v>
      </c>
      <c r="AJ177" t="s">
        <v>2675</v>
      </c>
      <c r="AL177" t="s">
        <v>3113</v>
      </c>
      <c r="AM177">
        <v>6</v>
      </c>
      <c r="AN177" t="s">
        <v>493</v>
      </c>
      <c r="AO177">
        <v>2</v>
      </c>
      <c r="AP177">
        <v>2</v>
      </c>
      <c r="AQ177">
        <v>23.9</v>
      </c>
      <c r="AT177" t="s">
        <v>502</v>
      </c>
      <c r="AU177" t="s">
        <v>503</v>
      </c>
      <c r="AV177" t="s">
        <v>508</v>
      </c>
      <c r="AW177">
        <v>6000</v>
      </c>
      <c r="AY177" t="s">
        <v>290</v>
      </c>
      <c r="BA177" t="s">
        <v>528</v>
      </c>
      <c r="BB177" t="s">
        <v>3352</v>
      </c>
      <c r="BC177" t="s">
        <v>299</v>
      </c>
      <c r="BD177" t="s">
        <v>537</v>
      </c>
      <c r="BE177" t="s">
        <v>3437</v>
      </c>
    </row>
    <row r="178" spans="1:58">
      <c r="A178" s="1">
        <f>HYPERLINK("https://lsnyc.legalserver.org/matter/dynamic-profile/view/1885184","18-1885184")</f>
        <v>0</v>
      </c>
      <c r="E178" t="s">
        <v>381</v>
      </c>
      <c r="F178" t="s">
        <v>59</v>
      </c>
      <c r="G178" t="s">
        <v>80</v>
      </c>
      <c r="H178" t="s">
        <v>745</v>
      </c>
      <c r="J178" t="s">
        <v>976</v>
      </c>
      <c r="K178" t="s">
        <v>1298</v>
      </c>
      <c r="L178" t="s">
        <v>1639</v>
      </c>
      <c r="M178">
        <v>2</v>
      </c>
      <c r="N178" t="s">
        <v>288</v>
      </c>
      <c r="O178" t="s">
        <v>289</v>
      </c>
      <c r="P178">
        <v>11218</v>
      </c>
      <c r="Q178" t="s">
        <v>290</v>
      </c>
      <c r="R178" t="s">
        <v>290</v>
      </c>
      <c r="S178" t="s">
        <v>295</v>
      </c>
      <c r="T178" t="s">
        <v>2204</v>
      </c>
      <c r="U178">
        <v>-1</v>
      </c>
      <c r="V178" t="s">
        <v>339</v>
      </c>
      <c r="W178" t="s">
        <v>346</v>
      </c>
      <c r="Y178" t="s">
        <v>349</v>
      </c>
      <c r="Z178" t="s">
        <v>350</v>
      </c>
      <c r="AC178" t="s">
        <v>352</v>
      </c>
      <c r="AE178" t="s">
        <v>2447</v>
      </c>
      <c r="AF178">
        <v>2019</v>
      </c>
      <c r="AG178">
        <v>0</v>
      </c>
      <c r="AH178">
        <v>2600</v>
      </c>
      <c r="AI178">
        <v>27.1</v>
      </c>
      <c r="AJ178" t="s">
        <v>2676</v>
      </c>
      <c r="AK178" t="s">
        <v>2920</v>
      </c>
      <c r="AL178" t="s">
        <v>3114</v>
      </c>
      <c r="AM178">
        <v>2</v>
      </c>
      <c r="AN178" t="s">
        <v>496</v>
      </c>
      <c r="AO178">
        <v>2</v>
      </c>
      <c r="AP178">
        <v>2</v>
      </c>
      <c r="AQ178">
        <v>132.57</v>
      </c>
      <c r="AT178" t="s">
        <v>501</v>
      </c>
      <c r="AU178" t="s">
        <v>299</v>
      </c>
      <c r="AV178" t="s">
        <v>508</v>
      </c>
      <c r="AW178">
        <v>33276</v>
      </c>
      <c r="BA178" t="s">
        <v>522</v>
      </c>
      <c r="BD178" t="s">
        <v>3400</v>
      </c>
      <c r="BE178" t="s">
        <v>3448</v>
      </c>
      <c r="BF178" t="s">
        <v>600</v>
      </c>
    </row>
    <row r="179" spans="1:58">
      <c r="A179" s="1">
        <f>HYPERLINK("https://lsnyc.legalserver.org/matter/dynamic-profile/view/1872585","18-1872585")</f>
        <v>0</v>
      </c>
      <c r="E179" t="s">
        <v>381</v>
      </c>
      <c r="F179" t="s">
        <v>59</v>
      </c>
      <c r="G179" t="s">
        <v>80</v>
      </c>
      <c r="H179" t="s">
        <v>746</v>
      </c>
      <c r="J179" t="s">
        <v>977</v>
      </c>
      <c r="K179" t="s">
        <v>1299</v>
      </c>
      <c r="L179" t="s">
        <v>1640</v>
      </c>
      <c r="M179">
        <v>1</v>
      </c>
      <c r="N179" t="s">
        <v>288</v>
      </c>
      <c r="O179" t="s">
        <v>289</v>
      </c>
      <c r="P179">
        <v>11216</v>
      </c>
      <c r="Q179" t="s">
        <v>290</v>
      </c>
      <c r="R179" t="s">
        <v>290</v>
      </c>
      <c r="S179" t="s">
        <v>293</v>
      </c>
      <c r="T179" t="s">
        <v>2205</v>
      </c>
      <c r="U179">
        <v>5</v>
      </c>
      <c r="V179" t="s">
        <v>340</v>
      </c>
      <c r="W179" t="s">
        <v>346</v>
      </c>
      <c r="Y179" t="s">
        <v>348</v>
      </c>
      <c r="Z179" t="s">
        <v>350</v>
      </c>
      <c r="AC179" t="s">
        <v>352</v>
      </c>
      <c r="AE179" t="s">
        <v>2447</v>
      </c>
      <c r="AF179">
        <v>2019</v>
      </c>
      <c r="AG179">
        <v>0</v>
      </c>
      <c r="AH179">
        <v>0</v>
      </c>
      <c r="AI179">
        <v>3.45</v>
      </c>
      <c r="AJ179" t="s">
        <v>2677</v>
      </c>
      <c r="AL179" t="s">
        <v>3115</v>
      </c>
      <c r="AM179">
        <v>5</v>
      </c>
      <c r="AO179">
        <v>2</v>
      </c>
      <c r="AP179">
        <v>0</v>
      </c>
      <c r="AQ179">
        <v>139.73</v>
      </c>
      <c r="AT179" t="s">
        <v>500</v>
      </c>
      <c r="AU179" t="s">
        <v>503</v>
      </c>
      <c r="AV179" t="s">
        <v>508</v>
      </c>
      <c r="AW179">
        <v>23000</v>
      </c>
      <c r="BA179" t="s">
        <v>522</v>
      </c>
      <c r="BD179" t="s">
        <v>3385</v>
      </c>
      <c r="BE179" t="s">
        <v>578</v>
      </c>
    </row>
    <row r="180" spans="1:58">
      <c r="A180" s="1">
        <f>HYPERLINK("https://lsnyc.legalserver.org/matter/dynamic-profile/view/1874212","18-1874212")</f>
        <v>0</v>
      </c>
      <c r="E180" t="s">
        <v>381</v>
      </c>
      <c r="F180" t="s">
        <v>72</v>
      </c>
      <c r="G180" t="s">
        <v>80</v>
      </c>
      <c r="H180" t="s">
        <v>706</v>
      </c>
      <c r="J180" t="s">
        <v>162</v>
      </c>
      <c r="K180" t="s">
        <v>1300</v>
      </c>
      <c r="L180" t="s">
        <v>1641</v>
      </c>
      <c r="M180" t="s">
        <v>1924</v>
      </c>
      <c r="N180" t="s">
        <v>288</v>
      </c>
      <c r="O180" t="s">
        <v>289</v>
      </c>
      <c r="P180">
        <v>11215</v>
      </c>
      <c r="Q180" t="s">
        <v>290</v>
      </c>
      <c r="R180" t="s">
        <v>290</v>
      </c>
      <c r="S180" t="s">
        <v>297</v>
      </c>
      <c r="T180" t="s">
        <v>2206</v>
      </c>
      <c r="U180">
        <v>2</v>
      </c>
      <c r="V180" t="s">
        <v>339</v>
      </c>
      <c r="W180" t="s">
        <v>346</v>
      </c>
      <c r="Y180" t="s">
        <v>349</v>
      </c>
      <c r="Z180" t="s">
        <v>350</v>
      </c>
      <c r="AC180" t="s">
        <v>352</v>
      </c>
      <c r="AE180" t="s">
        <v>2447</v>
      </c>
      <c r="AF180">
        <v>2019</v>
      </c>
      <c r="AG180">
        <v>850</v>
      </c>
      <c r="AH180">
        <v>1750</v>
      </c>
      <c r="AI180">
        <v>103.6</v>
      </c>
      <c r="AJ180" t="s">
        <v>2678</v>
      </c>
      <c r="AK180" t="s">
        <v>2921</v>
      </c>
      <c r="AL180" t="s">
        <v>3116</v>
      </c>
      <c r="AM180">
        <v>6</v>
      </c>
      <c r="AO180">
        <v>2</v>
      </c>
      <c r="AP180">
        <v>0</v>
      </c>
      <c r="AQ180">
        <v>199.27</v>
      </c>
      <c r="AT180" t="s">
        <v>500</v>
      </c>
      <c r="AV180" t="s">
        <v>508</v>
      </c>
      <c r="AW180">
        <v>32800</v>
      </c>
      <c r="AY180" t="s">
        <v>290</v>
      </c>
      <c r="BA180" t="s">
        <v>522</v>
      </c>
      <c r="BD180" t="s">
        <v>3376</v>
      </c>
      <c r="BE180" t="s">
        <v>3449</v>
      </c>
    </row>
    <row r="181" spans="1:58">
      <c r="A181" s="1">
        <f>HYPERLINK("https://lsnyc.legalserver.org/matter/dynamic-profile/view/1877369","18-1877369")</f>
        <v>0</v>
      </c>
      <c r="E181" t="s">
        <v>381</v>
      </c>
      <c r="F181" t="s">
        <v>63</v>
      </c>
      <c r="G181" t="s">
        <v>80</v>
      </c>
      <c r="H181" t="s">
        <v>683</v>
      </c>
      <c r="J181" t="s">
        <v>978</v>
      </c>
      <c r="K181" t="s">
        <v>1301</v>
      </c>
      <c r="L181" t="s">
        <v>1642</v>
      </c>
      <c r="M181">
        <v>2</v>
      </c>
      <c r="N181" t="s">
        <v>288</v>
      </c>
      <c r="O181" t="s">
        <v>289</v>
      </c>
      <c r="P181">
        <v>11213</v>
      </c>
      <c r="Q181" t="s">
        <v>290</v>
      </c>
      <c r="R181" t="s">
        <v>291</v>
      </c>
      <c r="S181" t="s">
        <v>295</v>
      </c>
      <c r="T181" t="s">
        <v>2207</v>
      </c>
      <c r="U181">
        <v>5</v>
      </c>
      <c r="V181" t="s">
        <v>340</v>
      </c>
      <c r="W181" t="s">
        <v>346</v>
      </c>
      <c r="Y181" t="s">
        <v>349</v>
      </c>
      <c r="Z181" t="s">
        <v>350</v>
      </c>
      <c r="AA181" t="s">
        <v>350</v>
      </c>
      <c r="AC181" t="s">
        <v>352</v>
      </c>
      <c r="AD181" t="s">
        <v>355</v>
      </c>
      <c r="AE181" t="s">
        <v>2447</v>
      </c>
      <c r="AF181">
        <v>2019</v>
      </c>
      <c r="AG181">
        <v>2225</v>
      </c>
      <c r="AH181">
        <v>2225</v>
      </c>
      <c r="AI181">
        <v>7.3</v>
      </c>
      <c r="AJ181" t="s">
        <v>2679</v>
      </c>
      <c r="AL181" t="s">
        <v>3117</v>
      </c>
      <c r="AM181">
        <v>2</v>
      </c>
      <c r="AO181">
        <v>4</v>
      </c>
      <c r="AP181">
        <v>0</v>
      </c>
      <c r="AQ181">
        <v>196.26</v>
      </c>
      <c r="AT181" t="s">
        <v>500</v>
      </c>
      <c r="AU181" t="s">
        <v>503</v>
      </c>
      <c r="AV181" t="s">
        <v>508</v>
      </c>
      <c r="AW181">
        <v>49260.36</v>
      </c>
      <c r="AY181" t="s">
        <v>290</v>
      </c>
      <c r="BA181" t="s">
        <v>3341</v>
      </c>
      <c r="BD181" t="s">
        <v>3391</v>
      </c>
      <c r="BE181" t="s">
        <v>637</v>
      </c>
    </row>
    <row r="182" spans="1:58">
      <c r="A182" s="1">
        <f>HYPERLINK("https://lsnyc.legalserver.org/matter/dynamic-profile/view/1882982","18-1882982")</f>
        <v>0</v>
      </c>
      <c r="E182" t="s">
        <v>381</v>
      </c>
      <c r="F182" t="s">
        <v>75</v>
      </c>
      <c r="G182" t="s">
        <v>80</v>
      </c>
      <c r="H182" t="s">
        <v>726</v>
      </c>
      <c r="J182" t="s">
        <v>910</v>
      </c>
      <c r="K182" t="s">
        <v>1302</v>
      </c>
      <c r="L182" t="s">
        <v>1643</v>
      </c>
      <c r="M182" t="s">
        <v>1935</v>
      </c>
      <c r="N182" t="s">
        <v>288</v>
      </c>
      <c r="O182" t="s">
        <v>289</v>
      </c>
      <c r="P182">
        <v>11213</v>
      </c>
      <c r="Q182" t="s">
        <v>290</v>
      </c>
      <c r="R182" t="s">
        <v>290</v>
      </c>
      <c r="S182" t="s">
        <v>295</v>
      </c>
      <c r="T182" t="s">
        <v>2208</v>
      </c>
      <c r="U182">
        <v>12</v>
      </c>
      <c r="V182" t="s">
        <v>339</v>
      </c>
      <c r="W182" t="s">
        <v>346</v>
      </c>
      <c r="Y182" t="s">
        <v>349</v>
      </c>
      <c r="Z182" t="s">
        <v>350</v>
      </c>
      <c r="AC182" t="s">
        <v>352</v>
      </c>
      <c r="AE182" t="s">
        <v>2447</v>
      </c>
      <c r="AF182">
        <v>2019</v>
      </c>
      <c r="AG182">
        <v>0</v>
      </c>
      <c r="AH182">
        <v>1750</v>
      </c>
      <c r="AI182">
        <v>20.85</v>
      </c>
      <c r="AJ182" t="s">
        <v>2680</v>
      </c>
      <c r="AK182" t="s">
        <v>2922</v>
      </c>
      <c r="AL182" t="s">
        <v>3118</v>
      </c>
      <c r="AM182">
        <v>72</v>
      </c>
      <c r="AO182">
        <v>1</v>
      </c>
      <c r="AP182">
        <v>3</v>
      </c>
      <c r="AQ182">
        <v>23.9</v>
      </c>
      <c r="AT182" t="s">
        <v>501</v>
      </c>
      <c r="AU182" t="s">
        <v>299</v>
      </c>
      <c r="AV182" t="s">
        <v>508</v>
      </c>
      <c r="AW182">
        <v>6000</v>
      </c>
      <c r="BA182" t="s">
        <v>522</v>
      </c>
      <c r="BD182" t="s">
        <v>538</v>
      </c>
      <c r="BE182" t="s">
        <v>584</v>
      </c>
    </row>
    <row r="183" spans="1:58">
      <c r="A183" s="1">
        <f>HYPERLINK("https://lsnyc.legalserver.org/matter/dynamic-profile/view/1883031","18-1883031")</f>
        <v>0</v>
      </c>
      <c r="E183" t="s">
        <v>381</v>
      </c>
      <c r="F183" t="s">
        <v>75</v>
      </c>
      <c r="G183" t="s">
        <v>80</v>
      </c>
      <c r="H183" t="s">
        <v>726</v>
      </c>
      <c r="J183" t="s">
        <v>979</v>
      </c>
      <c r="K183" t="s">
        <v>1227</v>
      </c>
      <c r="L183" t="s">
        <v>1644</v>
      </c>
      <c r="M183" t="s">
        <v>1936</v>
      </c>
      <c r="N183" t="s">
        <v>288</v>
      </c>
      <c r="O183" t="s">
        <v>289</v>
      </c>
      <c r="P183">
        <v>11213</v>
      </c>
      <c r="Q183" t="s">
        <v>290</v>
      </c>
      <c r="R183" t="s">
        <v>290</v>
      </c>
      <c r="S183" t="s">
        <v>295</v>
      </c>
      <c r="T183" t="s">
        <v>2209</v>
      </c>
      <c r="U183">
        <v>50</v>
      </c>
      <c r="V183" t="s">
        <v>339</v>
      </c>
      <c r="W183" t="s">
        <v>346</v>
      </c>
      <c r="Y183" t="s">
        <v>349</v>
      </c>
      <c r="Z183" t="s">
        <v>350</v>
      </c>
      <c r="AC183" t="s">
        <v>352</v>
      </c>
      <c r="AE183" t="s">
        <v>2447</v>
      </c>
      <c r="AF183">
        <v>2019</v>
      </c>
      <c r="AG183">
        <v>0</v>
      </c>
      <c r="AH183">
        <v>637.45</v>
      </c>
      <c r="AI183">
        <v>16.7</v>
      </c>
      <c r="AJ183" t="s">
        <v>2681</v>
      </c>
      <c r="AL183" t="s">
        <v>3119</v>
      </c>
      <c r="AM183">
        <v>7</v>
      </c>
      <c r="AO183">
        <v>1</v>
      </c>
      <c r="AP183">
        <v>0</v>
      </c>
      <c r="AQ183">
        <v>29.65</v>
      </c>
      <c r="AT183" t="s">
        <v>500</v>
      </c>
      <c r="AU183" t="s">
        <v>506</v>
      </c>
      <c r="AV183" t="s">
        <v>508</v>
      </c>
      <c r="AW183">
        <v>3600</v>
      </c>
      <c r="BA183" t="s">
        <v>522</v>
      </c>
      <c r="BD183" t="s">
        <v>543</v>
      </c>
      <c r="BE183" t="s">
        <v>809</v>
      </c>
    </row>
    <row r="184" spans="1:58">
      <c r="A184" s="1">
        <f>HYPERLINK("https://lsnyc.legalserver.org/matter/dynamic-profile/view/1884987","18-1884987")</f>
        <v>0</v>
      </c>
      <c r="E184" t="s">
        <v>381</v>
      </c>
      <c r="F184" t="s">
        <v>59</v>
      </c>
      <c r="G184" t="s">
        <v>80</v>
      </c>
      <c r="H184" t="s">
        <v>747</v>
      </c>
      <c r="J184" t="s">
        <v>964</v>
      </c>
      <c r="K184" t="s">
        <v>1048</v>
      </c>
      <c r="L184" t="s">
        <v>1645</v>
      </c>
      <c r="M184" t="s">
        <v>1860</v>
      </c>
      <c r="N184" t="s">
        <v>288</v>
      </c>
      <c r="O184" t="s">
        <v>289</v>
      </c>
      <c r="P184">
        <v>11213</v>
      </c>
      <c r="Q184" t="s">
        <v>290</v>
      </c>
      <c r="R184" t="s">
        <v>290</v>
      </c>
      <c r="S184" t="s">
        <v>2030</v>
      </c>
      <c r="T184" t="s">
        <v>2210</v>
      </c>
      <c r="U184">
        <v>26</v>
      </c>
      <c r="V184" t="s">
        <v>339</v>
      </c>
      <c r="W184" t="s">
        <v>346</v>
      </c>
      <c r="Y184" t="s">
        <v>349</v>
      </c>
      <c r="Z184" t="s">
        <v>350</v>
      </c>
      <c r="AC184" t="s">
        <v>352</v>
      </c>
      <c r="AE184" t="s">
        <v>2447</v>
      </c>
      <c r="AF184">
        <v>2019</v>
      </c>
      <c r="AG184">
        <v>0</v>
      </c>
      <c r="AH184">
        <v>647.29</v>
      </c>
      <c r="AI184">
        <v>10.7</v>
      </c>
      <c r="AJ184" t="s">
        <v>2682</v>
      </c>
      <c r="AL184" t="s">
        <v>3120</v>
      </c>
      <c r="AM184">
        <v>20</v>
      </c>
      <c r="AN184" t="s">
        <v>493</v>
      </c>
      <c r="AO184">
        <v>1</v>
      </c>
      <c r="AP184">
        <v>0</v>
      </c>
      <c r="AQ184">
        <v>76.16</v>
      </c>
      <c r="AT184" t="s">
        <v>500</v>
      </c>
      <c r="AV184" t="s">
        <v>508</v>
      </c>
      <c r="AW184">
        <v>9246</v>
      </c>
      <c r="BA184" t="s">
        <v>530</v>
      </c>
      <c r="BD184" t="s">
        <v>3401</v>
      </c>
      <c r="BE184" t="s">
        <v>584</v>
      </c>
    </row>
    <row r="185" spans="1:58">
      <c r="A185" s="1">
        <f>HYPERLINK("https://lsnyc.legalserver.org/matter/dynamic-profile/view/1888430","19-1888430")</f>
        <v>0</v>
      </c>
      <c r="E185" t="s">
        <v>381</v>
      </c>
      <c r="F185" t="s">
        <v>63</v>
      </c>
      <c r="G185" t="s">
        <v>80</v>
      </c>
      <c r="H185" t="s">
        <v>742</v>
      </c>
      <c r="J185" t="s">
        <v>980</v>
      </c>
      <c r="K185" t="s">
        <v>1303</v>
      </c>
      <c r="L185" t="s">
        <v>1646</v>
      </c>
      <c r="M185" t="s">
        <v>1937</v>
      </c>
      <c r="N185" t="s">
        <v>288</v>
      </c>
      <c r="O185" t="s">
        <v>289</v>
      </c>
      <c r="P185">
        <v>11213</v>
      </c>
      <c r="Q185" t="s">
        <v>290</v>
      </c>
      <c r="R185" t="s">
        <v>290</v>
      </c>
      <c r="S185" t="s">
        <v>295</v>
      </c>
      <c r="T185" t="s">
        <v>2211</v>
      </c>
      <c r="U185">
        <v>9</v>
      </c>
      <c r="V185" t="s">
        <v>339</v>
      </c>
      <c r="W185" t="s">
        <v>346</v>
      </c>
      <c r="Y185" t="s">
        <v>349</v>
      </c>
      <c r="Z185" t="s">
        <v>350</v>
      </c>
      <c r="AC185" t="s">
        <v>352</v>
      </c>
      <c r="AE185" t="s">
        <v>2447</v>
      </c>
      <c r="AF185">
        <v>2019</v>
      </c>
      <c r="AG185">
        <v>0</v>
      </c>
      <c r="AH185">
        <v>1198.97</v>
      </c>
      <c r="AI185">
        <v>12.1</v>
      </c>
      <c r="AJ185" t="s">
        <v>2683</v>
      </c>
      <c r="AL185" t="s">
        <v>3121</v>
      </c>
      <c r="AM185">
        <v>47</v>
      </c>
      <c r="AO185">
        <v>1</v>
      </c>
      <c r="AP185">
        <v>0</v>
      </c>
      <c r="AQ185">
        <v>82.44</v>
      </c>
      <c r="AT185" t="s">
        <v>500</v>
      </c>
      <c r="AU185" t="s">
        <v>503</v>
      </c>
      <c r="AV185" t="s">
        <v>508</v>
      </c>
      <c r="AW185">
        <v>10008</v>
      </c>
      <c r="BA185" t="s">
        <v>3341</v>
      </c>
      <c r="BD185" t="s">
        <v>540</v>
      </c>
      <c r="BE185" t="s">
        <v>809</v>
      </c>
    </row>
    <row r="186" spans="1:58">
      <c r="A186" s="1">
        <f>HYPERLINK("https://lsnyc.legalserver.org/matter/dynamic-profile/view/1881603","18-1881603")</f>
        <v>0</v>
      </c>
      <c r="E186" t="s">
        <v>381</v>
      </c>
      <c r="F186" t="s">
        <v>69</v>
      </c>
      <c r="G186" t="s">
        <v>80</v>
      </c>
      <c r="H186" t="s">
        <v>748</v>
      </c>
      <c r="J186" t="s">
        <v>981</v>
      </c>
      <c r="K186" t="s">
        <v>1304</v>
      </c>
      <c r="L186" t="s">
        <v>1647</v>
      </c>
      <c r="M186" t="s">
        <v>1938</v>
      </c>
      <c r="N186" t="s">
        <v>288</v>
      </c>
      <c r="O186" t="s">
        <v>289</v>
      </c>
      <c r="P186">
        <v>11210</v>
      </c>
      <c r="Q186" t="s">
        <v>290</v>
      </c>
      <c r="R186" t="s">
        <v>290</v>
      </c>
      <c r="S186" t="s">
        <v>295</v>
      </c>
      <c r="T186" t="s">
        <v>2212</v>
      </c>
      <c r="U186">
        <v>1</v>
      </c>
      <c r="V186" t="s">
        <v>340</v>
      </c>
      <c r="W186" t="s">
        <v>346</v>
      </c>
      <c r="Y186" t="s">
        <v>349</v>
      </c>
      <c r="Z186" t="s">
        <v>350</v>
      </c>
      <c r="AA186" t="s">
        <v>350</v>
      </c>
      <c r="AC186" t="s">
        <v>352</v>
      </c>
      <c r="AE186" t="s">
        <v>2447</v>
      </c>
      <c r="AF186">
        <v>2019</v>
      </c>
      <c r="AG186">
        <v>1000</v>
      </c>
      <c r="AH186">
        <v>1000</v>
      </c>
      <c r="AI186">
        <v>32.3</v>
      </c>
      <c r="AJ186" t="s">
        <v>2684</v>
      </c>
      <c r="AL186" t="s">
        <v>3122</v>
      </c>
      <c r="AM186">
        <v>55</v>
      </c>
      <c r="AN186" t="s">
        <v>493</v>
      </c>
      <c r="AO186">
        <v>1</v>
      </c>
      <c r="AP186">
        <v>1</v>
      </c>
      <c r="AQ186">
        <v>87.48</v>
      </c>
      <c r="AT186" t="s">
        <v>502</v>
      </c>
      <c r="AU186" t="s">
        <v>503</v>
      </c>
      <c r="AV186" t="s">
        <v>508</v>
      </c>
      <c r="AW186">
        <v>14400</v>
      </c>
      <c r="BA186" t="s">
        <v>3341</v>
      </c>
      <c r="BB186" t="s">
        <v>535</v>
      </c>
      <c r="BC186" t="s">
        <v>299</v>
      </c>
      <c r="BD186" t="s">
        <v>537</v>
      </c>
      <c r="BE186" t="s">
        <v>806</v>
      </c>
    </row>
    <row r="187" spans="1:58">
      <c r="A187" s="1">
        <f>HYPERLINK("https://lsnyc.legalserver.org/matter/dynamic-profile/view/1882558","18-1882558")</f>
        <v>0</v>
      </c>
      <c r="E187" t="s">
        <v>381</v>
      </c>
      <c r="F187" t="s">
        <v>75</v>
      </c>
      <c r="G187" t="s">
        <v>80</v>
      </c>
      <c r="H187" t="s">
        <v>720</v>
      </c>
      <c r="J187" t="s">
        <v>982</v>
      </c>
      <c r="K187" t="s">
        <v>1305</v>
      </c>
      <c r="L187" t="s">
        <v>1648</v>
      </c>
      <c r="M187" t="s">
        <v>1872</v>
      </c>
      <c r="N187" t="s">
        <v>288</v>
      </c>
      <c r="O187" t="s">
        <v>289</v>
      </c>
      <c r="P187">
        <v>11203</v>
      </c>
      <c r="Q187" t="s">
        <v>290</v>
      </c>
      <c r="R187" t="s">
        <v>290</v>
      </c>
      <c r="S187" t="s">
        <v>295</v>
      </c>
      <c r="T187" t="s">
        <v>2213</v>
      </c>
      <c r="U187">
        <v>39</v>
      </c>
      <c r="V187" t="s">
        <v>340</v>
      </c>
      <c r="W187" t="s">
        <v>346</v>
      </c>
      <c r="Y187" t="s">
        <v>349</v>
      </c>
      <c r="Z187" t="s">
        <v>350</v>
      </c>
      <c r="AC187" t="s">
        <v>352</v>
      </c>
      <c r="AE187" t="s">
        <v>2447</v>
      </c>
      <c r="AF187">
        <v>2019</v>
      </c>
      <c r="AG187">
        <v>0</v>
      </c>
      <c r="AH187">
        <v>834</v>
      </c>
      <c r="AI187">
        <v>77.59999999999999</v>
      </c>
      <c r="AJ187" t="s">
        <v>2685</v>
      </c>
      <c r="AL187" t="s">
        <v>3123</v>
      </c>
      <c r="AM187">
        <v>50</v>
      </c>
      <c r="AO187">
        <v>2</v>
      </c>
      <c r="AP187">
        <v>1</v>
      </c>
      <c r="AQ187">
        <v>134.74</v>
      </c>
      <c r="AT187" t="s">
        <v>502</v>
      </c>
      <c r="AU187" t="s">
        <v>503</v>
      </c>
      <c r="AV187" t="s">
        <v>508</v>
      </c>
      <c r="AW187">
        <v>28000</v>
      </c>
      <c r="BA187" t="s">
        <v>522</v>
      </c>
      <c r="BD187" t="s">
        <v>537</v>
      </c>
      <c r="BE187" t="s">
        <v>568</v>
      </c>
    </row>
    <row r="188" spans="1:58">
      <c r="A188" s="1">
        <f>HYPERLINK("https://lsnyc.legalserver.org/matter/dynamic-profile/view/1881406","18-1881406")</f>
        <v>0</v>
      </c>
      <c r="E188" t="s">
        <v>381</v>
      </c>
      <c r="F188" t="s">
        <v>59</v>
      </c>
      <c r="G188" t="s">
        <v>80</v>
      </c>
      <c r="H188" t="s">
        <v>749</v>
      </c>
      <c r="J188" t="s">
        <v>983</v>
      </c>
      <c r="K188" t="s">
        <v>1151</v>
      </c>
      <c r="L188" t="s">
        <v>243</v>
      </c>
      <c r="M188">
        <v>738</v>
      </c>
      <c r="N188" t="s">
        <v>288</v>
      </c>
      <c r="O188" t="s">
        <v>289</v>
      </c>
      <c r="P188">
        <v>11203</v>
      </c>
      <c r="Q188" t="s">
        <v>290</v>
      </c>
      <c r="R188" t="s">
        <v>290</v>
      </c>
      <c r="S188" t="s">
        <v>295</v>
      </c>
      <c r="T188" t="s">
        <v>2214</v>
      </c>
      <c r="U188">
        <v>1</v>
      </c>
      <c r="V188" t="s">
        <v>339</v>
      </c>
      <c r="W188" t="s">
        <v>346</v>
      </c>
      <c r="Y188" t="s">
        <v>349</v>
      </c>
      <c r="Z188" t="s">
        <v>350</v>
      </c>
      <c r="AC188" t="s">
        <v>352</v>
      </c>
      <c r="AE188" t="s">
        <v>2447</v>
      </c>
      <c r="AF188">
        <v>2019</v>
      </c>
      <c r="AG188">
        <v>173</v>
      </c>
      <c r="AH188">
        <v>1313</v>
      </c>
      <c r="AI188">
        <v>18</v>
      </c>
      <c r="AJ188" t="s">
        <v>2686</v>
      </c>
      <c r="AK188" t="s">
        <v>2923</v>
      </c>
      <c r="AL188" t="s">
        <v>3124</v>
      </c>
      <c r="AM188">
        <v>296</v>
      </c>
      <c r="AO188">
        <v>1</v>
      </c>
      <c r="AP188">
        <v>0</v>
      </c>
      <c r="AQ188">
        <v>82.73</v>
      </c>
      <c r="AU188" t="s">
        <v>507</v>
      </c>
      <c r="AV188" t="s">
        <v>508</v>
      </c>
      <c r="AW188">
        <v>10044</v>
      </c>
      <c r="BA188" t="s">
        <v>522</v>
      </c>
      <c r="BD188" t="s">
        <v>548</v>
      </c>
      <c r="BE188" t="s">
        <v>806</v>
      </c>
    </row>
    <row r="189" spans="1:58">
      <c r="A189" s="1">
        <f>HYPERLINK("https://lsnyc.legalserver.org/matter/dynamic-profile/view/1887433","19-1887433")</f>
        <v>0</v>
      </c>
      <c r="E189" t="s">
        <v>381</v>
      </c>
      <c r="F189" t="s">
        <v>59</v>
      </c>
      <c r="G189" t="s">
        <v>80</v>
      </c>
      <c r="H189" t="s">
        <v>648</v>
      </c>
      <c r="J189" t="s">
        <v>835</v>
      </c>
      <c r="K189" t="s">
        <v>1306</v>
      </c>
      <c r="L189" t="s">
        <v>1649</v>
      </c>
      <c r="M189" t="s">
        <v>1881</v>
      </c>
      <c r="N189" t="s">
        <v>288</v>
      </c>
      <c r="O189" t="s">
        <v>289</v>
      </c>
      <c r="P189">
        <v>11225</v>
      </c>
      <c r="Q189" t="s">
        <v>290</v>
      </c>
      <c r="R189" t="s">
        <v>290</v>
      </c>
      <c r="S189" t="s">
        <v>292</v>
      </c>
      <c r="T189" t="s">
        <v>2215</v>
      </c>
      <c r="U189">
        <v>37</v>
      </c>
      <c r="V189" t="s">
        <v>339</v>
      </c>
      <c r="W189" t="s">
        <v>346</v>
      </c>
      <c r="Y189" t="s">
        <v>348</v>
      </c>
      <c r="Z189" t="s">
        <v>350</v>
      </c>
      <c r="AA189" t="s">
        <v>350</v>
      </c>
      <c r="AC189" t="s">
        <v>352</v>
      </c>
      <c r="AE189" t="s">
        <v>2490</v>
      </c>
      <c r="AF189">
        <v>2019</v>
      </c>
      <c r="AG189">
        <v>0</v>
      </c>
      <c r="AH189">
        <v>1273.68</v>
      </c>
      <c r="AI189">
        <v>27.5</v>
      </c>
      <c r="AJ189" t="s">
        <v>2687</v>
      </c>
      <c r="AL189" t="s">
        <v>3125</v>
      </c>
      <c r="AM189">
        <v>50</v>
      </c>
      <c r="AN189" t="s">
        <v>493</v>
      </c>
      <c r="AO189">
        <v>1</v>
      </c>
      <c r="AP189">
        <v>0</v>
      </c>
      <c r="AQ189">
        <v>385.5</v>
      </c>
      <c r="AR189" t="s">
        <v>782</v>
      </c>
      <c r="AS189" t="s">
        <v>3328</v>
      </c>
      <c r="AT189" t="s">
        <v>500</v>
      </c>
      <c r="AV189" t="s">
        <v>508</v>
      </c>
      <c r="AW189">
        <v>46800</v>
      </c>
      <c r="BA189" t="s">
        <v>3343</v>
      </c>
      <c r="BD189" t="s">
        <v>3402</v>
      </c>
      <c r="BE189" t="s">
        <v>675</v>
      </c>
    </row>
    <row r="190" spans="1:58">
      <c r="A190" s="1">
        <f>HYPERLINK("https://lsnyc.legalserver.org/matter/dynamic-profile/view/1888084","19-1888084")</f>
        <v>0</v>
      </c>
      <c r="E190" t="s">
        <v>381</v>
      </c>
      <c r="F190" t="s">
        <v>75</v>
      </c>
      <c r="G190" t="s">
        <v>80</v>
      </c>
      <c r="H190" t="s">
        <v>750</v>
      </c>
      <c r="J190" t="s">
        <v>984</v>
      </c>
      <c r="K190" t="s">
        <v>1307</v>
      </c>
      <c r="L190" t="s">
        <v>1650</v>
      </c>
      <c r="M190" t="s">
        <v>1939</v>
      </c>
      <c r="N190" t="s">
        <v>288</v>
      </c>
      <c r="O190" t="s">
        <v>289</v>
      </c>
      <c r="P190">
        <v>11221</v>
      </c>
      <c r="Q190" t="s">
        <v>290</v>
      </c>
      <c r="R190" t="s">
        <v>290</v>
      </c>
      <c r="T190" t="s">
        <v>2216</v>
      </c>
      <c r="U190">
        <v>4</v>
      </c>
      <c r="V190" t="s">
        <v>340</v>
      </c>
      <c r="W190" t="s">
        <v>346</v>
      </c>
      <c r="Y190" t="s">
        <v>348</v>
      </c>
      <c r="Z190" t="s">
        <v>350</v>
      </c>
      <c r="AA190" t="s">
        <v>350</v>
      </c>
      <c r="AC190" t="s">
        <v>352</v>
      </c>
      <c r="AE190" t="s">
        <v>2491</v>
      </c>
      <c r="AF190">
        <v>2019</v>
      </c>
      <c r="AG190">
        <v>0</v>
      </c>
      <c r="AH190">
        <v>1000</v>
      </c>
      <c r="AI190">
        <v>23.7</v>
      </c>
      <c r="AJ190" t="s">
        <v>2688</v>
      </c>
      <c r="AL190" t="s">
        <v>3126</v>
      </c>
      <c r="AM190">
        <v>3</v>
      </c>
      <c r="AO190">
        <v>2</v>
      </c>
      <c r="AP190">
        <v>0</v>
      </c>
      <c r="AQ190">
        <v>81.43000000000001</v>
      </c>
      <c r="AT190" t="s">
        <v>500</v>
      </c>
      <c r="AV190" t="s">
        <v>508</v>
      </c>
      <c r="AW190">
        <v>13404</v>
      </c>
      <c r="BA190" t="s">
        <v>3343</v>
      </c>
      <c r="BD190" t="s">
        <v>3403</v>
      </c>
      <c r="BE190" t="s">
        <v>576</v>
      </c>
    </row>
    <row r="191" spans="1:58">
      <c r="A191" s="1">
        <f>HYPERLINK("https://lsnyc.legalserver.org/matter/dynamic-profile/view/1888117","19-1888117")</f>
        <v>0</v>
      </c>
      <c r="E191" t="s">
        <v>381</v>
      </c>
      <c r="F191" t="s">
        <v>75</v>
      </c>
      <c r="G191" t="s">
        <v>80</v>
      </c>
      <c r="H191" t="s">
        <v>750</v>
      </c>
      <c r="J191" t="s">
        <v>898</v>
      </c>
      <c r="K191" t="s">
        <v>1308</v>
      </c>
      <c r="L191" t="s">
        <v>1651</v>
      </c>
      <c r="M191" t="s">
        <v>1864</v>
      </c>
      <c r="N191" t="s">
        <v>288</v>
      </c>
      <c r="O191" t="s">
        <v>289</v>
      </c>
      <c r="P191">
        <v>11219</v>
      </c>
      <c r="Q191" t="s">
        <v>290</v>
      </c>
      <c r="R191" t="s">
        <v>290</v>
      </c>
      <c r="S191" t="s">
        <v>295</v>
      </c>
      <c r="T191" t="s">
        <v>2217</v>
      </c>
      <c r="U191">
        <v>4</v>
      </c>
      <c r="V191" t="s">
        <v>340</v>
      </c>
      <c r="W191" t="s">
        <v>346</v>
      </c>
      <c r="Y191" t="s">
        <v>349</v>
      </c>
      <c r="Z191" t="s">
        <v>350</v>
      </c>
      <c r="AA191" t="s">
        <v>350</v>
      </c>
      <c r="AC191" t="s">
        <v>352</v>
      </c>
      <c r="AD191" t="s">
        <v>356</v>
      </c>
      <c r="AE191" t="s">
        <v>2491</v>
      </c>
      <c r="AF191">
        <v>2019</v>
      </c>
      <c r="AG191">
        <v>0</v>
      </c>
      <c r="AH191">
        <v>1014</v>
      </c>
      <c r="AI191">
        <v>51.1</v>
      </c>
      <c r="AJ191" t="s">
        <v>2689</v>
      </c>
      <c r="AL191" t="s">
        <v>3127</v>
      </c>
      <c r="AM191">
        <v>5</v>
      </c>
      <c r="AN191" t="s">
        <v>496</v>
      </c>
      <c r="AO191">
        <v>1</v>
      </c>
      <c r="AP191">
        <v>1</v>
      </c>
      <c r="AQ191">
        <v>0</v>
      </c>
      <c r="AT191" t="s">
        <v>502</v>
      </c>
      <c r="AU191" t="s">
        <v>503</v>
      </c>
      <c r="AV191" t="s">
        <v>509</v>
      </c>
      <c r="AW191">
        <v>0</v>
      </c>
      <c r="BA191" t="s">
        <v>3343</v>
      </c>
      <c r="BD191" t="s">
        <v>544</v>
      </c>
      <c r="BE191" t="s">
        <v>561</v>
      </c>
    </row>
    <row r="192" spans="1:58">
      <c r="A192" s="1">
        <f>HYPERLINK("https://lsnyc.legalserver.org/matter/dynamic-profile/view/1887823","19-1887823")</f>
        <v>0</v>
      </c>
      <c r="E192" t="s">
        <v>381</v>
      </c>
      <c r="F192" t="s">
        <v>629</v>
      </c>
      <c r="G192" t="s">
        <v>80</v>
      </c>
      <c r="H192" t="s">
        <v>751</v>
      </c>
      <c r="J192" t="s">
        <v>985</v>
      </c>
      <c r="K192" t="s">
        <v>1309</v>
      </c>
      <c r="L192" t="s">
        <v>1652</v>
      </c>
      <c r="M192" t="s">
        <v>1940</v>
      </c>
      <c r="N192" t="s">
        <v>288</v>
      </c>
      <c r="O192" t="s">
        <v>289</v>
      </c>
      <c r="P192">
        <v>11216</v>
      </c>
      <c r="Q192" t="s">
        <v>290</v>
      </c>
      <c r="R192" t="s">
        <v>290</v>
      </c>
      <c r="S192" t="s">
        <v>293</v>
      </c>
      <c r="T192" t="s">
        <v>2218</v>
      </c>
      <c r="U192">
        <v>23</v>
      </c>
      <c r="V192" t="s">
        <v>339</v>
      </c>
      <c r="W192" t="s">
        <v>346</v>
      </c>
      <c r="Y192" t="s">
        <v>348</v>
      </c>
      <c r="Z192" t="s">
        <v>350</v>
      </c>
      <c r="AA192" t="s">
        <v>350</v>
      </c>
      <c r="AC192" t="s">
        <v>352</v>
      </c>
      <c r="AD192" t="s">
        <v>356</v>
      </c>
      <c r="AE192" t="s">
        <v>2492</v>
      </c>
      <c r="AF192">
        <v>2019</v>
      </c>
      <c r="AG192">
        <v>0</v>
      </c>
      <c r="AH192">
        <v>613</v>
      </c>
      <c r="AI192">
        <v>11.9</v>
      </c>
      <c r="AJ192" t="s">
        <v>2690</v>
      </c>
      <c r="AL192" t="s">
        <v>3128</v>
      </c>
      <c r="AM192">
        <v>84</v>
      </c>
      <c r="AN192" t="s">
        <v>497</v>
      </c>
      <c r="AO192">
        <v>1</v>
      </c>
      <c r="AP192">
        <v>0</v>
      </c>
      <c r="AQ192">
        <v>200.16</v>
      </c>
      <c r="AR192" t="s">
        <v>782</v>
      </c>
      <c r="AS192" t="s">
        <v>3328</v>
      </c>
      <c r="AT192" t="s">
        <v>500</v>
      </c>
      <c r="AU192" t="s">
        <v>507</v>
      </c>
      <c r="AV192" t="s">
        <v>508</v>
      </c>
      <c r="AW192">
        <v>25000</v>
      </c>
      <c r="BA192" t="s">
        <v>3342</v>
      </c>
      <c r="BD192" t="s">
        <v>537</v>
      </c>
      <c r="BE192" t="s">
        <v>806</v>
      </c>
    </row>
    <row r="193" spans="1:58">
      <c r="A193" s="1">
        <f>HYPERLINK("https://lsnyc.legalserver.org/matter/dynamic-profile/view/1891135","19-1891135")</f>
        <v>0</v>
      </c>
      <c r="E193" t="s">
        <v>381</v>
      </c>
      <c r="F193" t="s">
        <v>63</v>
      </c>
      <c r="G193" t="s">
        <v>80</v>
      </c>
      <c r="H193" t="s">
        <v>651</v>
      </c>
      <c r="J193" t="s">
        <v>986</v>
      </c>
      <c r="K193" t="s">
        <v>1310</v>
      </c>
      <c r="L193" t="s">
        <v>1653</v>
      </c>
      <c r="M193" t="s">
        <v>1863</v>
      </c>
      <c r="N193" t="s">
        <v>288</v>
      </c>
      <c r="O193" t="s">
        <v>289</v>
      </c>
      <c r="P193">
        <v>11238</v>
      </c>
      <c r="Q193" t="s">
        <v>350</v>
      </c>
      <c r="R193" t="s">
        <v>291</v>
      </c>
      <c r="S193" t="s">
        <v>293</v>
      </c>
      <c r="T193" t="s">
        <v>2219</v>
      </c>
      <c r="U193">
        <v>28</v>
      </c>
      <c r="V193" t="s">
        <v>339</v>
      </c>
      <c r="W193" t="s">
        <v>346</v>
      </c>
      <c r="Y193" t="s">
        <v>349</v>
      </c>
      <c r="Z193" t="s">
        <v>350</v>
      </c>
      <c r="AA193" t="s">
        <v>350</v>
      </c>
      <c r="AC193" t="s">
        <v>352</v>
      </c>
      <c r="AD193" t="s">
        <v>356</v>
      </c>
      <c r="AE193" t="s">
        <v>369</v>
      </c>
      <c r="AF193">
        <v>2019</v>
      </c>
      <c r="AG193">
        <v>0</v>
      </c>
      <c r="AH193">
        <v>689.66</v>
      </c>
      <c r="AI193">
        <v>25.5</v>
      </c>
      <c r="AJ193" t="s">
        <v>2691</v>
      </c>
      <c r="AL193" t="s">
        <v>3129</v>
      </c>
      <c r="AM193">
        <v>24</v>
      </c>
      <c r="AN193" t="s">
        <v>493</v>
      </c>
      <c r="AO193">
        <v>2</v>
      </c>
      <c r="AP193">
        <v>0</v>
      </c>
      <c r="AQ193">
        <v>396.22</v>
      </c>
      <c r="AT193" t="s">
        <v>500</v>
      </c>
      <c r="AV193" t="s">
        <v>508</v>
      </c>
      <c r="AW193">
        <v>67000</v>
      </c>
      <c r="BA193" t="s">
        <v>63</v>
      </c>
      <c r="BD193" t="s">
        <v>299</v>
      </c>
      <c r="BE193" t="s">
        <v>680</v>
      </c>
    </row>
    <row r="194" spans="1:58">
      <c r="A194" s="1">
        <f>HYPERLINK("https://lsnyc.legalserver.org/matter/dynamic-profile/view/1888888","19-1888888")</f>
        <v>0</v>
      </c>
      <c r="E194" t="s">
        <v>381</v>
      </c>
      <c r="F194" t="s">
        <v>622</v>
      </c>
      <c r="G194" t="s">
        <v>80</v>
      </c>
      <c r="H194" t="s">
        <v>752</v>
      </c>
      <c r="J194" t="s">
        <v>987</v>
      </c>
      <c r="K194" t="s">
        <v>1311</v>
      </c>
      <c r="L194" t="s">
        <v>1654</v>
      </c>
      <c r="M194" t="s">
        <v>1941</v>
      </c>
      <c r="N194" t="s">
        <v>288</v>
      </c>
      <c r="O194" t="s">
        <v>289</v>
      </c>
      <c r="P194">
        <v>11225</v>
      </c>
      <c r="Q194" t="s">
        <v>290</v>
      </c>
      <c r="R194" t="s">
        <v>291</v>
      </c>
      <c r="S194" t="s">
        <v>293</v>
      </c>
      <c r="U194">
        <v>14</v>
      </c>
      <c r="V194" t="s">
        <v>2433</v>
      </c>
      <c r="W194" t="s">
        <v>346</v>
      </c>
      <c r="Y194" t="s">
        <v>349</v>
      </c>
      <c r="Z194" t="s">
        <v>350</v>
      </c>
      <c r="AC194" t="s">
        <v>352</v>
      </c>
      <c r="AE194" t="s">
        <v>2451</v>
      </c>
      <c r="AF194">
        <v>2019</v>
      </c>
      <c r="AG194">
        <v>0</v>
      </c>
      <c r="AH194">
        <v>1400</v>
      </c>
      <c r="AI194">
        <v>9.800000000000001</v>
      </c>
      <c r="AJ194" t="s">
        <v>2692</v>
      </c>
      <c r="AL194" t="s">
        <v>3130</v>
      </c>
      <c r="AM194">
        <v>90</v>
      </c>
      <c r="AN194" t="s">
        <v>493</v>
      </c>
      <c r="AO194">
        <v>2</v>
      </c>
      <c r="AP194">
        <v>2</v>
      </c>
      <c r="AQ194">
        <v>43.42</v>
      </c>
      <c r="AT194" t="s">
        <v>501</v>
      </c>
      <c r="AV194" t="s">
        <v>508</v>
      </c>
      <c r="AW194">
        <v>11180</v>
      </c>
      <c r="BA194" t="s">
        <v>530</v>
      </c>
      <c r="BD194" t="s">
        <v>3404</v>
      </c>
      <c r="BE194" t="s">
        <v>3450</v>
      </c>
      <c r="BF194" t="s">
        <v>600</v>
      </c>
    </row>
    <row r="195" spans="1:58">
      <c r="A195" s="1">
        <f>HYPERLINK("https://lsnyc.legalserver.org/matter/dynamic-profile/view/1889268","19-1889268")</f>
        <v>0</v>
      </c>
      <c r="E195" t="s">
        <v>381</v>
      </c>
      <c r="F195" t="s">
        <v>628</v>
      </c>
      <c r="G195" t="s">
        <v>80</v>
      </c>
      <c r="H195" t="s">
        <v>753</v>
      </c>
      <c r="J195" t="s">
        <v>988</v>
      </c>
      <c r="K195" t="s">
        <v>1312</v>
      </c>
      <c r="L195" t="s">
        <v>1655</v>
      </c>
      <c r="M195">
        <v>26</v>
      </c>
      <c r="N195" t="s">
        <v>288</v>
      </c>
      <c r="O195" t="s">
        <v>289</v>
      </c>
      <c r="P195">
        <v>11238</v>
      </c>
      <c r="Q195" t="s">
        <v>290</v>
      </c>
      <c r="R195" t="s">
        <v>290</v>
      </c>
      <c r="S195" t="s">
        <v>295</v>
      </c>
      <c r="T195" t="s">
        <v>2220</v>
      </c>
      <c r="U195">
        <v>18</v>
      </c>
      <c r="V195" t="s">
        <v>340</v>
      </c>
      <c r="W195" t="s">
        <v>346</v>
      </c>
      <c r="Y195" t="s">
        <v>349</v>
      </c>
      <c r="Z195" t="s">
        <v>350</v>
      </c>
      <c r="AA195" t="s">
        <v>350</v>
      </c>
      <c r="AC195" t="s">
        <v>352</v>
      </c>
      <c r="AD195" t="s">
        <v>2445</v>
      </c>
      <c r="AE195" t="s">
        <v>370</v>
      </c>
      <c r="AF195">
        <v>2019</v>
      </c>
      <c r="AG195">
        <v>0</v>
      </c>
      <c r="AH195">
        <v>837.26</v>
      </c>
      <c r="AI195">
        <v>94.40000000000001</v>
      </c>
      <c r="AJ195" t="s">
        <v>2693</v>
      </c>
      <c r="AL195" t="s">
        <v>3131</v>
      </c>
      <c r="AM195">
        <v>26</v>
      </c>
      <c r="AN195" t="s">
        <v>493</v>
      </c>
      <c r="AO195">
        <v>2</v>
      </c>
      <c r="AP195">
        <v>1</v>
      </c>
      <c r="AQ195">
        <v>140.65</v>
      </c>
      <c r="AT195" t="s">
        <v>502</v>
      </c>
      <c r="AU195" t="s">
        <v>503</v>
      </c>
      <c r="AV195" t="s">
        <v>508</v>
      </c>
      <c r="AW195">
        <v>30000</v>
      </c>
      <c r="BA195" t="s">
        <v>3341</v>
      </c>
      <c r="BD195" t="s">
        <v>537</v>
      </c>
      <c r="BE195" t="s">
        <v>561</v>
      </c>
    </row>
    <row r="196" spans="1:58">
      <c r="A196" s="1">
        <f>HYPERLINK("https://lsnyc.legalserver.org/matter/dynamic-profile/view/1886759","18-1886759")</f>
        <v>0</v>
      </c>
      <c r="E196" t="s">
        <v>381</v>
      </c>
      <c r="F196" t="s">
        <v>72</v>
      </c>
      <c r="G196" t="s">
        <v>80</v>
      </c>
      <c r="H196" t="s">
        <v>754</v>
      </c>
      <c r="J196" t="s">
        <v>989</v>
      </c>
      <c r="K196" t="s">
        <v>1158</v>
      </c>
      <c r="L196" t="s">
        <v>1656</v>
      </c>
      <c r="M196" t="s">
        <v>1853</v>
      </c>
      <c r="N196" t="s">
        <v>288</v>
      </c>
      <c r="O196" t="s">
        <v>289</v>
      </c>
      <c r="P196">
        <v>11236</v>
      </c>
      <c r="Q196" t="s">
        <v>290</v>
      </c>
      <c r="R196" t="s">
        <v>290</v>
      </c>
      <c r="S196" t="s">
        <v>295</v>
      </c>
      <c r="T196" t="s">
        <v>2221</v>
      </c>
      <c r="U196">
        <v>4</v>
      </c>
      <c r="V196" t="s">
        <v>340</v>
      </c>
      <c r="W196" t="s">
        <v>346</v>
      </c>
      <c r="Y196" t="s">
        <v>349</v>
      </c>
      <c r="Z196" t="s">
        <v>350</v>
      </c>
      <c r="AC196" t="s">
        <v>352</v>
      </c>
      <c r="AE196" t="s">
        <v>370</v>
      </c>
      <c r="AF196">
        <v>2019</v>
      </c>
      <c r="AG196">
        <v>0</v>
      </c>
      <c r="AH196">
        <v>1970</v>
      </c>
      <c r="AI196">
        <v>69</v>
      </c>
      <c r="AJ196" t="s">
        <v>2694</v>
      </c>
      <c r="AL196" t="s">
        <v>3132</v>
      </c>
      <c r="AM196">
        <v>2</v>
      </c>
      <c r="AO196">
        <v>1</v>
      </c>
      <c r="AP196">
        <v>5</v>
      </c>
      <c r="AQ196">
        <v>53.35</v>
      </c>
      <c r="AT196" t="s">
        <v>501</v>
      </c>
      <c r="AU196" t="s">
        <v>505</v>
      </c>
      <c r="AV196" t="s">
        <v>508</v>
      </c>
      <c r="AW196">
        <v>18000</v>
      </c>
      <c r="BA196" t="s">
        <v>3341</v>
      </c>
      <c r="BD196" t="s">
        <v>543</v>
      </c>
      <c r="BE196" t="s">
        <v>586</v>
      </c>
    </row>
    <row r="197" spans="1:58">
      <c r="A197" s="1">
        <f>HYPERLINK("https://lsnyc.legalserver.org/matter/dynamic-profile/view/1886056","18-1886056")</f>
        <v>0</v>
      </c>
      <c r="E197" t="s">
        <v>381</v>
      </c>
      <c r="F197" t="s">
        <v>622</v>
      </c>
      <c r="G197" t="s">
        <v>80</v>
      </c>
      <c r="H197" t="s">
        <v>733</v>
      </c>
      <c r="J197" t="s">
        <v>990</v>
      </c>
      <c r="K197" t="s">
        <v>1313</v>
      </c>
      <c r="L197" t="s">
        <v>1657</v>
      </c>
      <c r="M197" t="s">
        <v>1942</v>
      </c>
      <c r="N197" t="s">
        <v>288</v>
      </c>
      <c r="O197" t="s">
        <v>289</v>
      </c>
      <c r="P197">
        <v>11236</v>
      </c>
      <c r="Q197" t="s">
        <v>290</v>
      </c>
      <c r="R197" t="s">
        <v>290</v>
      </c>
      <c r="S197" t="s">
        <v>293</v>
      </c>
      <c r="U197">
        <v>5</v>
      </c>
      <c r="V197" t="s">
        <v>342</v>
      </c>
      <c r="W197" t="s">
        <v>346</v>
      </c>
      <c r="Y197" t="s">
        <v>349</v>
      </c>
      <c r="Z197" t="s">
        <v>350</v>
      </c>
      <c r="AA197" t="s">
        <v>350</v>
      </c>
      <c r="AC197" t="s">
        <v>353</v>
      </c>
      <c r="AE197" t="s">
        <v>370</v>
      </c>
      <c r="AF197">
        <v>2019</v>
      </c>
      <c r="AG197">
        <v>0</v>
      </c>
      <c r="AH197">
        <v>215</v>
      </c>
      <c r="AI197">
        <v>15</v>
      </c>
      <c r="AJ197" t="s">
        <v>2695</v>
      </c>
      <c r="AK197" t="s">
        <v>2924</v>
      </c>
      <c r="AL197" t="s">
        <v>3133</v>
      </c>
      <c r="AM197">
        <v>28</v>
      </c>
      <c r="AN197" t="s">
        <v>495</v>
      </c>
      <c r="AO197">
        <v>1</v>
      </c>
      <c r="AP197">
        <v>1</v>
      </c>
      <c r="AQ197">
        <v>70.34999999999999</v>
      </c>
      <c r="AT197" t="s">
        <v>501</v>
      </c>
      <c r="AV197" t="s">
        <v>508</v>
      </c>
      <c r="AW197">
        <v>11580</v>
      </c>
      <c r="BA197" t="s">
        <v>522</v>
      </c>
      <c r="BD197" t="s">
        <v>541</v>
      </c>
      <c r="BE197" t="s">
        <v>822</v>
      </c>
    </row>
    <row r="198" spans="1:58">
      <c r="A198" s="1">
        <f>HYPERLINK("https://lsnyc.legalserver.org/matter/dynamic-profile/view/1888810","19-1888810")</f>
        <v>0</v>
      </c>
      <c r="E198" t="s">
        <v>381</v>
      </c>
      <c r="F198" t="s">
        <v>65</v>
      </c>
      <c r="G198" t="s">
        <v>80</v>
      </c>
      <c r="H198" t="s">
        <v>755</v>
      </c>
      <c r="J198" t="s">
        <v>868</v>
      </c>
      <c r="K198" t="s">
        <v>1148</v>
      </c>
      <c r="L198" t="s">
        <v>1521</v>
      </c>
      <c r="M198" t="s">
        <v>1873</v>
      </c>
      <c r="N198" t="s">
        <v>288</v>
      </c>
      <c r="O198" t="s">
        <v>289</v>
      </c>
      <c r="P198">
        <v>11230</v>
      </c>
      <c r="Q198" t="s">
        <v>290</v>
      </c>
      <c r="R198" t="s">
        <v>290</v>
      </c>
      <c r="S198" t="s">
        <v>293</v>
      </c>
      <c r="T198" t="s">
        <v>2222</v>
      </c>
      <c r="U198">
        <v>32</v>
      </c>
      <c r="V198" t="s">
        <v>2434</v>
      </c>
      <c r="W198" t="s">
        <v>346</v>
      </c>
      <c r="Y198" t="s">
        <v>349</v>
      </c>
      <c r="Z198" t="s">
        <v>350</v>
      </c>
      <c r="AC198" t="s">
        <v>352</v>
      </c>
      <c r="AE198" t="s">
        <v>370</v>
      </c>
      <c r="AF198">
        <v>2019</v>
      </c>
      <c r="AG198">
        <v>0</v>
      </c>
      <c r="AH198">
        <v>1065</v>
      </c>
      <c r="AI198">
        <v>20.2</v>
      </c>
      <c r="AJ198" t="s">
        <v>2553</v>
      </c>
      <c r="AK198">
        <v>3855383</v>
      </c>
      <c r="AL198" t="s">
        <v>2998</v>
      </c>
      <c r="AM198">
        <v>20</v>
      </c>
      <c r="AN198" t="s">
        <v>493</v>
      </c>
      <c r="AO198">
        <v>1</v>
      </c>
      <c r="AP198">
        <v>2</v>
      </c>
      <c r="AQ198">
        <v>147.12</v>
      </c>
      <c r="AT198" t="s">
        <v>501</v>
      </c>
      <c r="AU198" t="s">
        <v>503</v>
      </c>
      <c r="AV198" t="s">
        <v>508</v>
      </c>
      <c r="AW198">
        <v>31380</v>
      </c>
      <c r="BA198" t="s">
        <v>3341</v>
      </c>
      <c r="BD198" t="s">
        <v>3374</v>
      </c>
      <c r="BE198" t="s">
        <v>580</v>
      </c>
    </row>
    <row r="199" spans="1:58">
      <c r="A199" s="1">
        <f>HYPERLINK("https://lsnyc.legalserver.org/matter/dynamic-profile/view/1889214","19-1889214")</f>
        <v>0</v>
      </c>
      <c r="E199" t="s">
        <v>381</v>
      </c>
      <c r="F199" t="s">
        <v>65</v>
      </c>
      <c r="G199" t="s">
        <v>80</v>
      </c>
      <c r="H199" t="s">
        <v>756</v>
      </c>
      <c r="J199" t="s">
        <v>868</v>
      </c>
      <c r="K199" t="s">
        <v>1148</v>
      </c>
      <c r="L199" t="s">
        <v>1521</v>
      </c>
      <c r="M199" t="s">
        <v>1873</v>
      </c>
      <c r="N199" t="s">
        <v>288</v>
      </c>
      <c r="O199" t="s">
        <v>289</v>
      </c>
      <c r="P199">
        <v>11230</v>
      </c>
      <c r="Q199" t="s">
        <v>290</v>
      </c>
      <c r="R199" t="s">
        <v>290</v>
      </c>
      <c r="S199" t="s">
        <v>293</v>
      </c>
      <c r="T199" t="s">
        <v>2223</v>
      </c>
      <c r="U199">
        <v>32</v>
      </c>
      <c r="V199" t="s">
        <v>2434</v>
      </c>
      <c r="W199" t="s">
        <v>346</v>
      </c>
      <c r="Y199" t="s">
        <v>349</v>
      </c>
      <c r="Z199" t="s">
        <v>350</v>
      </c>
      <c r="AC199" t="s">
        <v>352</v>
      </c>
      <c r="AE199" t="s">
        <v>370</v>
      </c>
      <c r="AF199">
        <v>2019</v>
      </c>
      <c r="AG199">
        <v>0</v>
      </c>
      <c r="AH199">
        <v>1065</v>
      </c>
      <c r="AI199">
        <v>1.3</v>
      </c>
      <c r="AJ199" t="s">
        <v>2553</v>
      </c>
      <c r="AK199">
        <v>3855383</v>
      </c>
      <c r="AL199" t="s">
        <v>2998</v>
      </c>
      <c r="AM199">
        <v>20</v>
      </c>
      <c r="AO199">
        <v>1</v>
      </c>
      <c r="AP199">
        <v>2</v>
      </c>
      <c r="AQ199">
        <v>57.38</v>
      </c>
      <c r="AT199" t="s">
        <v>501</v>
      </c>
      <c r="AU199" t="s">
        <v>503</v>
      </c>
      <c r="AV199" t="s">
        <v>508</v>
      </c>
      <c r="AW199">
        <v>12240</v>
      </c>
      <c r="BA199" t="s">
        <v>3341</v>
      </c>
      <c r="BD199" t="s">
        <v>3374</v>
      </c>
      <c r="BE199" t="s">
        <v>559</v>
      </c>
    </row>
    <row r="200" spans="1:58">
      <c r="A200" s="1">
        <f>HYPERLINK("https://lsnyc.legalserver.org/matter/dynamic-profile/view/1885822","18-1885822")</f>
        <v>0</v>
      </c>
      <c r="E200" t="s">
        <v>381</v>
      </c>
      <c r="F200" t="s">
        <v>75</v>
      </c>
      <c r="G200" t="s">
        <v>80</v>
      </c>
      <c r="H200" t="s">
        <v>740</v>
      </c>
      <c r="J200" t="s">
        <v>991</v>
      </c>
      <c r="K200" t="s">
        <v>1314</v>
      </c>
      <c r="L200" t="s">
        <v>1658</v>
      </c>
      <c r="M200" t="s">
        <v>1932</v>
      </c>
      <c r="N200" t="s">
        <v>288</v>
      </c>
      <c r="O200" t="s">
        <v>289</v>
      </c>
      <c r="P200">
        <v>11226</v>
      </c>
      <c r="Q200" t="s">
        <v>290</v>
      </c>
      <c r="R200" t="s">
        <v>290</v>
      </c>
      <c r="S200" t="s">
        <v>295</v>
      </c>
      <c r="T200" t="s">
        <v>2224</v>
      </c>
      <c r="U200">
        <v>10</v>
      </c>
      <c r="V200" t="s">
        <v>340</v>
      </c>
      <c r="W200" t="s">
        <v>346</v>
      </c>
      <c r="Y200" t="s">
        <v>348</v>
      </c>
      <c r="Z200" t="s">
        <v>350</v>
      </c>
      <c r="AC200" t="s">
        <v>352</v>
      </c>
      <c r="AE200" t="s">
        <v>370</v>
      </c>
      <c r="AF200">
        <v>2019</v>
      </c>
      <c r="AG200">
        <v>0</v>
      </c>
      <c r="AH200">
        <v>1200</v>
      </c>
      <c r="AI200">
        <v>29.6</v>
      </c>
      <c r="AJ200" t="s">
        <v>2696</v>
      </c>
      <c r="AL200" t="s">
        <v>3134</v>
      </c>
      <c r="AM200">
        <v>42</v>
      </c>
      <c r="AO200">
        <v>1</v>
      </c>
      <c r="AP200">
        <v>2</v>
      </c>
      <c r="AQ200">
        <v>75.06999999999999</v>
      </c>
      <c r="AT200" t="s">
        <v>502</v>
      </c>
      <c r="AU200" t="s">
        <v>503</v>
      </c>
      <c r="AV200" t="s">
        <v>508</v>
      </c>
      <c r="AW200">
        <v>15600</v>
      </c>
      <c r="BA200" t="s">
        <v>3341</v>
      </c>
      <c r="BD200" t="s">
        <v>537</v>
      </c>
      <c r="BE200" t="s">
        <v>777</v>
      </c>
    </row>
    <row r="201" spans="1:58">
      <c r="A201" s="1">
        <f>HYPERLINK("https://lsnyc.legalserver.org/matter/dynamic-profile/view/1889129","19-1889129")</f>
        <v>0</v>
      </c>
      <c r="E201" t="s">
        <v>381</v>
      </c>
      <c r="F201" t="s">
        <v>69</v>
      </c>
      <c r="G201" t="s">
        <v>80</v>
      </c>
      <c r="H201" t="s">
        <v>756</v>
      </c>
      <c r="J201" t="s">
        <v>986</v>
      </c>
      <c r="K201" t="s">
        <v>1315</v>
      </c>
      <c r="L201" t="s">
        <v>1594</v>
      </c>
      <c r="M201" t="s">
        <v>1943</v>
      </c>
      <c r="N201" t="s">
        <v>288</v>
      </c>
      <c r="O201" t="s">
        <v>289</v>
      </c>
      <c r="P201">
        <v>11226</v>
      </c>
      <c r="Q201" t="s">
        <v>290</v>
      </c>
      <c r="R201" t="s">
        <v>350</v>
      </c>
      <c r="S201" t="s">
        <v>295</v>
      </c>
      <c r="T201" t="s">
        <v>2225</v>
      </c>
      <c r="U201">
        <v>11</v>
      </c>
      <c r="V201" t="s">
        <v>340</v>
      </c>
      <c r="W201" t="s">
        <v>346</v>
      </c>
      <c r="Y201" t="s">
        <v>348</v>
      </c>
      <c r="Z201" t="s">
        <v>350</v>
      </c>
      <c r="AA201" t="s">
        <v>350</v>
      </c>
      <c r="AC201" t="s">
        <v>352</v>
      </c>
      <c r="AE201" t="s">
        <v>370</v>
      </c>
      <c r="AF201">
        <v>2019</v>
      </c>
      <c r="AG201">
        <v>0</v>
      </c>
      <c r="AH201">
        <v>1009.03</v>
      </c>
      <c r="AI201">
        <v>58.9</v>
      </c>
      <c r="AJ201" t="s">
        <v>2697</v>
      </c>
      <c r="AL201" t="s">
        <v>3135</v>
      </c>
      <c r="AM201">
        <v>16</v>
      </c>
      <c r="AN201" t="s">
        <v>493</v>
      </c>
      <c r="AO201">
        <v>2</v>
      </c>
      <c r="AP201">
        <v>0</v>
      </c>
      <c r="AQ201">
        <v>53.22</v>
      </c>
      <c r="AT201" t="s">
        <v>500</v>
      </c>
      <c r="AU201" t="s">
        <v>503</v>
      </c>
      <c r="AV201" t="s">
        <v>508</v>
      </c>
      <c r="AW201">
        <v>9000</v>
      </c>
      <c r="BA201" t="s">
        <v>3342</v>
      </c>
      <c r="BD201" t="s">
        <v>3358</v>
      </c>
      <c r="BE201" t="s">
        <v>806</v>
      </c>
    </row>
    <row r="202" spans="1:58">
      <c r="A202" s="1">
        <f>HYPERLINK("https://lsnyc.legalserver.org/matter/dynamic-profile/view/1890998","19-1890998")</f>
        <v>0</v>
      </c>
      <c r="E202" t="s">
        <v>381</v>
      </c>
      <c r="F202" t="s">
        <v>620</v>
      </c>
      <c r="G202" t="s">
        <v>80</v>
      </c>
      <c r="H202" t="s">
        <v>563</v>
      </c>
      <c r="J202" t="s">
        <v>992</v>
      </c>
      <c r="K202" t="s">
        <v>1316</v>
      </c>
      <c r="L202" t="s">
        <v>1659</v>
      </c>
      <c r="M202" t="s">
        <v>280</v>
      </c>
      <c r="N202" t="s">
        <v>288</v>
      </c>
      <c r="O202" t="s">
        <v>289</v>
      </c>
      <c r="P202">
        <v>11226</v>
      </c>
      <c r="Q202" t="s">
        <v>290</v>
      </c>
      <c r="R202" t="s">
        <v>290</v>
      </c>
      <c r="S202" t="s">
        <v>295</v>
      </c>
      <c r="T202" t="s">
        <v>2226</v>
      </c>
      <c r="U202">
        <v>19</v>
      </c>
      <c r="V202" t="s">
        <v>340</v>
      </c>
      <c r="W202" t="s">
        <v>346</v>
      </c>
      <c r="Y202" t="s">
        <v>348</v>
      </c>
      <c r="Z202" t="s">
        <v>350</v>
      </c>
      <c r="AA202" t="s">
        <v>350</v>
      </c>
      <c r="AC202" t="s">
        <v>352</v>
      </c>
      <c r="AD202" t="s">
        <v>356</v>
      </c>
      <c r="AE202" t="s">
        <v>370</v>
      </c>
      <c r="AF202">
        <v>2019</v>
      </c>
      <c r="AG202">
        <v>0</v>
      </c>
      <c r="AH202">
        <v>962.4400000000001</v>
      </c>
      <c r="AI202">
        <v>28.17</v>
      </c>
      <c r="AJ202" t="s">
        <v>2698</v>
      </c>
      <c r="AK202" t="s">
        <v>2925</v>
      </c>
      <c r="AL202" t="s">
        <v>3136</v>
      </c>
      <c r="AM202">
        <v>47</v>
      </c>
      <c r="AN202" t="s">
        <v>493</v>
      </c>
      <c r="AO202">
        <v>2</v>
      </c>
      <c r="AP202">
        <v>0</v>
      </c>
      <c r="AQ202">
        <v>69.69</v>
      </c>
      <c r="AT202" t="s">
        <v>500</v>
      </c>
      <c r="AU202" t="s">
        <v>503</v>
      </c>
      <c r="AV202" t="s">
        <v>510</v>
      </c>
      <c r="AW202">
        <v>11784</v>
      </c>
      <c r="BA202" t="s">
        <v>3341</v>
      </c>
      <c r="BB202" t="s">
        <v>3350</v>
      </c>
      <c r="BD202" t="s">
        <v>3360</v>
      </c>
      <c r="BE202" t="s">
        <v>582</v>
      </c>
      <c r="BF202" t="s">
        <v>600</v>
      </c>
    </row>
    <row r="203" spans="1:58">
      <c r="A203" s="1">
        <f>HYPERLINK("https://lsnyc.legalserver.org/matter/dynamic-profile/view/1886329","18-1886329")</f>
        <v>0</v>
      </c>
      <c r="E203" t="s">
        <v>381</v>
      </c>
      <c r="F203" t="s">
        <v>622</v>
      </c>
      <c r="G203" t="s">
        <v>80</v>
      </c>
      <c r="H203" t="s">
        <v>649</v>
      </c>
      <c r="J203" t="s">
        <v>993</v>
      </c>
      <c r="K203" t="s">
        <v>1317</v>
      </c>
      <c r="L203" t="s">
        <v>1660</v>
      </c>
      <c r="M203" t="s">
        <v>1944</v>
      </c>
      <c r="N203" t="s">
        <v>288</v>
      </c>
      <c r="O203" t="s">
        <v>289</v>
      </c>
      <c r="P203">
        <v>11226</v>
      </c>
      <c r="Q203" t="s">
        <v>290</v>
      </c>
      <c r="R203" t="s">
        <v>290</v>
      </c>
      <c r="S203" t="s">
        <v>295</v>
      </c>
      <c r="T203" t="s">
        <v>2227</v>
      </c>
      <c r="U203">
        <v>10</v>
      </c>
      <c r="V203" t="s">
        <v>339</v>
      </c>
      <c r="W203" t="s">
        <v>346</v>
      </c>
      <c r="Y203" t="s">
        <v>348</v>
      </c>
      <c r="Z203" t="s">
        <v>350</v>
      </c>
      <c r="AC203" t="s">
        <v>352</v>
      </c>
      <c r="AE203" t="s">
        <v>370</v>
      </c>
      <c r="AF203">
        <v>2019</v>
      </c>
      <c r="AG203">
        <v>0</v>
      </c>
      <c r="AH203">
        <v>1529</v>
      </c>
      <c r="AI203">
        <v>23.2</v>
      </c>
      <c r="AJ203" t="s">
        <v>2699</v>
      </c>
      <c r="AM203">
        <v>16</v>
      </c>
      <c r="AO203">
        <v>2</v>
      </c>
      <c r="AP203">
        <v>0</v>
      </c>
      <c r="AQ203">
        <v>151.88</v>
      </c>
      <c r="AT203" t="s">
        <v>500</v>
      </c>
      <c r="AU203" t="s">
        <v>503</v>
      </c>
      <c r="AV203" t="s">
        <v>508</v>
      </c>
      <c r="AW203">
        <v>25000</v>
      </c>
      <c r="BA203" t="s">
        <v>3341</v>
      </c>
      <c r="BD203" t="s">
        <v>537</v>
      </c>
      <c r="BE203" t="s">
        <v>561</v>
      </c>
    </row>
    <row r="204" spans="1:58">
      <c r="A204" s="1">
        <f>HYPERLINK("https://lsnyc.legalserver.org/matter/dynamic-profile/view/1887209","19-1887209")</f>
        <v>0</v>
      </c>
      <c r="E204" t="s">
        <v>381</v>
      </c>
      <c r="F204" t="s">
        <v>68</v>
      </c>
      <c r="G204" t="s">
        <v>80</v>
      </c>
      <c r="H204" t="s">
        <v>659</v>
      </c>
      <c r="J204" t="s">
        <v>892</v>
      </c>
      <c r="K204" t="s">
        <v>1318</v>
      </c>
      <c r="L204" t="s">
        <v>1661</v>
      </c>
      <c r="M204" t="s">
        <v>1843</v>
      </c>
      <c r="N204" t="s">
        <v>288</v>
      </c>
      <c r="O204" t="s">
        <v>289</v>
      </c>
      <c r="P204">
        <v>11226</v>
      </c>
      <c r="Q204" t="s">
        <v>290</v>
      </c>
      <c r="R204" t="s">
        <v>290</v>
      </c>
      <c r="S204" t="s">
        <v>295</v>
      </c>
      <c r="T204" t="s">
        <v>2228</v>
      </c>
      <c r="U204">
        <v>30</v>
      </c>
      <c r="V204" t="s">
        <v>339</v>
      </c>
      <c r="W204" t="s">
        <v>346</v>
      </c>
      <c r="Y204" t="s">
        <v>348</v>
      </c>
      <c r="Z204" t="s">
        <v>350</v>
      </c>
      <c r="AA204" t="s">
        <v>350</v>
      </c>
      <c r="AC204" t="s">
        <v>352</v>
      </c>
      <c r="AD204" t="s">
        <v>356</v>
      </c>
      <c r="AE204" t="s">
        <v>370</v>
      </c>
      <c r="AF204">
        <v>2019</v>
      </c>
      <c r="AG204">
        <v>0</v>
      </c>
      <c r="AH204">
        <v>985.55</v>
      </c>
      <c r="AI204">
        <v>138.6</v>
      </c>
      <c r="AJ204" t="s">
        <v>2700</v>
      </c>
      <c r="AM204">
        <v>52</v>
      </c>
      <c r="AN204" t="s">
        <v>493</v>
      </c>
      <c r="AO204">
        <v>1</v>
      </c>
      <c r="AP204">
        <v>0</v>
      </c>
      <c r="AQ204">
        <v>107.08</v>
      </c>
      <c r="AT204" t="s">
        <v>500</v>
      </c>
      <c r="AU204" t="s">
        <v>503</v>
      </c>
      <c r="AV204" t="s">
        <v>508</v>
      </c>
      <c r="AW204">
        <v>13000</v>
      </c>
      <c r="BA204" t="s">
        <v>3341</v>
      </c>
      <c r="BD204" t="s">
        <v>537</v>
      </c>
      <c r="BE204" t="s">
        <v>806</v>
      </c>
    </row>
    <row r="205" spans="1:58">
      <c r="A205" s="1">
        <f>HYPERLINK("https://lsnyc.legalserver.org/matter/dynamic-profile/view/1887436","19-1887436")</f>
        <v>0</v>
      </c>
      <c r="E205" t="s">
        <v>381</v>
      </c>
      <c r="F205" t="s">
        <v>623</v>
      </c>
      <c r="G205" t="s">
        <v>80</v>
      </c>
      <c r="H205" t="s">
        <v>648</v>
      </c>
      <c r="J205" t="s">
        <v>994</v>
      </c>
      <c r="K205" t="s">
        <v>1319</v>
      </c>
      <c r="L205" t="s">
        <v>1662</v>
      </c>
      <c r="M205" t="s">
        <v>1945</v>
      </c>
      <c r="N205" t="s">
        <v>288</v>
      </c>
      <c r="O205" t="s">
        <v>289</v>
      </c>
      <c r="P205">
        <v>11226</v>
      </c>
      <c r="Q205" t="s">
        <v>290</v>
      </c>
      <c r="R205" t="s">
        <v>290</v>
      </c>
      <c r="S205" t="s">
        <v>295</v>
      </c>
      <c r="T205" t="s">
        <v>2229</v>
      </c>
      <c r="U205">
        <v>27</v>
      </c>
      <c r="V205" t="s">
        <v>339</v>
      </c>
      <c r="W205" t="s">
        <v>346</v>
      </c>
      <c r="Y205" t="s">
        <v>348</v>
      </c>
      <c r="Z205" t="s">
        <v>350</v>
      </c>
      <c r="AC205" t="s">
        <v>352</v>
      </c>
      <c r="AE205" t="s">
        <v>370</v>
      </c>
      <c r="AF205">
        <v>2019</v>
      </c>
      <c r="AG205">
        <v>0</v>
      </c>
      <c r="AH205">
        <v>1185.14</v>
      </c>
      <c r="AI205">
        <v>19.1</v>
      </c>
      <c r="AJ205" t="s">
        <v>2701</v>
      </c>
      <c r="AL205" t="s">
        <v>3137</v>
      </c>
      <c r="AM205">
        <v>59</v>
      </c>
      <c r="AO205">
        <v>1</v>
      </c>
      <c r="AP205">
        <v>0</v>
      </c>
      <c r="AQ205">
        <v>117.79</v>
      </c>
      <c r="AT205" t="s">
        <v>500</v>
      </c>
      <c r="AU205" t="s">
        <v>503</v>
      </c>
      <c r="AV205" t="s">
        <v>508</v>
      </c>
      <c r="AW205">
        <v>14300</v>
      </c>
      <c r="BA205" t="s">
        <v>3341</v>
      </c>
      <c r="BD205" t="s">
        <v>537</v>
      </c>
      <c r="BE205" t="s">
        <v>794</v>
      </c>
    </row>
    <row r="206" spans="1:58">
      <c r="A206" s="1">
        <f>HYPERLINK("https://lsnyc.legalserver.org/matter/dynamic-profile/view/1888584","19-1888584")</f>
        <v>0</v>
      </c>
      <c r="E206" t="s">
        <v>381</v>
      </c>
      <c r="F206" t="s">
        <v>63</v>
      </c>
      <c r="G206" t="s">
        <v>80</v>
      </c>
      <c r="H206" t="s">
        <v>734</v>
      </c>
      <c r="J206" t="s">
        <v>995</v>
      </c>
      <c r="K206" t="s">
        <v>1320</v>
      </c>
      <c r="L206" t="s">
        <v>1663</v>
      </c>
      <c r="M206" t="s">
        <v>1861</v>
      </c>
      <c r="N206" t="s">
        <v>288</v>
      </c>
      <c r="O206" t="s">
        <v>289</v>
      </c>
      <c r="P206">
        <v>11226</v>
      </c>
      <c r="Q206" t="s">
        <v>290</v>
      </c>
      <c r="R206" t="s">
        <v>291</v>
      </c>
      <c r="S206" t="s">
        <v>295</v>
      </c>
      <c r="T206" t="s">
        <v>2230</v>
      </c>
      <c r="U206">
        <v>20</v>
      </c>
      <c r="V206" t="s">
        <v>339</v>
      </c>
      <c r="W206" t="s">
        <v>346</v>
      </c>
      <c r="Y206" t="s">
        <v>348</v>
      </c>
      <c r="Z206" t="s">
        <v>350</v>
      </c>
      <c r="AC206" t="s">
        <v>352</v>
      </c>
      <c r="AE206" t="s">
        <v>370</v>
      </c>
      <c r="AF206">
        <v>2019</v>
      </c>
      <c r="AG206">
        <v>0</v>
      </c>
      <c r="AH206">
        <v>1070.82</v>
      </c>
      <c r="AI206">
        <v>27.75</v>
      </c>
      <c r="AJ206" t="s">
        <v>2702</v>
      </c>
      <c r="AL206" t="s">
        <v>3138</v>
      </c>
      <c r="AM206">
        <v>30</v>
      </c>
      <c r="AO206">
        <v>2</v>
      </c>
      <c r="AP206">
        <v>2</v>
      </c>
      <c r="AQ206">
        <v>116.74</v>
      </c>
      <c r="AU206" t="s">
        <v>503</v>
      </c>
      <c r="AV206" t="s">
        <v>508</v>
      </c>
      <c r="AW206">
        <v>30060</v>
      </c>
      <c r="BA206" t="s">
        <v>3341</v>
      </c>
      <c r="BD206" t="s">
        <v>3405</v>
      </c>
      <c r="BE206" t="s">
        <v>3443</v>
      </c>
      <c r="BF206" t="s">
        <v>600</v>
      </c>
    </row>
    <row r="207" spans="1:58">
      <c r="A207" s="1">
        <f>HYPERLINK("https://lsnyc.legalserver.org/matter/dynamic-profile/view/1890036","19-1890036")</f>
        <v>0</v>
      </c>
      <c r="E207" t="s">
        <v>381</v>
      </c>
      <c r="F207" t="s">
        <v>628</v>
      </c>
      <c r="G207" t="s">
        <v>80</v>
      </c>
      <c r="H207" t="s">
        <v>757</v>
      </c>
      <c r="J207" t="s">
        <v>996</v>
      </c>
      <c r="K207" t="s">
        <v>1321</v>
      </c>
      <c r="L207" t="s">
        <v>1664</v>
      </c>
      <c r="M207" t="s">
        <v>1927</v>
      </c>
      <c r="N207" t="s">
        <v>288</v>
      </c>
      <c r="O207" t="s">
        <v>289</v>
      </c>
      <c r="P207">
        <v>11226</v>
      </c>
      <c r="Q207" t="s">
        <v>290</v>
      </c>
      <c r="R207" t="s">
        <v>290</v>
      </c>
      <c r="S207" t="s">
        <v>295</v>
      </c>
      <c r="T207" t="s">
        <v>2231</v>
      </c>
      <c r="U207">
        <v>35</v>
      </c>
      <c r="V207" t="s">
        <v>339</v>
      </c>
      <c r="W207" t="s">
        <v>346</v>
      </c>
      <c r="Y207" t="s">
        <v>348</v>
      </c>
      <c r="Z207" t="s">
        <v>350</v>
      </c>
      <c r="AC207" t="s">
        <v>352</v>
      </c>
      <c r="AE207" t="s">
        <v>370</v>
      </c>
      <c r="AF207">
        <v>2019</v>
      </c>
      <c r="AG207">
        <v>0</v>
      </c>
      <c r="AH207">
        <v>942.3200000000001</v>
      </c>
      <c r="AI207">
        <v>37.8</v>
      </c>
      <c r="AJ207" t="s">
        <v>2703</v>
      </c>
      <c r="AL207" t="s">
        <v>3139</v>
      </c>
      <c r="AM207">
        <v>47</v>
      </c>
      <c r="AO207">
        <v>1</v>
      </c>
      <c r="AP207">
        <v>0</v>
      </c>
      <c r="AQ207">
        <v>59.95</v>
      </c>
      <c r="AT207" t="s">
        <v>500</v>
      </c>
      <c r="AV207" t="s">
        <v>508</v>
      </c>
      <c r="AW207">
        <v>7488</v>
      </c>
      <c r="BA207" t="s">
        <v>3341</v>
      </c>
      <c r="BD207" t="s">
        <v>3388</v>
      </c>
      <c r="BE207" t="s">
        <v>3441</v>
      </c>
    </row>
    <row r="208" spans="1:58">
      <c r="A208" s="1">
        <f>HYPERLINK("https://lsnyc.legalserver.org/matter/dynamic-profile/view/1883557","18-1883557")</f>
        <v>0</v>
      </c>
      <c r="E208" t="s">
        <v>381</v>
      </c>
      <c r="F208" t="s">
        <v>626</v>
      </c>
      <c r="G208" t="s">
        <v>80</v>
      </c>
      <c r="H208" t="s">
        <v>643</v>
      </c>
      <c r="J208" t="s">
        <v>168</v>
      </c>
      <c r="K208" t="s">
        <v>1322</v>
      </c>
      <c r="L208" t="s">
        <v>1665</v>
      </c>
      <c r="M208" t="s">
        <v>276</v>
      </c>
      <c r="N208" t="s">
        <v>288</v>
      </c>
      <c r="O208" t="s">
        <v>289</v>
      </c>
      <c r="P208">
        <v>11225</v>
      </c>
      <c r="Q208" t="s">
        <v>290</v>
      </c>
      <c r="R208" t="s">
        <v>290</v>
      </c>
      <c r="S208" t="s">
        <v>292</v>
      </c>
      <c r="T208" t="s">
        <v>2232</v>
      </c>
      <c r="U208">
        <v>4</v>
      </c>
      <c r="V208" t="s">
        <v>340</v>
      </c>
      <c r="W208" t="s">
        <v>346</v>
      </c>
      <c r="Y208" t="s">
        <v>348</v>
      </c>
      <c r="Z208" t="s">
        <v>350</v>
      </c>
      <c r="AA208" t="s">
        <v>350</v>
      </c>
      <c r="AC208" t="s">
        <v>352</v>
      </c>
      <c r="AD208" t="s">
        <v>356</v>
      </c>
      <c r="AE208" t="s">
        <v>370</v>
      </c>
      <c r="AF208">
        <v>2019</v>
      </c>
      <c r="AG208">
        <v>0</v>
      </c>
      <c r="AH208">
        <v>2200</v>
      </c>
      <c r="AI208">
        <v>36.7</v>
      </c>
      <c r="AJ208" t="s">
        <v>2704</v>
      </c>
      <c r="AL208" t="s">
        <v>3140</v>
      </c>
      <c r="AM208">
        <v>20</v>
      </c>
      <c r="AN208" t="s">
        <v>497</v>
      </c>
      <c r="AO208">
        <v>1</v>
      </c>
      <c r="AP208">
        <v>0</v>
      </c>
      <c r="AQ208">
        <v>118.62</v>
      </c>
      <c r="AT208" t="s">
        <v>500</v>
      </c>
      <c r="AU208" t="s">
        <v>503</v>
      </c>
      <c r="AV208" t="s">
        <v>508</v>
      </c>
      <c r="AW208">
        <v>14400</v>
      </c>
      <c r="AZ208" t="s">
        <v>3340</v>
      </c>
      <c r="BA208" t="s">
        <v>61</v>
      </c>
      <c r="BD208" t="s">
        <v>540</v>
      </c>
      <c r="BE208" t="s">
        <v>3451</v>
      </c>
    </row>
    <row r="209" spans="1:58">
      <c r="A209" s="1">
        <f>HYPERLINK("https://lsnyc.legalserver.org/matter/dynamic-profile/view/1889660","19-1889660")</f>
        <v>0</v>
      </c>
      <c r="E209" t="s">
        <v>381</v>
      </c>
      <c r="F209" t="s">
        <v>75</v>
      </c>
      <c r="G209" t="s">
        <v>80</v>
      </c>
      <c r="H209" t="s">
        <v>758</v>
      </c>
      <c r="J209" t="s">
        <v>997</v>
      </c>
      <c r="K209" t="s">
        <v>1323</v>
      </c>
      <c r="L209" t="s">
        <v>1666</v>
      </c>
      <c r="M209" t="s">
        <v>270</v>
      </c>
      <c r="N209" t="s">
        <v>288</v>
      </c>
      <c r="O209" t="s">
        <v>289</v>
      </c>
      <c r="P209">
        <v>11225</v>
      </c>
      <c r="Q209" t="s">
        <v>290</v>
      </c>
      <c r="R209" t="s">
        <v>290</v>
      </c>
      <c r="S209" t="s">
        <v>292</v>
      </c>
      <c r="T209" t="s">
        <v>2233</v>
      </c>
      <c r="U209">
        <v>21</v>
      </c>
      <c r="V209" t="s">
        <v>339</v>
      </c>
      <c r="W209" t="s">
        <v>346</v>
      </c>
      <c r="Y209" t="s">
        <v>348</v>
      </c>
      <c r="Z209" t="s">
        <v>350</v>
      </c>
      <c r="AC209" t="s">
        <v>352</v>
      </c>
      <c r="AE209" t="s">
        <v>370</v>
      </c>
      <c r="AF209">
        <v>2019</v>
      </c>
      <c r="AG209">
        <v>0</v>
      </c>
      <c r="AH209">
        <v>1001.59</v>
      </c>
      <c r="AI209">
        <v>9.4</v>
      </c>
      <c r="AJ209" t="s">
        <v>2705</v>
      </c>
      <c r="AL209" t="s">
        <v>3141</v>
      </c>
      <c r="AM209">
        <v>0</v>
      </c>
      <c r="AN209" t="s">
        <v>493</v>
      </c>
      <c r="AO209">
        <v>2</v>
      </c>
      <c r="AP209">
        <v>0</v>
      </c>
      <c r="AQ209">
        <v>109.28</v>
      </c>
      <c r="AT209" t="s">
        <v>500</v>
      </c>
      <c r="AU209" t="s">
        <v>506</v>
      </c>
      <c r="AV209" t="s">
        <v>508</v>
      </c>
      <c r="AW209">
        <v>18480</v>
      </c>
      <c r="BA209" t="s">
        <v>522</v>
      </c>
      <c r="BD209" t="s">
        <v>3406</v>
      </c>
      <c r="BE209" t="s">
        <v>801</v>
      </c>
    </row>
    <row r="210" spans="1:58">
      <c r="A210" s="1">
        <f>HYPERLINK("https://lsnyc.legalserver.org/matter/dynamic-profile/view/1889676","19-1889676")</f>
        <v>0</v>
      </c>
      <c r="E210" t="s">
        <v>381</v>
      </c>
      <c r="F210" t="s">
        <v>75</v>
      </c>
      <c r="G210" t="s">
        <v>80</v>
      </c>
      <c r="H210" t="s">
        <v>758</v>
      </c>
      <c r="J210" t="s">
        <v>998</v>
      </c>
      <c r="K210" t="s">
        <v>1324</v>
      </c>
      <c r="L210" t="s">
        <v>1667</v>
      </c>
      <c r="M210" t="s">
        <v>1848</v>
      </c>
      <c r="N210" t="s">
        <v>288</v>
      </c>
      <c r="O210" t="s">
        <v>289</v>
      </c>
      <c r="P210">
        <v>11225</v>
      </c>
      <c r="Q210" t="s">
        <v>290</v>
      </c>
      <c r="R210" t="s">
        <v>290</v>
      </c>
      <c r="S210" t="s">
        <v>292</v>
      </c>
      <c r="T210" t="s">
        <v>2234</v>
      </c>
      <c r="U210">
        <v>7</v>
      </c>
      <c r="V210" t="s">
        <v>339</v>
      </c>
      <c r="W210" t="s">
        <v>346</v>
      </c>
      <c r="Y210" t="s">
        <v>348</v>
      </c>
      <c r="Z210" t="s">
        <v>350</v>
      </c>
      <c r="AC210" t="s">
        <v>352</v>
      </c>
      <c r="AE210" t="s">
        <v>370</v>
      </c>
      <c r="AF210">
        <v>2019</v>
      </c>
      <c r="AG210">
        <v>0</v>
      </c>
      <c r="AH210">
        <v>2400</v>
      </c>
      <c r="AI210">
        <v>6.8</v>
      </c>
      <c r="AJ210" t="s">
        <v>2706</v>
      </c>
      <c r="AL210" t="s">
        <v>3142</v>
      </c>
      <c r="AM210">
        <v>0</v>
      </c>
      <c r="AO210">
        <v>1</v>
      </c>
      <c r="AP210">
        <v>3</v>
      </c>
      <c r="AQ210">
        <v>147.57</v>
      </c>
      <c r="AT210" t="s">
        <v>502</v>
      </c>
      <c r="AU210" t="s">
        <v>503</v>
      </c>
      <c r="AV210" t="s">
        <v>508</v>
      </c>
      <c r="AW210">
        <v>38000</v>
      </c>
      <c r="BA210" t="s">
        <v>522</v>
      </c>
      <c r="BD210" t="s">
        <v>537</v>
      </c>
      <c r="BE210" t="s">
        <v>786</v>
      </c>
    </row>
    <row r="211" spans="1:58">
      <c r="A211" s="1">
        <f>HYPERLINK("https://lsnyc.legalserver.org/matter/dynamic-profile/view/1890713","19-1890713")</f>
        <v>0</v>
      </c>
      <c r="E211" t="s">
        <v>381</v>
      </c>
      <c r="F211" t="s">
        <v>75</v>
      </c>
      <c r="G211" t="s">
        <v>80</v>
      </c>
      <c r="H211" t="s">
        <v>759</v>
      </c>
      <c r="J211" t="s">
        <v>999</v>
      </c>
      <c r="K211" t="s">
        <v>1325</v>
      </c>
      <c r="L211" t="s">
        <v>1668</v>
      </c>
      <c r="M211" t="s">
        <v>1946</v>
      </c>
      <c r="N211" t="s">
        <v>288</v>
      </c>
      <c r="O211" t="s">
        <v>289</v>
      </c>
      <c r="P211">
        <v>11225</v>
      </c>
      <c r="Q211" t="s">
        <v>290</v>
      </c>
      <c r="R211" t="s">
        <v>290</v>
      </c>
      <c r="S211" t="s">
        <v>292</v>
      </c>
      <c r="T211" t="s">
        <v>2235</v>
      </c>
      <c r="U211">
        <v>7</v>
      </c>
      <c r="V211" t="s">
        <v>339</v>
      </c>
      <c r="W211" t="s">
        <v>346</v>
      </c>
      <c r="Y211" t="s">
        <v>348</v>
      </c>
      <c r="Z211" t="s">
        <v>350</v>
      </c>
      <c r="AC211" t="s">
        <v>352</v>
      </c>
      <c r="AE211" t="s">
        <v>370</v>
      </c>
      <c r="AF211">
        <v>2019</v>
      </c>
      <c r="AG211">
        <v>0</v>
      </c>
      <c r="AH211">
        <v>1500</v>
      </c>
      <c r="AI211">
        <v>16.2</v>
      </c>
      <c r="AJ211" t="s">
        <v>2707</v>
      </c>
      <c r="AL211" t="s">
        <v>3143</v>
      </c>
      <c r="AM211">
        <v>0</v>
      </c>
      <c r="AO211">
        <v>1</v>
      </c>
      <c r="AP211">
        <v>0</v>
      </c>
      <c r="AQ211">
        <v>153.72</v>
      </c>
      <c r="AT211" t="s">
        <v>500</v>
      </c>
      <c r="AU211" t="s">
        <v>503</v>
      </c>
      <c r="AV211" t="s">
        <v>508</v>
      </c>
      <c r="AW211">
        <v>19200</v>
      </c>
      <c r="BA211" t="s">
        <v>522</v>
      </c>
      <c r="BD211" t="s">
        <v>537</v>
      </c>
      <c r="BE211" t="s">
        <v>804</v>
      </c>
    </row>
    <row r="212" spans="1:58">
      <c r="A212" s="1">
        <f>HYPERLINK("https://lsnyc.legalserver.org/matter/dynamic-profile/view/1891023","19-1891023")</f>
        <v>0</v>
      </c>
      <c r="E212" t="s">
        <v>381</v>
      </c>
      <c r="F212" t="s">
        <v>63</v>
      </c>
      <c r="G212" t="s">
        <v>80</v>
      </c>
      <c r="H212" t="s">
        <v>563</v>
      </c>
      <c r="J212" t="s">
        <v>1000</v>
      </c>
      <c r="K212" t="s">
        <v>1158</v>
      </c>
      <c r="L212" t="s">
        <v>1669</v>
      </c>
      <c r="M212" t="s">
        <v>1947</v>
      </c>
      <c r="N212" t="s">
        <v>288</v>
      </c>
      <c r="O212" t="s">
        <v>289</v>
      </c>
      <c r="P212">
        <v>11225</v>
      </c>
      <c r="Q212" t="s">
        <v>290</v>
      </c>
      <c r="R212" t="s">
        <v>290</v>
      </c>
      <c r="S212" t="s">
        <v>292</v>
      </c>
      <c r="T212" t="s">
        <v>2236</v>
      </c>
      <c r="U212">
        <v>19</v>
      </c>
      <c r="V212" t="s">
        <v>339</v>
      </c>
      <c r="W212" t="s">
        <v>346</v>
      </c>
      <c r="Y212" t="s">
        <v>348</v>
      </c>
      <c r="Z212" t="s">
        <v>350</v>
      </c>
      <c r="AA212" t="s">
        <v>350</v>
      </c>
      <c r="AC212" t="s">
        <v>352</v>
      </c>
      <c r="AD212" t="s">
        <v>356</v>
      </c>
      <c r="AE212" t="s">
        <v>370</v>
      </c>
      <c r="AF212">
        <v>2019</v>
      </c>
      <c r="AG212">
        <v>0</v>
      </c>
      <c r="AH212">
        <v>593.97</v>
      </c>
      <c r="AI212">
        <v>28</v>
      </c>
      <c r="AJ212" t="s">
        <v>2708</v>
      </c>
      <c r="AM212">
        <v>30</v>
      </c>
      <c r="AN212" t="s">
        <v>493</v>
      </c>
      <c r="AO212">
        <v>1</v>
      </c>
      <c r="AP212">
        <v>0</v>
      </c>
      <c r="AQ212">
        <v>96.08</v>
      </c>
      <c r="AT212" t="s">
        <v>500</v>
      </c>
      <c r="AU212" t="s">
        <v>506</v>
      </c>
      <c r="AV212" t="s">
        <v>508</v>
      </c>
      <c r="AW212">
        <v>12000</v>
      </c>
      <c r="BA212" t="s">
        <v>522</v>
      </c>
      <c r="BC212" t="s">
        <v>3354</v>
      </c>
      <c r="BD212" t="s">
        <v>547</v>
      </c>
      <c r="BE212" t="s">
        <v>572</v>
      </c>
    </row>
    <row r="213" spans="1:58">
      <c r="A213" s="1">
        <f>HYPERLINK("https://lsnyc.legalserver.org/matter/dynamic-profile/view/1888794","19-1888794")</f>
        <v>0</v>
      </c>
      <c r="E213" t="s">
        <v>381</v>
      </c>
      <c r="F213" t="s">
        <v>69</v>
      </c>
      <c r="G213" t="s">
        <v>80</v>
      </c>
      <c r="H213" t="s">
        <v>651</v>
      </c>
      <c r="J213" t="s">
        <v>1001</v>
      </c>
      <c r="K213" t="s">
        <v>1065</v>
      </c>
      <c r="L213" t="s">
        <v>1670</v>
      </c>
      <c r="M213" t="s">
        <v>1948</v>
      </c>
      <c r="N213" t="s">
        <v>288</v>
      </c>
      <c r="O213" t="s">
        <v>289</v>
      </c>
      <c r="P213">
        <v>11224</v>
      </c>
      <c r="Q213" t="s">
        <v>290</v>
      </c>
      <c r="R213" t="s">
        <v>290</v>
      </c>
      <c r="S213" t="s">
        <v>295</v>
      </c>
      <c r="T213" t="s">
        <v>2237</v>
      </c>
      <c r="U213">
        <v>43</v>
      </c>
      <c r="V213" t="s">
        <v>339</v>
      </c>
      <c r="W213" t="s">
        <v>346</v>
      </c>
      <c r="Y213" t="s">
        <v>349</v>
      </c>
      <c r="Z213" t="s">
        <v>350</v>
      </c>
      <c r="AC213" t="s">
        <v>352</v>
      </c>
      <c r="AD213" t="s">
        <v>2445</v>
      </c>
      <c r="AE213" t="s">
        <v>370</v>
      </c>
      <c r="AF213">
        <v>2019</v>
      </c>
      <c r="AG213">
        <v>0</v>
      </c>
      <c r="AH213">
        <v>2825</v>
      </c>
      <c r="AI213">
        <v>40</v>
      </c>
      <c r="AJ213" t="s">
        <v>2709</v>
      </c>
      <c r="AL213" t="s">
        <v>3144</v>
      </c>
      <c r="AM213">
        <v>0</v>
      </c>
      <c r="AO213">
        <v>2</v>
      </c>
      <c r="AP213">
        <v>0</v>
      </c>
      <c r="AQ213">
        <v>166.1</v>
      </c>
      <c r="AT213" t="s">
        <v>500</v>
      </c>
      <c r="AU213" t="s">
        <v>507</v>
      </c>
      <c r="AV213" t="s">
        <v>508</v>
      </c>
      <c r="AW213">
        <v>28088</v>
      </c>
      <c r="BA213" t="s">
        <v>3342</v>
      </c>
      <c r="BD213" t="s">
        <v>3359</v>
      </c>
      <c r="BE213" t="s">
        <v>807</v>
      </c>
    </row>
    <row r="214" spans="1:58">
      <c r="A214" s="1">
        <f>HYPERLINK("https://lsnyc.legalserver.org/matter/dynamic-profile/view/1889014","19-1889014")</f>
        <v>0</v>
      </c>
      <c r="E214" t="s">
        <v>381</v>
      </c>
      <c r="F214" t="s">
        <v>69</v>
      </c>
      <c r="G214" t="s">
        <v>80</v>
      </c>
      <c r="H214" t="s">
        <v>755</v>
      </c>
      <c r="J214" t="s">
        <v>1002</v>
      </c>
      <c r="K214" t="s">
        <v>1326</v>
      </c>
      <c r="L214" t="s">
        <v>1671</v>
      </c>
      <c r="M214" t="s">
        <v>1860</v>
      </c>
      <c r="N214" t="s">
        <v>288</v>
      </c>
      <c r="O214" t="s">
        <v>289</v>
      </c>
      <c r="P214">
        <v>11224</v>
      </c>
      <c r="Q214" t="s">
        <v>290</v>
      </c>
      <c r="R214" t="s">
        <v>290</v>
      </c>
      <c r="S214" t="s">
        <v>295</v>
      </c>
      <c r="T214" t="s">
        <v>2238</v>
      </c>
      <c r="U214">
        <v>10</v>
      </c>
      <c r="V214" t="s">
        <v>339</v>
      </c>
      <c r="W214" t="s">
        <v>346</v>
      </c>
      <c r="Y214" t="s">
        <v>349</v>
      </c>
      <c r="Z214" t="s">
        <v>350</v>
      </c>
      <c r="AC214" t="s">
        <v>352</v>
      </c>
      <c r="AE214" t="s">
        <v>370</v>
      </c>
      <c r="AF214">
        <v>2019</v>
      </c>
      <c r="AG214">
        <v>0</v>
      </c>
      <c r="AH214">
        <v>900</v>
      </c>
      <c r="AI214">
        <v>28.5</v>
      </c>
      <c r="AJ214" t="s">
        <v>2710</v>
      </c>
      <c r="AL214" t="s">
        <v>3145</v>
      </c>
      <c r="AM214">
        <v>173</v>
      </c>
      <c r="AN214" t="s">
        <v>3324</v>
      </c>
      <c r="AO214">
        <v>1</v>
      </c>
      <c r="AP214">
        <v>0</v>
      </c>
      <c r="AQ214">
        <v>160.13</v>
      </c>
      <c r="AT214" t="s">
        <v>500</v>
      </c>
      <c r="AU214" t="s">
        <v>503</v>
      </c>
      <c r="AV214" t="s">
        <v>508</v>
      </c>
      <c r="AW214">
        <v>20000</v>
      </c>
      <c r="BA214" t="s">
        <v>3341</v>
      </c>
      <c r="BD214" t="s">
        <v>537</v>
      </c>
      <c r="BE214" t="s">
        <v>807</v>
      </c>
    </row>
    <row r="215" spans="1:58">
      <c r="A215" s="1">
        <f>HYPERLINK("https://lsnyc.legalserver.org/matter/dynamic-profile/view/1889903","19-1889903")</f>
        <v>0</v>
      </c>
      <c r="E215" t="s">
        <v>381</v>
      </c>
      <c r="F215" t="s">
        <v>632</v>
      </c>
      <c r="G215" t="s">
        <v>80</v>
      </c>
      <c r="H215" t="s">
        <v>757</v>
      </c>
      <c r="J215" t="s">
        <v>1003</v>
      </c>
      <c r="K215" t="s">
        <v>1327</v>
      </c>
      <c r="L215" t="s">
        <v>1672</v>
      </c>
      <c r="M215" t="s">
        <v>273</v>
      </c>
      <c r="N215" t="s">
        <v>288</v>
      </c>
      <c r="O215" t="s">
        <v>289</v>
      </c>
      <c r="P215">
        <v>11224</v>
      </c>
      <c r="Q215" t="s">
        <v>290</v>
      </c>
      <c r="R215" t="s">
        <v>290</v>
      </c>
      <c r="S215" t="s">
        <v>295</v>
      </c>
      <c r="T215" t="s">
        <v>2239</v>
      </c>
      <c r="U215">
        <v>25</v>
      </c>
      <c r="V215" t="s">
        <v>339</v>
      </c>
      <c r="W215" t="s">
        <v>346</v>
      </c>
      <c r="Y215" t="s">
        <v>349</v>
      </c>
      <c r="Z215" t="s">
        <v>350</v>
      </c>
      <c r="AC215" t="s">
        <v>352</v>
      </c>
      <c r="AE215" t="s">
        <v>370</v>
      </c>
      <c r="AF215">
        <v>2019</v>
      </c>
      <c r="AG215">
        <v>0</v>
      </c>
      <c r="AH215">
        <v>1268</v>
      </c>
      <c r="AI215">
        <v>15.1</v>
      </c>
      <c r="AJ215" t="s">
        <v>2711</v>
      </c>
      <c r="AM215">
        <v>0</v>
      </c>
      <c r="AO215">
        <v>1</v>
      </c>
      <c r="AP215">
        <v>1</v>
      </c>
      <c r="AQ215">
        <v>147.84</v>
      </c>
      <c r="AT215" t="s">
        <v>501</v>
      </c>
      <c r="AU215" t="s">
        <v>505</v>
      </c>
      <c r="AV215" t="s">
        <v>508</v>
      </c>
      <c r="AW215">
        <v>25000</v>
      </c>
      <c r="BA215" t="s">
        <v>522</v>
      </c>
      <c r="BD215" t="s">
        <v>540</v>
      </c>
      <c r="BE215" t="s">
        <v>681</v>
      </c>
    </row>
    <row r="216" spans="1:58">
      <c r="A216" s="1">
        <f>HYPERLINK("https://lsnyc.legalserver.org/matter/dynamic-profile/view/1891043","19-1891043")</f>
        <v>0</v>
      </c>
      <c r="E216" t="s">
        <v>381</v>
      </c>
      <c r="F216" t="s">
        <v>72</v>
      </c>
      <c r="G216" t="s">
        <v>80</v>
      </c>
      <c r="H216" t="s">
        <v>563</v>
      </c>
      <c r="J216" t="s">
        <v>1004</v>
      </c>
      <c r="K216" t="s">
        <v>1328</v>
      </c>
      <c r="L216" t="s">
        <v>1673</v>
      </c>
      <c r="M216" t="s">
        <v>277</v>
      </c>
      <c r="N216" t="s">
        <v>288</v>
      </c>
      <c r="O216" t="s">
        <v>289</v>
      </c>
      <c r="P216">
        <v>11223</v>
      </c>
      <c r="Q216" t="s">
        <v>290</v>
      </c>
      <c r="R216" t="s">
        <v>290</v>
      </c>
      <c r="S216" t="s">
        <v>295</v>
      </c>
      <c r="T216" t="s">
        <v>2240</v>
      </c>
      <c r="U216">
        <v>11</v>
      </c>
      <c r="V216" t="s">
        <v>340</v>
      </c>
      <c r="W216" t="s">
        <v>346</v>
      </c>
      <c r="Y216" t="s">
        <v>349</v>
      </c>
      <c r="Z216" t="s">
        <v>350</v>
      </c>
      <c r="AC216" t="s">
        <v>352</v>
      </c>
      <c r="AE216" t="s">
        <v>370</v>
      </c>
      <c r="AF216">
        <v>2019</v>
      </c>
      <c r="AG216">
        <v>0</v>
      </c>
      <c r="AH216">
        <v>1208.92</v>
      </c>
      <c r="AI216">
        <v>62.75</v>
      </c>
      <c r="AJ216" t="s">
        <v>2712</v>
      </c>
      <c r="AL216" t="s">
        <v>3146</v>
      </c>
      <c r="AM216">
        <v>6</v>
      </c>
      <c r="AO216">
        <v>2</v>
      </c>
      <c r="AP216">
        <v>0</v>
      </c>
      <c r="AQ216">
        <v>177.41</v>
      </c>
      <c r="AT216" t="s">
        <v>500</v>
      </c>
      <c r="AU216" t="s">
        <v>503</v>
      </c>
      <c r="AW216">
        <v>30000</v>
      </c>
      <c r="BA216" t="s">
        <v>3342</v>
      </c>
      <c r="BD216" t="s">
        <v>537</v>
      </c>
      <c r="BE216" t="s">
        <v>590</v>
      </c>
    </row>
    <row r="217" spans="1:58">
      <c r="A217" s="1">
        <f>HYPERLINK("https://lsnyc.legalserver.org/matter/dynamic-profile/view/1877734","18-1877734")</f>
        <v>0</v>
      </c>
      <c r="E217" t="s">
        <v>381</v>
      </c>
      <c r="F217" t="s">
        <v>60</v>
      </c>
      <c r="G217" t="s">
        <v>80</v>
      </c>
      <c r="H217" t="s">
        <v>760</v>
      </c>
      <c r="J217" t="s">
        <v>1005</v>
      </c>
      <c r="K217" t="s">
        <v>1329</v>
      </c>
      <c r="L217" t="s">
        <v>1674</v>
      </c>
      <c r="M217" t="s">
        <v>1878</v>
      </c>
      <c r="N217" t="s">
        <v>288</v>
      </c>
      <c r="O217" t="s">
        <v>289</v>
      </c>
      <c r="P217">
        <v>11221</v>
      </c>
      <c r="Q217" t="s">
        <v>290</v>
      </c>
      <c r="R217" t="s">
        <v>290</v>
      </c>
      <c r="S217" t="s">
        <v>292</v>
      </c>
      <c r="T217" t="s">
        <v>2241</v>
      </c>
      <c r="U217">
        <v>8</v>
      </c>
      <c r="V217" t="s">
        <v>340</v>
      </c>
      <c r="W217" t="s">
        <v>346</v>
      </c>
      <c r="Y217" t="s">
        <v>348</v>
      </c>
      <c r="Z217" t="s">
        <v>350</v>
      </c>
      <c r="AA217" t="s">
        <v>350</v>
      </c>
      <c r="AC217" t="s">
        <v>352</v>
      </c>
      <c r="AE217" t="s">
        <v>370</v>
      </c>
      <c r="AF217">
        <v>2019</v>
      </c>
      <c r="AG217">
        <v>800</v>
      </c>
      <c r="AH217">
        <v>800</v>
      </c>
      <c r="AI217">
        <v>45.3</v>
      </c>
      <c r="AJ217" t="s">
        <v>2713</v>
      </c>
      <c r="AL217" t="s">
        <v>3147</v>
      </c>
      <c r="AM217">
        <v>10</v>
      </c>
      <c r="AN217" t="s">
        <v>3327</v>
      </c>
      <c r="AO217">
        <v>2</v>
      </c>
      <c r="AP217">
        <v>0</v>
      </c>
      <c r="AQ217">
        <v>246.66</v>
      </c>
      <c r="AR217" t="s">
        <v>782</v>
      </c>
      <c r="AS217" t="s">
        <v>3328</v>
      </c>
      <c r="AV217" t="s">
        <v>508</v>
      </c>
      <c r="AW217">
        <v>40600</v>
      </c>
      <c r="BA217" t="s">
        <v>60</v>
      </c>
      <c r="BD217" t="s">
        <v>3359</v>
      </c>
      <c r="BE217" t="s">
        <v>582</v>
      </c>
    </row>
    <row r="218" spans="1:58">
      <c r="A218" s="1">
        <f>HYPERLINK("https://lsnyc.legalserver.org/matter/dynamic-profile/view/1891033","19-1891033")</f>
        <v>0</v>
      </c>
      <c r="E218" t="s">
        <v>381</v>
      </c>
      <c r="F218" t="s">
        <v>63</v>
      </c>
      <c r="G218" t="s">
        <v>80</v>
      </c>
      <c r="H218" t="s">
        <v>563</v>
      </c>
      <c r="J218" t="s">
        <v>1006</v>
      </c>
      <c r="K218" t="s">
        <v>1330</v>
      </c>
      <c r="L218" t="s">
        <v>1675</v>
      </c>
      <c r="M218" t="s">
        <v>1846</v>
      </c>
      <c r="N218" t="s">
        <v>288</v>
      </c>
      <c r="O218" t="s">
        <v>289</v>
      </c>
      <c r="P218">
        <v>11221</v>
      </c>
      <c r="Q218" t="s">
        <v>290</v>
      </c>
      <c r="R218" t="s">
        <v>290</v>
      </c>
      <c r="S218" t="s">
        <v>292</v>
      </c>
      <c r="T218" t="s">
        <v>2242</v>
      </c>
      <c r="U218">
        <v>10</v>
      </c>
      <c r="V218" t="s">
        <v>340</v>
      </c>
      <c r="W218" t="s">
        <v>346</v>
      </c>
      <c r="Y218" t="s">
        <v>348</v>
      </c>
      <c r="Z218" t="s">
        <v>350</v>
      </c>
      <c r="AC218" t="s">
        <v>352</v>
      </c>
      <c r="AE218" t="s">
        <v>370</v>
      </c>
      <c r="AF218">
        <v>2019</v>
      </c>
      <c r="AG218">
        <v>0</v>
      </c>
      <c r="AH218">
        <v>1415</v>
      </c>
      <c r="AI218">
        <v>0.5</v>
      </c>
      <c r="AJ218" t="s">
        <v>2714</v>
      </c>
      <c r="AM218">
        <v>0</v>
      </c>
      <c r="AO218">
        <v>1</v>
      </c>
      <c r="AP218">
        <v>0</v>
      </c>
      <c r="AQ218">
        <v>12.49</v>
      </c>
      <c r="AT218" t="s">
        <v>500</v>
      </c>
      <c r="AU218" t="s">
        <v>507</v>
      </c>
      <c r="AV218" t="s">
        <v>508</v>
      </c>
      <c r="AW218">
        <v>1560</v>
      </c>
      <c r="BA218" t="s">
        <v>522</v>
      </c>
      <c r="BD218" t="s">
        <v>538</v>
      </c>
      <c r="BE218" t="s">
        <v>792</v>
      </c>
    </row>
    <row r="219" spans="1:58">
      <c r="A219" s="1">
        <f>HYPERLINK("https://lsnyc.legalserver.org/matter/dynamic-profile/view/1891075","19-1891075")</f>
        <v>0</v>
      </c>
      <c r="E219" t="s">
        <v>381</v>
      </c>
      <c r="F219" t="s">
        <v>63</v>
      </c>
      <c r="G219" t="s">
        <v>80</v>
      </c>
      <c r="H219" t="s">
        <v>563</v>
      </c>
      <c r="J219" t="s">
        <v>1007</v>
      </c>
      <c r="K219" t="s">
        <v>1331</v>
      </c>
      <c r="L219" t="s">
        <v>1676</v>
      </c>
      <c r="M219">
        <v>2</v>
      </c>
      <c r="N219" t="s">
        <v>288</v>
      </c>
      <c r="O219" t="s">
        <v>289</v>
      </c>
      <c r="P219">
        <v>11221</v>
      </c>
      <c r="Q219" t="s">
        <v>290</v>
      </c>
      <c r="R219" t="s">
        <v>290</v>
      </c>
      <c r="S219" t="s">
        <v>292</v>
      </c>
      <c r="T219" t="s">
        <v>2243</v>
      </c>
      <c r="U219">
        <v>3</v>
      </c>
      <c r="V219" t="s">
        <v>340</v>
      </c>
      <c r="W219" t="s">
        <v>346</v>
      </c>
      <c r="Y219" t="s">
        <v>348</v>
      </c>
      <c r="Z219" t="s">
        <v>350</v>
      </c>
      <c r="AA219" t="s">
        <v>350</v>
      </c>
      <c r="AC219" t="s">
        <v>352</v>
      </c>
      <c r="AD219" t="s">
        <v>356</v>
      </c>
      <c r="AE219" t="s">
        <v>370</v>
      </c>
      <c r="AF219">
        <v>2019</v>
      </c>
      <c r="AG219">
        <v>0</v>
      </c>
      <c r="AH219">
        <v>1260</v>
      </c>
      <c r="AI219">
        <v>37.5</v>
      </c>
      <c r="AJ219" t="s">
        <v>2715</v>
      </c>
      <c r="AL219" t="s">
        <v>3148</v>
      </c>
      <c r="AM219">
        <v>2</v>
      </c>
      <c r="AO219">
        <v>3</v>
      </c>
      <c r="AP219">
        <v>0</v>
      </c>
      <c r="AQ219">
        <v>78.76000000000001</v>
      </c>
      <c r="AT219" t="s">
        <v>500</v>
      </c>
      <c r="AU219" t="s">
        <v>3330</v>
      </c>
      <c r="AV219" t="s">
        <v>508</v>
      </c>
      <c r="AW219">
        <v>16800</v>
      </c>
      <c r="BA219" t="s">
        <v>3341</v>
      </c>
      <c r="BB219" t="s">
        <v>3352</v>
      </c>
      <c r="BC219" t="s">
        <v>3354</v>
      </c>
      <c r="BD219" t="s">
        <v>3358</v>
      </c>
      <c r="BE219" t="s">
        <v>807</v>
      </c>
    </row>
    <row r="220" spans="1:58">
      <c r="A220" s="1">
        <f>HYPERLINK("https://lsnyc.legalserver.org/matter/dynamic-profile/view/1888623","19-1888623")</f>
        <v>0</v>
      </c>
      <c r="E220" t="s">
        <v>381</v>
      </c>
      <c r="F220" t="s">
        <v>63</v>
      </c>
      <c r="G220" t="s">
        <v>80</v>
      </c>
      <c r="H220" t="s">
        <v>734</v>
      </c>
      <c r="J220" t="s">
        <v>1008</v>
      </c>
      <c r="K220" t="s">
        <v>1332</v>
      </c>
      <c r="L220" t="s">
        <v>1677</v>
      </c>
      <c r="M220" t="s">
        <v>1863</v>
      </c>
      <c r="N220" t="s">
        <v>288</v>
      </c>
      <c r="O220" t="s">
        <v>289</v>
      </c>
      <c r="P220">
        <v>11221</v>
      </c>
      <c r="Q220" t="s">
        <v>290</v>
      </c>
      <c r="R220" t="s">
        <v>290</v>
      </c>
      <c r="S220" t="s">
        <v>292</v>
      </c>
      <c r="T220" t="s">
        <v>2244</v>
      </c>
      <c r="U220">
        <v>5</v>
      </c>
      <c r="V220" t="s">
        <v>339</v>
      </c>
      <c r="W220" t="s">
        <v>346</v>
      </c>
      <c r="Y220" t="s">
        <v>348</v>
      </c>
      <c r="Z220" t="s">
        <v>350</v>
      </c>
      <c r="AA220" t="s">
        <v>350</v>
      </c>
      <c r="AC220" t="s">
        <v>352</v>
      </c>
      <c r="AD220" t="s">
        <v>356</v>
      </c>
      <c r="AE220" t="s">
        <v>370</v>
      </c>
      <c r="AF220">
        <v>2019</v>
      </c>
      <c r="AG220">
        <v>0</v>
      </c>
      <c r="AH220">
        <v>1119</v>
      </c>
      <c r="AI220">
        <v>28.55</v>
      </c>
      <c r="AJ220" t="s">
        <v>2716</v>
      </c>
      <c r="AL220" t="s">
        <v>3149</v>
      </c>
      <c r="AM220">
        <v>6</v>
      </c>
      <c r="AN220" t="s">
        <v>493</v>
      </c>
      <c r="AO220">
        <v>2</v>
      </c>
      <c r="AP220">
        <v>0</v>
      </c>
      <c r="AQ220">
        <v>184.51</v>
      </c>
      <c r="AT220" t="s">
        <v>500</v>
      </c>
      <c r="AU220" t="s">
        <v>503</v>
      </c>
      <c r="AV220" t="s">
        <v>508</v>
      </c>
      <c r="AW220">
        <v>31200</v>
      </c>
      <c r="BA220" t="s">
        <v>3341</v>
      </c>
      <c r="BB220" t="s">
        <v>3350</v>
      </c>
      <c r="BC220" t="s">
        <v>3354</v>
      </c>
      <c r="BD220" t="s">
        <v>537</v>
      </c>
      <c r="BE220" t="s">
        <v>3452</v>
      </c>
      <c r="BF220" t="s">
        <v>600</v>
      </c>
    </row>
    <row r="221" spans="1:58">
      <c r="A221" s="1">
        <f>HYPERLINK("https://lsnyc.legalserver.org/matter/dynamic-profile/view/1889790","19-1889790")</f>
        <v>0</v>
      </c>
      <c r="E221" t="s">
        <v>381</v>
      </c>
      <c r="F221" t="s">
        <v>623</v>
      </c>
      <c r="G221" t="s">
        <v>80</v>
      </c>
      <c r="H221" t="s">
        <v>761</v>
      </c>
      <c r="J221" t="s">
        <v>1009</v>
      </c>
      <c r="K221" t="s">
        <v>1333</v>
      </c>
      <c r="L221" t="s">
        <v>1678</v>
      </c>
      <c r="M221" t="s">
        <v>277</v>
      </c>
      <c r="N221" t="s">
        <v>288</v>
      </c>
      <c r="O221" t="s">
        <v>289</v>
      </c>
      <c r="P221">
        <v>11221</v>
      </c>
      <c r="Q221" t="s">
        <v>290</v>
      </c>
      <c r="R221" t="s">
        <v>290</v>
      </c>
      <c r="S221" t="s">
        <v>292</v>
      </c>
      <c r="T221" t="s">
        <v>2245</v>
      </c>
      <c r="U221">
        <v>5</v>
      </c>
      <c r="V221" t="s">
        <v>339</v>
      </c>
      <c r="W221" t="s">
        <v>346</v>
      </c>
      <c r="Y221" t="s">
        <v>348</v>
      </c>
      <c r="Z221" t="s">
        <v>350</v>
      </c>
      <c r="AC221" t="s">
        <v>352</v>
      </c>
      <c r="AE221" t="s">
        <v>370</v>
      </c>
      <c r="AF221">
        <v>2019</v>
      </c>
      <c r="AG221">
        <v>0</v>
      </c>
      <c r="AH221">
        <v>1500</v>
      </c>
      <c r="AI221">
        <v>11.95</v>
      </c>
      <c r="AJ221" t="s">
        <v>2717</v>
      </c>
      <c r="AL221" t="s">
        <v>3150</v>
      </c>
      <c r="AM221">
        <v>6</v>
      </c>
      <c r="AO221">
        <v>2</v>
      </c>
      <c r="AP221">
        <v>0</v>
      </c>
      <c r="AQ221">
        <v>189.24</v>
      </c>
      <c r="AT221" t="s">
        <v>502</v>
      </c>
      <c r="AU221" t="s">
        <v>503</v>
      </c>
      <c r="AV221" t="s">
        <v>509</v>
      </c>
      <c r="AW221">
        <v>32000</v>
      </c>
      <c r="BA221" t="s">
        <v>3341</v>
      </c>
      <c r="BD221" t="s">
        <v>537</v>
      </c>
      <c r="BE221" t="s">
        <v>779</v>
      </c>
    </row>
    <row r="222" spans="1:58">
      <c r="A222" s="1">
        <f>HYPERLINK("https://lsnyc.legalserver.org/matter/dynamic-profile/view/1885985","18-1885985")</f>
        <v>0</v>
      </c>
      <c r="E222" t="s">
        <v>381</v>
      </c>
      <c r="F222" t="s">
        <v>628</v>
      </c>
      <c r="G222" t="s">
        <v>80</v>
      </c>
      <c r="H222" t="s">
        <v>741</v>
      </c>
      <c r="J222" t="s">
        <v>1010</v>
      </c>
      <c r="K222" t="s">
        <v>1334</v>
      </c>
      <c r="L222" t="s">
        <v>1679</v>
      </c>
      <c r="M222" t="s">
        <v>1949</v>
      </c>
      <c r="N222" t="s">
        <v>288</v>
      </c>
      <c r="O222" t="s">
        <v>289</v>
      </c>
      <c r="P222">
        <v>11216</v>
      </c>
      <c r="Q222" t="s">
        <v>290</v>
      </c>
      <c r="R222" t="s">
        <v>290</v>
      </c>
      <c r="S222" t="s">
        <v>2034</v>
      </c>
      <c r="T222" t="s">
        <v>2246</v>
      </c>
      <c r="U222">
        <v>10</v>
      </c>
      <c r="V222" t="s">
        <v>340</v>
      </c>
      <c r="W222" t="s">
        <v>346</v>
      </c>
      <c r="Y222" t="s">
        <v>348</v>
      </c>
      <c r="Z222" t="s">
        <v>350</v>
      </c>
      <c r="AA222" t="s">
        <v>290</v>
      </c>
      <c r="AC222" t="s">
        <v>352</v>
      </c>
      <c r="AD222" t="s">
        <v>356</v>
      </c>
      <c r="AE222" t="s">
        <v>370</v>
      </c>
      <c r="AF222">
        <v>2019</v>
      </c>
      <c r="AG222">
        <v>0</v>
      </c>
      <c r="AH222">
        <v>500</v>
      </c>
      <c r="AI222">
        <v>12.1</v>
      </c>
      <c r="AJ222" t="s">
        <v>2718</v>
      </c>
      <c r="AL222" t="s">
        <v>3151</v>
      </c>
      <c r="AM222">
        <v>8</v>
      </c>
      <c r="AN222" t="s">
        <v>496</v>
      </c>
      <c r="AO222">
        <v>2</v>
      </c>
      <c r="AP222">
        <v>0</v>
      </c>
      <c r="AQ222">
        <v>91.13</v>
      </c>
      <c r="AT222" t="s">
        <v>500</v>
      </c>
      <c r="AV222" t="s">
        <v>508</v>
      </c>
      <c r="AW222">
        <v>15000</v>
      </c>
      <c r="BA222" t="s">
        <v>3341</v>
      </c>
      <c r="BD222" t="s">
        <v>537</v>
      </c>
      <c r="BE222" t="s">
        <v>817</v>
      </c>
    </row>
    <row r="223" spans="1:58">
      <c r="A223" s="1">
        <f>HYPERLINK("https://lsnyc.legalserver.org/matter/dynamic-profile/view/1887323","19-1887323")</f>
        <v>0</v>
      </c>
      <c r="E223" t="s">
        <v>381</v>
      </c>
      <c r="F223" t="s">
        <v>628</v>
      </c>
      <c r="G223" t="s">
        <v>80</v>
      </c>
      <c r="H223" t="s">
        <v>653</v>
      </c>
      <c r="J223" t="s">
        <v>986</v>
      </c>
      <c r="K223" t="s">
        <v>1158</v>
      </c>
      <c r="L223" t="s">
        <v>1679</v>
      </c>
      <c r="M223" t="s">
        <v>1878</v>
      </c>
      <c r="N223" t="s">
        <v>288</v>
      </c>
      <c r="O223" t="s">
        <v>289</v>
      </c>
      <c r="P223">
        <v>11216</v>
      </c>
      <c r="Q223" t="s">
        <v>290</v>
      </c>
      <c r="R223" t="s">
        <v>290</v>
      </c>
      <c r="S223" t="s">
        <v>2032</v>
      </c>
      <c r="T223" t="s">
        <v>2247</v>
      </c>
      <c r="U223">
        <v>12</v>
      </c>
      <c r="V223" t="s">
        <v>340</v>
      </c>
      <c r="W223" t="s">
        <v>346</v>
      </c>
      <c r="Y223" t="s">
        <v>348</v>
      </c>
      <c r="Z223" t="s">
        <v>350</v>
      </c>
      <c r="AA223" t="s">
        <v>290</v>
      </c>
      <c r="AC223" t="s">
        <v>352</v>
      </c>
      <c r="AD223" t="s">
        <v>355</v>
      </c>
      <c r="AE223" t="s">
        <v>370</v>
      </c>
      <c r="AF223">
        <v>2019</v>
      </c>
      <c r="AG223">
        <v>0</v>
      </c>
      <c r="AH223">
        <v>650</v>
      </c>
      <c r="AI223">
        <v>46.6</v>
      </c>
      <c r="AJ223" t="s">
        <v>2719</v>
      </c>
      <c r="AM223">
        <v>7</v>
      </c>
      <c r="AO223">
        <v>1</v>
      </c>
      <c r="AP223">
        <v>2</v>
      </c>
      <c r="AQ223">
        <v>88.93000000000001</v>
      </c>
      <c r="AT223" t="s">
        <v>502</v>
      </c>
      <c r="AU223" t="s">
        <v>503</v>
      </c>
      <c r="AV223" t="s">
        <v>508</v>
      </c>
      <c r="AW223">
        <v>18480</v>
      </c>
      <c r="BA223" t="s">
        <v>3341</v>
      </c>
      <c r="BD223" t="s">
        <v>545</v>
      </c>
      <c r="BE223" t="s">
        <v>92</v>
      </c>
    </row>
    <row r="224" spans="1:58">
      <c r="A224" s="1">
        <f>HYPERLINK("https://lsnyc.legalserver.org/matter/dynamic-profile/view/1887153","19-1887153")</f>
        <v>0</v>
      </c>
      <c r="E224" t="s">
        <v>381</v>
      </c>
      <c r="F224" t="s">
        <v>59</v>
      </c>
      <c r="G224" t="s">
        <v>80</v>
      </c>
      <c r="H224" t="s">
        <v>657</v>
      </c>
      <c r="J224" t="s">
        <v>1011</v>
      </c>
      <c r="K224" t="s">
        <v>1335</v>
      </c>
      <c r="L224" t="s">
        <v>1680</v>
      </c>
      <c r="M224" t="s">
        <v>1950</v>
      </c>
      <c r="N224" t="s">
        <v>288</v>
      </c>
      <c r="O224" t="s">
        <v>289</v>
      </c>
      <c r="P224">
        <v>11216</v>
      </c>
      <c r="Q224" t="s">
        <v>290</v>
      </c>
      <c r="R224" t="s">
        <v>290</v>
      </c>
      <c r="S224" t="s">
        <v>295</v>
      </c>
      <c r="T224" t="s">
        <v>2248</v>
      </c>
      <c r="U224">
        <v>21</v>
      </c>
      <c r="V224" t="s">
        <v>339</v>
      </c>
      <c r="W224" t="s">
        <v>346</v>
      </c>
      <c r="Y224" t="s">
        <v>348</v>
      </c>
      <c r="Z224" t="s">
        <v>350</v>
      </c>
      <c r="AC224" t="s">
        <v>353</v>
      </c>
      <c r="AE224" t="s">
        <v>370</v>
      </c>
      <c r="AF224">
        <v>2019</v>
      </c>
      <c r="AG224">
        <v>0</v>
      </c>
      <c r="AH224">
        <v>487</v>
      </c>
      <c r="AI224">
        <v>15.2</v>
      </c>
      <c r="AJ224" t="s">
        <v>2720</v>
      </c>
      <c r="AL224" t="s">
        <v>3152</v>
      </c>
      <c r="AM224">
        <v>0</v>
      </c>
      <c r="AN224" t="s">
        <v>495</v>
      </c>
      <c r="AO224">
        <v>2</v>
      </c>
      <c r="AP224">
        <v>0</v>
      </c>
      <c r="AQ224">
        <v>123.82</v>
      </c>
      <c r="AT224" t="s">
        <v>500</v>
      </c>
      <c r="AW224">
        <v>20380</v>
      </c>
      <c r="BA224" t="s">
        <v>3341</v>
      </c>
      <c r="BD224" t="s">
        <v>3369</v>
      </c>
      <c r="BE224" t="s">
        <v>3433</v>
      </c>
    </row>
    <row r="225" spans="1:57">
      <c r="A225" s="1">
        <f>HYPERLINK("https://lsnyc.legalserver.org/matter/dynamic-profile/view/1889112","19-1889112")</f>
        <v>0</v>
      </c>
      <c r="E225" t="s">
        <v>381</v>
      </c>
      <c r="F225" t="s">
        <v>622</v>
      </c>
      <c r="G225" t="s">
        <v>80</v>
      </c>
      <c r="H225" t="s">
        <v>756</v>
      </c>
      <c r="J225" t="s">
        <v>1012</v>
      </c>
      <c r="K225" t="s">
        <v>1336</v>
      </c>
      <c r="L225" t="s">
        <v>1681</v>
      </c>
      <c r="M225" t="s">
        <v>266</v>
      </c>
      <c r="N225" t="s">
        <v>288</v>
      </c>
      <c r="O225" t="s">
        <v>289</v>
      </c>
      <c r="P225">
        <v>11216</v>
      </c>
      <c r="Q225" t="s">
        <v>290</v>
      </c>
      <c r="R225" t="s">
        <v>290</v>
      </c>
      <c r="S225" t="s">
        <v>292</v>
      </c>
      <c r="T225" t="s">
        <v>2249</v>
      </c>
      <c r="U225">
        <v>7</v>
      </c>
      <c r="V225" t="s">
        <v>339</v>
      </c>
      <c r="W225" t="s">
        <v>346</v>
      </c>
      <c r="Y225" t="s">
        <v>348</v>
      </c>
      <c r="Z225" t="s">
        <v>350</v>
      </c>
      <c r="AC225" t="s">
        <v>352</v>
      </c>
      <c r="AE225" t="s">
        <v>370</v>
      </c>
      <c r="AF225">
        <v>2019</v>
      </c>
      <c r="AG225">
        <v>0</v>
      </c>
      <c r="AH225">
        <v>2000</v>
      </c>
      <c r="AI225">
        <v>29</v>
      </c>
      <c r="AJ225" t="s">
        <v>2721</v>
      </c>
      <c r="AL225" t="s">
        <v>3153</v>
      </c>
      <c r="AM225">
        <v>3</v>
      </c>
      <c r="AO225">
        <v>1</v>
      </c>
      <c r="AP225">
        <v>3</v>
      </c>
      <c r="AQ225">
        <v>135.92</v>
      </c>
      <c r="AT225" t="s">
        <v>502</v>
      </c>
      <c r="AU225" t="s">
        <v>503</v>
      </c>
      <c r="AV225" t="s">
        <v>508</v>
      </c>
      <c r="AW225">
        <v>35000</v>
      </c>
      <c r="BA225" t="s">
        <v>3342</v>
      </c>
      <c r="BD225" t="s">
        <v>537</v>
      </c>
      <c r="BE225" t="s">
        <v>3453</v>
      </c>
    </row>
    <row r="226" spans="1:57">
      <c r="A226" s="1">
        <f>HYPERLINK("https://lsnyc.legalserver.org/matter/dynamic-profile/view/1889639","19-1889639")</f>
        <v>0</v>
      </c>
      <c r="E226" t="s">
        <v>381</v>
      </c>
      <c r="F226" t="s">
        <v>75</v>
      </c>
      <c r="G226" t="s">
        <v>80</v>
      </c>
      <c r="H226" t="s">
        <v>758</v>
      </c>
      <c r="J226" t="s">
        <v>1013</v>
      </c>
      <c r="K226" t="s">
        <v>1337</v>
      </c>
      <c r="L226" t="s">
        <v>1603</v>
      </c>
      <c r="M226" t="s">
        <v>1951</v>
      </c>
      <c r="N226" t="s">
        <v>288</v>
      </c>
      <c r="O226" t="s">
        <v>289</v>
      </c>
      <c r="P226">
        <v>11216</v>
      </c>
      <c r="Q226" t="s">
        <v>290</v>
      </c>
      <c r="R226" t="s">
        <v>290</v>
      </c>
      <c r="S226" t="s">
        <v>292</v>
      </c>
      <c r="T226" t="s">
        <v>2250</v>
      </c>
      <c r="U226">
        <v>5</v>
      </c>
      <c r="V226" t="s">
        <v>339</v>
      </c>
      <c r="W226" t="s">
        <v>346</v>
      </c>
      <c r="Y226" t="s">
        <v>348</v>
      </c>
      <c r="Z226" t="s">
        <v>350</v>
      </c>
      <c r="AA226" t="s">
        <v>350</v>
      </c>
      <c r="AC226" t="s">
        <v>352</v>
      </c>
      <c r="AE226" t="s">
        <v>370</v>
      </c>
      <c r="AF226">
        <v>2019</v>
      </c>
      <c r="AG226">
        <v>0</v>
      </c>
      <c r="AH226">
        <v>1506.2</v>
      </c>
      <c r="AI226">
        <v>10.5</v>
      </c>
      <c r="AJ226" t="s">
        <v>2722</v>
      </c>
      <c r="AL226" t="s">
        <v>3154</v>
      </c>
      <c r="AM226">
        <v>0</v>
      </c>
      <c r="AO226">
        <v>4</v>
      </c>
      <c r="AP226">
        <v>0</v>
      </c>
      <c r="AQ226">
        <v>225.24</v>
      </c>
      <c r="AR226" t="s">
        <v>782</v>
      </c>
      <c r="AS226" t="s">
        <v>3328</v>
      </c>
      <c r="AT226" t="s">
        <v>500</v>
      </c>
      <c r="AU226" t="s">
        <v>503</v>
      </c>
      <c r="AV226" t="s">
        <v>508</v>
      </c>
      <c r="AW226">
        <v>58000</v>
      </c>
      <c r="BA226" t="s">
        <v>522</v>
      </c>
      <c r="BD226" t="s">
        <v>537</v>
      </c>
      <c r="BE226" t="s">
        <v>786</v>
      </c>
    </row>
    <row r="227" spans="1:57">
      <c r="A227" s="1">
        <f>HYPERLINK("https://lsnyc.legalserver.org/matter/dynamic-profile/view/1889949","19-1889949")</f>
        <v>0</v>
      </c>
      <c r="E227" t="s">
        <v>381</v>
      </c>
      <c r="F227" t="s">
        <v>623</v>
      </c>
      <c r="G227" t="s">
        <v>80</v>
      </c>
      <c r="H227" t="s">
        <v>757</v>
      </c>
      <c r="J227" t="s">
        <v>1014</v>
      </c>
      <c r="K227" t="s">
        <v>1338</v>
      </c>
      <c r="L227" t="s">
        <v>1682</v>
      </c>
      <c r="M227" t="s">
        <v>268</v>
      </c>
      <c r="N227" t="s">
        <v>288</v>
      </c>
      <c r="O227" t="s">
        <v>289</v>
      </c>
      <c r="P227">
        <v>11216</v>
      </c>
      <c r="Q227" t="s">
        <v>290</v>
      </c>
      <c r="R227" t="s">
        <v>290</v>
      </c>
      <c r="S227" t="s">
        <v>292</v>
      </c>
      <c r="T227" t="s">
        <v>2251</v>
      </c>
      <c r="U227">
        <v>30</v>
      </c>
      <c r="V227" t="s">
        <v>339</v>
      </c>
      <c r="W227" t="s">
        <v>346</v>
      </c>
      <c r="Y227" t="s">
        <v>348</v>
      </c>
      <c r="Z227" t="s">
        <v>350</v>
      </c>
      <c r="AC227" t="s">
        <v>352</v>
      </c>
      <c r="AE227" t="s">
        <v>370</v>
      </c>
      <c r="AF227">
        <v>2019</v>
      </c>
      <c r="AG227">
        <v>0</v>
      </c>
      <c r="AH227">
        <v>1646</v>
      </c>
      <c r="AI227">
        <v>8.75</v>
      </c>
      <c r="AJ227" t="s">
        <v>2723</v>
      </c>
      <c r="AL227" t="s">
        <v>3155</v>
      </c>
      <c r="AM227">
        <v>8</v>
      </c>
      <c r="AO227">
        <v>2</v>
      </c>
      <c r="AP227">
        <v>0</v>
      </c>
      <c r="AQ227">
        <v>177.41</v>
      </c>
      <c r="AT227" t="s">
        <v>500</v>
      </c>
      <c r="AU227" t="s">
        <v>503</v>
      </c>
      <c r="AV227" t="s">
        <v>508</v>
      </c>
      <c r="AW227">
        <v>30000</v>
      </c>
      <c r="BA227" t="s">
        <v>3341</v>
      </c>
      <c r="BD227" t="s">
        <v>537</v>
      </c>
      <c r="BE227" t="s">
        <v>786</v>
      </c>
    </row>
    <row r="228" spans="1:57">
      <c r="A228" s="1">
        <f>HYPERLINK("https://lsnyc.legalserver.org/matter/dynamic-profile/view/1890519","19-1890519")</f>
        <v>0</v>
      </c>
      <c r="E228" t="s">
        <v>381</v>
      </c>
      <c r="F228" t="s">
        <v>623</v>
      </c>
      <c r="G228" t="s">
        <v>80</v>
      </c>
      <c r="H228" t="s">
        <v>654</v>
      </c>
      <c r="J228" t="s">
        <v>1015</v>
      </c>
      <c r="K228" t="s">
        <v>1339</v>
      </c>
      <c r="L228" t="s">
        <v>1683</v>
      </c>
      <c r="N228" t="s">
        <v>288</v>
      </c>
      <c r="O228" t="s">
        <v>289</v>
      </c>
      <c r="P228">
        <v>11216</v>
      </c>
      <c r="Q228" t="s">
        <v>290</v>
      </c>
      <c r="R228" t="s">
        <v>290</v>
      </c>
      <c r="S228" t="s">
        <v>295</v>
      </c>
      <c r="T228" t="s">
        <v>2252</v>
      </c>
      <c r="U228">
        <v>28</v>
      </c>
      <c r="V228" t="s">
        <v>339</v>
      </c>
      <c r="W228" t="s">
        <v>346</v>
      </c>
      <c r="Y228" t="s">
        <v>348</v>
      </c>
      <c r="Z228" t="s">
        <v>350</v>
      </c>
      <c r="AC228" t="s">
        <v>353</v>
      </c>
      <c r="AE228" t="s">
        <v>370</v>
      </c>
      <c r="AF228">
        <v>2019</v>
      </c>
      <c r="AG228">
        <v>0</v>
      </c>
      <c r="AH228">
        <v>961</v>
      </c>
      <c r="AI228">
        <v>2.45</v>
      </c>
      <c r="AJ228" t="s">
        <v>2724</v>
      </c>
      <c r="AL228" t="s">
        <v>3156</v>
      </c>
      <c r="AM228">
        <v>0</v>
      </c>
      <c r="AN228" t="s">
        <v>495</v>
      </c>
      <c r="AO228">
        <v>4</v>
      </c>
      <c r="AP228">
        <v>0</v>
      </c>
      <c r="AQ228">
        <v>112.03</v>
      </c>
      <c r="AT228" t="s">
        <v>500</v>
      </c>
      <c r="AV228" t="s">
        <v>508</v>
      </c>
      <c r="AW228">
        <v>28848</v>
      </c>
      <c r="BA228" t="s">
        <v>522</v>
      </c>
      <c r="BD228" t="s">
        <v>548</v>
      </c>
      <c r="BE228" t="s">
        <v>784</v>
      </c>
    </row>
    <row r="229" spans="1:57">
      <c r="A229" s="1">
        <f>HYPERLINK("https://lsnyc.legalserver.org/matter/dynamic-profile/view/1890672","19-1890672")</f>
        <v>0</v>
      </c>
      <c r="E229" t="s">
        <v>381</v>
      </c>
      <c r="F229" t="s">
        <v>629</v>
      </c>
      <c r="G229" t="s">
        <v>80</v>
      </c>
      <c r="H229" t="s">
        <v>759</v>
      </c>
      <c r="J229" t="s">
        <v>1016</v>
      </c>
      <c r="K229" t="s">
        <v>1340</v>
      </c>
      <c r="L229" t="s">
        <v>1684</v>
      </c>
      <c r="M229" t="s">
        <v>1952</v>
      </c>
      <c r="N229" t="s">
        <v>288</v>
      </c>
      <c r="O229" t="s">
        <v>289</v>
      </c>
      <c r="P229">
        <v>11216</v>
      </c>
      <c r="Q229" t="s">
        <v>290</v>
      </c>
      <c r="R229" t="s">
        <v>290</v>
      </c>
      <c r="S229" t="s">
        <v>295</v>
      </c>
      <c r="T229" t="s">
        <v>2253</v>
      </c>
      <c r="U229">
        <v>14</v>
      </c>
      <c r="V229" t="s">
        <v>339</v>
      </c>
      <c r="W229" t="s">
        <v>346</v>
      </c>
      <c r="Y229" t="s">
        <v>348</v>
      </c>
      <c r="Z229" t="s">
        <v>350</v>
      </c>
      <c r="AA229" t="s">
        <v>350</v>
      </c>
      <c r="AC229" t="s">
        <v>353</v>
      </c>
      <c r="AD229" t="s">
        <v>356</v>
      </c>
      <c r="AE229" t="s">
        <v>370</v>
      </c>
      <c r="AF229">
        <v>2019</v>
      </c>
      <c r="AG229">
        <v>0</v>
      </c>
      <c r="AH229">
        <v>483</v>
      </c>
      <c r="AI229">
        <v>16.4</v>
      </c>
      <c r="AJ229" t="s">
        <v>2725</v>
      </c>
      <c r="AL229" t="s">
        <v>3157</v>
      </c>
      <c r="AM229">
        <v>24</v>
      </c>
      <c r="AN229" t="s">
        <v>495</v>
      </c>
      <c r="AO229">
        <v>2</v>
      </c>
      <c r="AP229">
        <v>2</v>
      </c>
      <c r="AQ229">
        <v>90.87</v>
      </c>
      <c r="AT229" t="s">
        <v>501</v>
      </c>
      <c r="AU229" t="s">
        <v>503</v>
      </c>
      <c r="AV229" t="s">
        <v>508</v>
      </c>
      <c r="AW229">
        <v>23400</v>
      </c>
      <c r="BA229" t="s">
        <v>522</v>
      </c>
      <c r="BD229" t="s">
        <v>540</v>
      </c>
      <c r="BE229" t="s">
        <v>806</v>
      </c>
    </row>
    <row r="230" spans="1:57">
      <c r="A230" s="1">
        <f>HYPERLINK("https://lsnyc.legalserver.org/matter/dynamic-profile/view/1878450","18-1878450")</f>
        <v>0</v>
      </c>
      <c r="E230" t="s">
        <v>381</v>
      </c>
      <c r="F230" t="s">
        <v>74</v>
      </c>
      <c r="G230" t="s">
        <v>80</v>
      </c>
      <c r="H230" t="s">
        <v>762</v>
      </c>
      <c r="J230" t="s">
        <v>1017</v>
      </c>
      <c r="K230" t="s">
        <v>1341</v>
      </c>
      <c r="L230" t="s">
        <v>1685</v>
      </c>
      <c r="M230" t="s">
        <v>1953</v>
      </c>
      <c r="N230" t="s">
        <v>288</v>
      </c>
      <c r="O230" t="s">
        <v>289</v>
      </c>
      <c r="P230">
        <v>11213</v>
      </c>
      <c r="Q230" t="s">
        <v>290</v>
      </c>
      <c r="R230" t="s">
        <v>290</v>
      </c>
      <c r="S230" t="s">
        <v>293</v>
      </c>
      <c r="T230" t="s">
        <v>2254</v>
      </c>
      <c r="U230">
        <v>28</v>
      </c>
      <c r="V230" t="s">
        <v>340</v>
      </c>
      <c r="W230" t="s">
        <v>346</v>
      </c>
      <c r="Y230" t="s">
        <v>349</v>
      </c>
      <c r="Z230" t="s">
        <v>350</v>
      </c>
      <c r="AC230" t="s">
        <v>352</v>
      </c>
      <c r="AE230" t="s">
        <v>370</v>
      </c>
      <c r="AF230">
        <v>2019</v>
      </c>
      <c r="AG230">
        <v>624.37</v>
      </c>
      <c r="AH230">
        <v>624.37</v>
      </c>
      <c r="AI230">
        <v>59.2</v>
      </c>
      <c r="AJ230" t="s">
        <v>2726</v>
      </c>
      <c r="AL230" t="s">
        <v>3158</v>
      </c>
      <c r="AM230">
        <v>20</v>
      </c>
      <c r="AN230" t="s">
        <v>494</v>
      </c>
      <c r="AO230">
        <v>1</v>
      </c>
      <c r="AP230">
        <v>0</v>
      </c>
      <c r="AQ230">
        <v>55.5</v>
      </c>
      <c r="AT230" t="s">
        <v>501</v>
      </c>
      <c r="AV230" t="s">
        <v>508</v>
      </c>
      <c r="AW230">
        <v>6738</v>
      </c>
      <c r="BA230" t="s">
        <v>530</v>
      </c>
      <c r="BD230" t="s">
        <v>3407</v>
      </c>
      <c r="BE230" t="s">
        <v>586</v>
      </c>
    </row>
    <row r="231" spans="1:57">
      <c r="A231" s="1">
        <f>HYPERLINK("https://lsnyc.legalserver.org/matter/dynamic-profile/view/1887946","19-1887946")</f>
        <v>0</v>
      </c>
      <c r="E231" t="s">
        <v>381</v>
      </c>
      <c r="F231" t="s">
        <v>72</v>
      </c>
      <c r="G231" t="s">
        <v>80</v>
      </c>
      <c r="H231" t="s">
        <v>656</v>
      </c>
      <c r="J231" t="s">
        <v>1018</v>
      </c>
      <c r="K231" t="s">
        <v>1342</v>
      </c>
      <c r="L231" t="s">
        <v>1686</v>
      </c>
      <c r="M231">
        <v>13</v>
      </c>
      <c r="N231" t="s">
        <v>288</v>
      </c>
      <c r="O231" t="s">
        <v>289</v>
      </c>
      <c r="P231">
        <v>11213</v>
      </c>
      <c r="Q231" t="s">
        <v>290</v>
      </c>
      <c r="R231" t="s">
        <v>290</v>
      </c>
      <c r="S231" t="s">
        <v>295</v>
      </c>
      <c r="T231" t="s">
        <v>2255</v>
      </c>
      <c r="U231">
        <v>9</v>
      </c>
      <c r="V231" t="s">
        <v>340</v>
      </c>
      <c r="W231" t="s">
        <v>346</v>
      </c>
      <c r="Y231" t="s">
        <v>349</v>
      </c>
      <c r="Z231" t="s">
        <v>350</v>
      </c>
      <c r="AC231" t="s">
        <v>352</v>
      </c>
      <c r="AE231" t="s">
        <v>370</v>
      </c>
      <c r="AF231">
        <v>2019</v>
      </c>
      <c r="AG231">
        <v>0</v>
      </c>
      <c r="AH231">
        <v>1320</v>
      </c>
      <c r="AI231">
        <v>95.90000000000001</v>
      </c>
      <c r="AJ231" t="s">
        <v>2727</v>
      </c>
      <c r="AL231" t="s">
        <v>3159</v>
      </c>
      <c r="AM231">
        <v>16</v>
      </c>
      <c r="AO231">
        <v>3</v>
      </c>
      <c r="AP231">
        <v>0</v>
      </c>
      <c r="AQ231">
        <v>160.29</v>
      </c>
      <c r="AT231" t="s">
        <v>500</v>
      </c>
      <c r="AU231" t="s">
        <v>503</v>
      </c>
      <c r="AV231" t="s">
        <v>508</v>
      </c>
      <c r="AW231">
        <v>33309</v>
      </c>
      <c r="BA231" t="s">
        <v>3342</v>
      </c>
      <c r="BD231" t="s">
        <v>537</v>
      </c>
      <c r="BE231" t="s">
        <v>3454</v>
      </c>
    </row>
    <row r="232" spans="1:57">
      <c r="A232" s="1">
        <f>HYPERLINK("https://lsnyc.legalserver.org/matter/dynamic-profile/view/1887287","19-1887287")</f>
        <v>0</v>
      </c>
      <c r="E232" t="s">
        <v>381</v>
      </c>
      <c r="F232" t="s">
        <v>621</v>
      </c>
      <c r="G232" t="s">
        <v>80</v>
      </c>
      <c r="H232" t="s">
        <v>653</v>
      </c>
      <c r="J232" t="s">
        <v>1019</v>
      </c>
      <c r="K232" t="s">
        <v>1343</v>
      </c>
      <c r="L232" t="s">
        <v>1687</v>
      </c>
      <c r="M232" t="s">
        <v>1932</v>
      </c>
      <c r="N232" t="s">
        <v>288</v>
      </c>
      <c r="O232" t="s">
        <v>289</v>
      </c>
      <c r="P232">
        <v>11213</v>
      </c>
      <c r="Q232" t="s">
        <v>290</v>
      </c>
      <c r="R232" t="s">
        <v>290</v>
      </c>
      <c r="S232" t="s">
        <v>295</v>
      </c>
      <c r="T232" t="s">
        <v>2256</v>
      </c>
      <c r="U232">
        <v>19</v>
      </c>
      <c r="V232" t="s">
        <v>339</v>
      </c>
      <c r="W232" t="s">
        <v>346</v>
      </c>
      <c r="Y232" t="s">
        <v>349</v>
      </c>
      <c r="Z232" t="s">
        <v>350</v>
      </c>
      <c r="AC232" t="s">
        <v>352</v>
      </c>
      <c r="AE232" t="s">
        <v>370</v>
      </c>
      <c r="AF232">
        <v>2019</v>
      </c>
      <c r="AG232">
        <v>0</v>
      </c>
      <c r="AH232">
        <v>1587</v>
      </c>
      <c r="AI232">
        <v>18.5</v>
      </c>
      <c r="AJ232" t="s">
        <v>2728</v>
      </c>
      <c r="AK232" t="s">
        <v>2926</v>
      </c>
      <c r="AL232" t="s">
        <v>3160</v>
      </c>
      <c r="AM232">
        <v>0</v>
      </c>
      <c r="AO232">
        <v>2</v>
      </c>
      <c r="AP232">
        <v>2</v>
      </c>
      <c r="AQ232">
        <v>0</v>
      </c>
      <c r="AT232" t="s">
        <v>501</v>
      </c>
      <c r="AU232" t="s">
        <v>507</v>
      </c>
      <c r="AV232" t="s">
        <v>508</v>
      </c>
      <c r="AW232">
        <v>0</v>
      </c>
      <c r="BA232" t="s">
        <v>3341</v>
      </c>
      <c r="BD232" t="s">
        <v>3368</v>
      </c>
      <c r="BE232" t="s">
        <v>810</v>
      </c>
    </row>
    <row r="233" spans="1:57">
      <c r="A233" s="1">
        <f>HYPERLINK("https://lsnyc.legalserver.org/matter/dynamic-profile/view/1886766","18-1886766")</f>
        <v>0</v>
      </c>
      <c r="E233" t="s">
        <v>381</v>
      </c>
      <c r="F233" t="s">
        <v>72</v>
      </c>
      <c r="G233" t="s">
        <v>80</v>
      </c>
      <c r="H233" t="s">
        <v>754</v>
      </c>
      <c r="J233" t="s">
        <v>146</v>
      </c>
      <c r="K233" t="s">
        <v>1344</v>
      </c>
      <c r="L233" t="s">
        <v>1688</v>
      </c>
      <c r="M233" t="s">
        <v>1954</v>
      </c>
      <c r="N233" t="s">
        <v>288</v>
      </c>
      <c r="O233" t="s">
        <v>289</v>
      </c>
      <c r="P233">
        <v>11210</v>
      </c>
      <c r="Q233" t="s">
        <v>290</v>
      </c>
      <c r="R233" t="s">
        <v>290</v>
      </c>
      <c r="S233" t="s">
        <v>295</v>
      </c>
      <c r="T233" t="s">
        <v>2257</v>
      </c>
      <c r="U233">
        <v>5</v>
      </c>
      <c r="V233" t="s">
        <v>340</v>
      </c>
      <c r="W233" t="s">
        <v>346</v>
      </c>
      <c r="Y233" t="s">
        <v>349</v>
      </c>
      <c r="Z233" t="s">
        <v>350</v>
      </c>
      <c r="AC233" t="s">
        <v>352</v>
      </c>
      <c r="AE233" t="s">
        <v>370</v>
      </c>
      <c r="AF233">
        <v>2019</v>
      </c>
      <c r="AG233">
        <v>0</v>
      </c>
      <c r="AH233">
        <v>1950</v>
      </c>
      <c r="AI233">
        <v>35.6</v>
      </c>
      <c r="AJ233" t="s">
        <v>2729</v>
      </c>
      <c r="AL233" t="s">
        <v>3161</v>
      </c>
      <c r="AM233">
        <v>90</v>
      </c>
      <c r="AO233">
        <v>3</v>
      </c>
      <c r="AP233">
        <v>0</v>
      </c>
      <c r="AQ233">
        <v>80.58</v>
      </c>
      <c r="AT233" t="s">
        <v>500</v>
      </c>
      <c r="AV233" t="s">
        <v>508</v>
      </c>
      <c r="AW233">
        <v>16744</v>
      </c>
      <c r="BA233" t="s">
        <v>3341</v>
      </c>
      <c r="BD233" t="s">
        <v>540</v>
      </c>
      <c r="BE233" t="s">
        <v>673</v>
      </c>
    </row>
    <row r="234" spans="1:57">
      <c r="A234" s="1">
        <f>HYPERLINK("https://lsnyc.legalserver.org/matter/dynamic-profile/view/1878993","18-1878993")</f>
        <v>0</v>
      </c>
      <c r="E234" t="s">
        <v>381</v>
      </c>
      <c r="F234" t="s">
        <v>72</v>
      </c>
      <c r="G234" t="s">
        <v>80</v>
      </c>
      <c r="H234" t="s">
        <v>716</v>
      </c>
      <c r="J234" t="s">
        <v>146</v>
      </c>
      <c r="K234" t="s">
        <v>1345</v>
      </c>
      <c r="L234" t="s">
        <v>1689</v>
      </c>
      <c r="M234" t="s">
        <v>278</v>
      </c>
      <c r="N234" t="s">
        <v>288</v>
      </c>
      <c r="O234" t="s">
        <v>289</v>
      </c>
      <c r="P234">
        <v>11210</v>
      </c>
      <c r="Q234" t="s">
        <v>290</v>
      </c>
      <c r="R234" t="s">
        <v>290</v>
      </c>
      <c r="S234" t="s">
        <v>295</v>
      </c>
      <c r="T234" t="s">
        <v>2258</v>
      </c>
      <c r="U234">
        <v>15</v>
      </c>
      <c r="V234" t="s">
        <v>339</v>
      </c>
      <c r="W234" t="s">
        <v>346</v>
      </c>
      <c r="Y234" t="s">
        <v>349</v>
      </c>
      <c r="Z234" t="s">
        <v>350</v>
      </c>
      <c r="AC234" t="s">
        <v>352</v>
      </c>
      <c r="AE234" t="s">
        <v>370</v>
      </c>
      <c r="AF234">
        <v>2019</v>
      </c>
      <c r="AG234">
        <v>0</v>
      </c>
      <c r="AH234">
        <v>1800</v>
      </c>
      <c r="AI234">
        <v>29.5</v>
      </c>
      <c r="AJ234" t="s">
        <v>2730</v>
      </c>
      <c r="AL234" t="s">
        <v>3162</v>
      </c>
      <c r="AM234">
        <v>0</v>
      </c>
      <c r="AO234">
        <v>2</v>
      </c>
      <c r="AP234">
        <v>2</v>
      </c>
      <c r="AQ234">
        <v>0</v>
      </c>
      <c r="AT234" t="s">
        <v>501</v>
      </c>
      <c r="AV234" t="s">
        <v>508</v>
      </c>
      <c r="AW234">
        <v>0</v>
      </c>
      <c r="BA234" t="s">
        <v>522</v>
      </c>
      <c r="BD234" t="s">
        <v>3384</v>
      </c>
      <c r="BE234" t="s">
        <v>572</v>
      </c>
    </row>
    <row r="235" spans="1:57">
      <c r="A235" s="1">
        <f>HYPERLINK("https://lsnyc.legalserver.org/matter/dynamic-profile/view/1885959","18-1885959")</f>
        <v>0</v>
      </c>
      <c r="E235" t="s">
        <v>381</v>
      </c>
      <c r="F235" t="s">
        <v>75</v>
      </c>
      <c r="G235" t="s">
        <v>80</v>
      </c>
      <c r="H235" t="s">
        <v>741</v>
      </c>
      <c r="J235" t="s">
        <v>1020</v>
      </c>
      <c r="K235" t="s">
        <v>1346</v>
      </c>
      <c r="L235" t="s">
        <v>1690</v>
      </c>
      <c r="M235" t="s">
        <v>1917</v>
      </c>
      <c r="N235" t="s">
        <v>288</v>
      </c>
      <c r="O235" t="s">
        <v>289</v>
      </c>
      <c r="P235">
        <v>11206</v>
      </c>
      <c r="Q235" t="s">
        <v>290</v>
      </c>
      <c r="R235" t="s">
        <v>290</v>
      </c>
      <c r="S235" t="s">
        <v>295</v>
      </c>
      <c r="T235" t="s">
        <v>2259</v>
      </c>
      <c r="U235">
        <v>2</v>
      </c>
      <c r="V235" t="s">
        <v>339</v>
      </c>
      <c r="W235" t="s">
        <v>346</v>
      </c>
      <c r="Y235" t="s">
        <v>349</v>
      </c>
      <c r="Z235" t="s">
        <v>350</v>
      </c>
      <c r="AA235" t="s">
        <v>350</v>
      </c>
      <c r="AC235" t="s">
        <v>353</v>
      </c>
      <c r="AE235" t="s">
        <v>370</v>
      </c>
      <c r="AF235">
        <v>2019</v>
      </c>
      <c r="AG235">
        <v>0</v>
      </c>
      <c r="AH235">
        <v>0</v>
      </c>
      <c r="AI235">
        <v>8.75</v>
      </c>
      <c r="AJ235" t="s">
        <v>2731</v>
      </c>
      <c r="AL235" t="s">
        <v>3163</v>
      </c>
      <c r="AM235">
        <v>100</v>
      </c>
      <c r="AO235">
        <v>1</v>
      </c>
      <c r="AP235">
        <v>0</v>
      </c>
      <c r="AQ235">
        <v>74.14</v>
      </c>
      <c r="AT235" t="s">
        <v>500</v>
      </c>
      <c r="AV235" t="s">
        <v>508</v>
      </c>
      <c r="AW235">
        <v>9000</v>
      </c>
      <c r="BA235" t="s">
        <v>3342</v>
      </c>
      <c r="BD235" t="s">
        <v>3390</v>
      </c>
      <c r="BE235" t="s">
        <v>676</v>
      </c>
    </row>
    <row r="236" spans="1:57">
      <c r="A236" s="1">
        <f>HYPERLINK("https://lsnyc.legalserver.org/matter/dynamic-profile/view/1890066","19-1890066")</f>
        <v>0</v>
      </c>
      <c r="E236" t="s">
        <v>381</v>
      </c>
      <c r="F236" t="s">
        <v>59</v>
      </c>
      <c r="G236" t="s">
        <v>80</v>
      </c>
      <c r="H236" t="s">
        <v>763</v>
      </c>
      <c r="J236" t="s">
        <v>930</v>
      </c>
      <c r="K236" t="s">
        <v>1347</v>
      </c>
      <c r="L236" t="s">
        <v>238</v>
      </c>
      <c r="M236" t="s">
        <v>1955</v>
      </c>
      <c r="N236" t="s">
        <v>288</v>
      </c>
      <c r="O236" t="s">
        <v>289</v>
      </c>
      <c r="P236">
        <v>11226</v>
      </c>
      <c r="Q236" t="s">
        <v>290</v>
      </c>
      <c r="R236" t="s">
        <v>290</v>
      </c>
      <c r="T236" t="s">
        <v>2260</v>
      </c>
      <c r="U236">
        <v>18</v>
      </c>
      <c r="V236" t="s">
        <v>339</v>
      </c>
      <c r="W236" t="s">
        <v>346</v>
      </c>
      <c r="Y236" t="s">
        <v>348</v>
      </c>
      <c r="Z236" t="s">
        <v>350</v>
      </c>
      <c r="AC236" t="s">
        <v>352</v>
      </c>
      <c r="AE236" t="s">
        <v>2493</v>
      </c>
      <c r="AF236">
        <v>2019</v>
      </c>
      <c r="AG236">
        <v>0</v>
      </c>
      <c r="AH236">
        <v>0</v>
      </c>
      <c r="AI236">
        <v>5.3</v>
      </c>
      <c r="AJ236" t="s">
        <v>2732</v>
      </c>
      <c r="AM236">
        <v>0</v>
      </c>
      <c r="AO236">
        <v>2</v>
      </c>
      <c r="AP236">
        <v>0</v>
      </c>
      <c r="AQ236">
        <v>384.39</v>
      </c>
      <c r="AT236" t="s">
        <v>500</v>
      </c>
      <c r="AV236" t="s">
        <v>508</v>
      </c>
      <c r="AW236">
        <v>65000</v>
      </c>
      <c r="BA236" t="s">
        <v>3343</v>
      </c>
      <c r="BD236" t="s">
        <v>299</v>
      </c>
      <c r="BE236" t="s">
        <v>764</v>
      </c>
    </row>
    <row r="237" spans="1:57">
      <c r="A237" s="1">
        <f>HYPERLINK("https://lsnyc.legalserver.org/matter/dynamic-profile/view/1889249","19-1889249")</f>
        <v>0</v>
      </c>
      <c r="E237" t="s">
        <v>381</v>
      </c>
      <c r="F237" t="s">
        <v>59</v>
      </c>
      <c r="G237" t="s">
        <v>80</v>
      </c>
      <c r="H237" t="s">
        <v>756</v>
      </c>
      <c r="J237" t="s">
        <v>1021</v>
      </c>
      <c r="K237" t="s">
        <v>1348</v>
      </c>
      <c r="L237" t="s">
        <v>1691</v>
      </c>
      <c r="M237" t="s">
        <v>1863</v>
      </c>
      <c r="N237" t="s">
        <v>288</v>
      </c>
      <c r="O237" t="s">
        <v>289</v>
      </c>
      <c r="P237">
        <v>11226</v>
      </c>
      <c r="Q237" t="s">
        <v>290</v>
      </c>
      <c r="R237" t="s">
        <v>290</v>
      </c>
      <c r="S237" t="s">
        <v>295</v>
      </c>
      <c r="T237" t="s">
        <v>2261</v>
      </c>
      <c r="U237">
        <v>30</v>
      </c>
      <c r="V237" t="s">
        <v>339</v>
      </c>
      <c r="W237" t="s">
        <v>346</v>
      </c>
      <c r="Y237" t="s">
        <v>348</v>
      </c>
      <c r="Z237" t="s">
        <v>350</v>
      </c>
      <c r="AC237" t="s">
        <v>352</v>
      </c>
      <c r="AE237" t="s">
        <v>2452</v>
      </c>
      <c r="AF237">
        <v>2019</v>
      </c>
      <c r="AG237">
        <v>0</v>
      </c>
      <c r="AH237">
        <v>835.09</v>
      </c>
      <c r="AI237">
        <v>17.1</v>
      </c>
      <c r="AJ237" t="s">
        <v>2733</v>
      </c>
      <c r="AL237" t="s">
        <v>3164</v>
      </c>
      <c r="AM237">
        <v>16</v>
      </c>
      <c r="AO237">
        <v>2</v>
      </c>
      <c r="AP237">
        <v>1</v>
      </c>
      <c r="AQ237">
        <v>82.36</v>
      </c>
      <c r="AT237" t="s">
        <v>502</v>
      </c>
      <c r="AU237" t="s">
        <v>503</v>
      </c>
      <c r="AV237" t="s">
        <v>508</v>
      </c>
      <c r="AW237">
        <v>17568</v>
      </c>
      <c r="BA237" t="s">
        <v>3341</v>
      </c>
      <c r="BD237" t="s">
        <v>545</v>
      </c>
      <c r="BE237" t="s">
        <v>800</v>
      </c>
    </row>
    <row r="238" spans="1:57">
      <c r="A238" s="1">
        <f>HYPERLINK("https://lsnyc.legalserver.org/matter/dynamic-profile/view/1888718","19-1888718")</f>
        <v>0</v>
      </c>
      <c r="E238" t="s">
        <v>381</v>
      </c>
      <c r="F238" t="s">
        <v>59</v>
      </c>
      <c r="G238" t="s">
        <v>80</v>
      </c>
      <c r="H238" t="s">
        <v>651</v>
      </c>
      <c r="J238" t="s">
        <v>1022</v>
      </c>
      <c r="K238" t="s">
        <v>1349</v>
      </c>
      <c r="L238" t="s">
        <v>1692</v>
      </c>
      <c r="M238" t="s">
        <v>1858</v>
      </c>
      <c r="N238" t="s">
        <v>288</v>
      </c>
      <c r="O238" t="s">
        <v>289</v>
      </c>
      <c r="P238">
        <v>11210</v>
      </c>
      <c r="Q238" t="s">
        <v>290</v>
      </c>
      <c r="R238" t="s">
        <v>290</v>
      </c>
      <c r="S238" t="s">
        <v>295</v>
      </c>
      <c r="T238" t="s">
        <v>2262</v>
      </c>
      <c r="U238">
        <v>4</v>
      </c>
      <c r="V238" t="s">
        <v>339</v>
      </c>
      <c r="W238" t="s">
        <v>346</v>
      </c>
      <c r="Y238" t="s">
        <v>349</v>
      </c>
      <c r="Z238" t="s">
        <v>350</v>
      </c>
      <c r="AC238" t="s">
        <v>352</v>
      </c>
      <c r="AE238" t="s">
        <v>2452</v>
      </c>
      <c r="AF238">
        <v>2019</v>
      </c>
      <c r="AG238">
        <v>0</v>
      </c>
      <c r="AH238">
        <v>1600</v>
      </c>
      <c r="AI238">
        <v>34.1</v>
      </c>
      <c r="AJ238" t="s">
        <v>2734</v>
      </c>
      <c r="AL238" t="s">
        <v>3165</v>
      </c>
      <c r="AM238">
        <v>0</v>
      </c>
      <c r="AO238">
        <v>2</v>
      </c>
      <c r="AP238">
        <v>3</v>
      </c>
      <c r="AQ238">
        <v>129.27</v>
      </c>
      <c r="AT238" t="s">
        <v>501</v>
      </c>
      <c r="AU238" t="s">
        <v>503</v>
      </c>
      <c r="AV238" t="s">
        <v>508</v>
      </c>
      <c r="AW238">
        <v>39000</v>
      </c>
      <c r="BA238" t="s">
        <v>3342</v>
      </c>
      <c r="BD238" t="s">
        <v>540</v>
      </c>
      <c r="BE238" t="s">
        <v>3455</v>
      </c>
    </row>
    <row r="239" spans="1:57">
      <c r="A239" s="1">
        <f>HYPERLINK("https://lsnyc.legalserver.org/matter/dynamic-profile/view/1891165","19-1891165")</f>
        <v>0</v>
      </c>
      <c r="E239" t="s">
        <v>381</v>
      </c>
      <c r="F239" t="s">
        <v>629</v>
      </c>
      <c r="G239" t="s">
        <v>80</v>
      </c>
      <c r="H239" t="s">
        <v>764</v>
      </c>
      <c r="J239" t="s">
        <v>1023</v>
      </c>
      <c r="K239" t="s">
        <v>1350</v>
      </c>
      <c r="L239" t="s">
        <v>1693</v>
      </c>
      <c r="M239" t="s">
        <v>277</v>
      </c>
      <c r="N239" t="s">
        <v>288</v>
      </c>
      <c r="O239" t="s">
        <v>289</v>
      </c>
      <c r="P239">
        <v>11220</v>
      </c>
      <c r="Q239" t="s">
        <v>290</v>
      </c>
      <c r="R239" t="s">
        <v>290</v>
      </c>
      <c r="S239" t="s">
        <v>295</v>
      </c>
      <c r="T239" t="s">
        <v>2263</v>
      </c>
      <c r="U239">
        <v>30</v>
      </c>
      <c r="V239" t="s">
        <v>339</v>
      </c>
      <c r="W239" t="s">
        <v>346</v>
      </c>
      <c r="Y239" t="s">
        <v>349</v>
      </c>
      <c r="Z239" t="s">
        <v>350</v>
      </c>
      <c r="AA239" t="s">
        <v>350</v>
      </c>
      <c r="AC239" t="s">
        <v>352</v>
      </c>
      <c r="AD239" t="s">
        <v>356</v>
      </c>
      <c r="AE239" t="s">
        <v>2461</v>
      </c>
      <c r="AF239">
        <v>2019</v>
      </c>
      <c r="AG239">
        <v>0</v>
      </c>
      <c r="AH239">
        <v>656.1799999999999</v>
      </c>
      <c r="AI239">
        <v>29.6</v>
      </c>
      <c r="AJ239" t="s">
        <v>2735</v>
      </c>
      <c r="AL239" t="s">
        <v>3166</v>
      </c>
      <c r="AM239">
        <v>6</v>
      </c>
      <c r="AN239" t="s">
        <v>493</v>
      </c>
      <c r="AO239">
        <v>2</v>
      </c>
      <c r="AP239">
        <v>0</v>
      </c>
      <c r="AQ239">
        <v>18.45</v>
      </c>
      <c r="AT239" t="s">
        <v>500</v>
      </c>
      <c r="AU239" t="s">
        <v>503</v>
      </c>
      <c r="AV239" t="s">
        <v>509</v>
      </c>
      <c r="AW239">
        <v>3120</v>
      </c>
      <c r="BA239" t="s">
        <v>3342</v>
      </c>
      <c r="BD239" t="s">
        <v>3408</v>
      </c>
      <c r="BE239" t="s">
        <v>813</v>
      </c>
    </row>
    <row r="240" spans="1:57">
      <c r="A240" s="1">
        <f>HYPERLINK("https://lsnyc.legalserver.org/matter/dynamic-profile/view/1891528","19-1891528")</f>
        <v>0</v>
      </c>
      <c r="E240" t="s">
        <v>381</v>
      </c>
      <c r="F240" t="s">
        <v>622</v>
      </c>
      <c r="G240" t="s">
        <v>80</v>
      </c>
      <c r="H240" t="s">
        <v>765</v>
      </c>
      <c r="J240" t="s">
        <v>1024</v>
      </c>
      <c r="K240" t="s">
        <v>1351</v>
      </c>
      <c r="L240" t="s">
        <v>1694</v>
      </c>
      <c r="M240" t="s">
        <v>1847</v>
      </c>
      <c r="N240" t="s">
        <v>288</v>
      </c>
      <c r="O240" t="s">
        <v>289</v>
      </c>
      <c r="P240">
        <v>11213</v>
      </c>
      <c r="Q240" t="s">
        <v>290</v>
      </c>
      <c r="R240" t="s">
        <v>291</v>
      </c>
      <c r="S240" t="s">
        <v>295</v>
      </c>
      <c r="T240" t="s">
        <v>2264</v>
      </c>
      <c r="U240">
        <v>7</v>
      </c>
      <c r="V240" t="s">
        <v>339</v>
      </c>
      <c r="W240" t="s">
        <v>346</v>
      </c>
      <c r="Y240" t="s">
        <v>349</v>
      </c>
      <c r="Z240" t="s">
        <v>350</v>
      </c>
      <c r="AC240" t="s">
        <v>352</v>
      </c>
      <c r="AE240" t="s">
        <v>2494</v>
      </c>
      <c r="AF240">
        <v>2019</v>
      </c>
      <c r="AG240">
        <v>0</v>
      </c>
      <c r="AH240">
        <v>808.85</v>
      </c>
      <c r="AI240">
        <v>18.7</v>
      </c>
      <c r="AJ240" t="s">
        <v>2736</v>
      </c>
      <c r="AL240" t="s">
        <v>3167</v>
      </c>
      <c r="AM240">
        <v>8</v>
      </c>
      <c r="AN240" t="s">
        <v>493</v>
      </c>
      <c r="AO240">
        <v>1</v>
      </c>
      <c r="AP240">
        <v>3</v>
      </c>
      <c r="AQ240">
        <v>69.90000000000001</v>
      </c>
      <c r="AT240" t="s">
        <v>501</v>
      </c>
      <c r="AV240" t="s">
        <v>3334</v>
      </c>
      <c r="AW240">
        <v>18000</v>
      </c>
      <c r="BA240" t="s">
        <v>530</v>
      </c>
      <c r="BD240" t="s">
        <v>3409</v>
      </c>
      <c r="BE240" t="s">
        <v>811</v>
      </c>
    </row>
    <row r="241" spans="1:58">
      <c r="A241" s="1">
        <f>HYPERLINK("https://lsnyc.legalserver.org/matter/dynamic-profile/view/1891371","19-1891371")</f>
        <v>0</v>
      </c>
      <c r="E241" t="s">
        <v>381</v>
      </c>
      <c r="F241" t="s">
        <v>623</v>
      </c>
      <c r="G241" t="s">
        <v>80</v>
      </c>
      <c r="H241" t="s">
        <v>692</v>
      </c>
      <c r="J241" t="s">
        <v>1025</v>
      </c>
      <c r="K241" t="s">
        <v>1352</v>
      </c>
      <c r="L241" t="s">
        <v>1695</v>
      </c>
      <c r="M241" t="s">
        <v>1843</v>
      </c>
      <c r="N241" t="s">
        <v>288</v>
      </c>
      <c r="O241" t="s">
        <v>289</v>
      </c>
      <c r="P241">
        <v>11236</v>
      </c>
      <c r="Q241" t="s">
        <v>290</v>
      </c>
      <c r="R241" t="s">
        <v>290</v>
      </c>
      <c r="S241" t="s">
        <v>295</v>
      </c>
      <c r="T241" t="s">
        <v>2265</v>
      </c>
      <c r="U241">
        <v>2</v>
      </c>
      <c r="V241" t="s">
        <v>339</v>
      </c>
      <c r="W241" t="s">
        <v>346</v>
      </c>
      <c r="Y241" t="s">
        <v>349</v>
      </c>
      <c r="Z241" t="s">
        <v>350</v>
      </c>
      <c r="AC241" t="s">
        <v>353</v>
      </c>
      <c r="AE241" t="s">
        <v>372</v>
      </c>
      <c r="AF241">
        <v>2019</v>
      </c>
      <c r="AG241">
        <v>0</v>
      </c>
      <c r="AH241">
        <v>665</v>
      </c>
      <c r="AI241">
        <v>21.05</v>
      </c>
      <c r="AJ241" t="s">
        <v>2737</v>
      </c>
      <c r="AM241">
        <v>70</v>
      </c>
      <c r="AO241">
        <v>2</v>
      </c>
      <c r="AP241">
        <v>1</v>
      </c>
      <c r="AQ241">
        <v>55.22</v>
      </c>
      <c r="AT241" t="s">
        <v>501</v>
      </c>
      <c r="AV241" t="s">
        <v>508</v>
      </c>
      <c r="AW241">
        <v>11778</v>
      </c>
      <c r="BA241" t="s">
        <v>3341</v>
      </c>
      <c r="BD241" t="s">
        <v>3377</v>
      </c>
      <c r="BE241" t="s">
        <v>3454</v>
      </c>
    </row>
    <row r="242" spans="1:58">
      <c r="A242" s="1">
        <f>HYPERLINK("https://lsnyc.legalserver.org/matter/dynamic-profile/view/1891864","19-1891864")</f>
        <v>0</v>
      </c>
      <c r="E242" t="s">
        <v>381</v>
      </c>
      <c r="F242" t="s">
        <v>63</v>
      </c>
      <c r="G242" t="s">
        <v>80</v>
      </c>
      <c r="H242" t="s">
        <v>663</v>
      </c>
      <c r="J242" t="s">
        <v>1026</v>
      </c>
      <c r="K242" t="s">
        <v>1353</v>
      </c>
      <c r="L242" t="s">
        <v>1696</v>
      </c>
      <c r="M242" t="s">
        <v>1917</v>
      </c>
      <c r="N242" t="s">
        <v>288</v>
      </c>
      <c r="O242" t="s">
        <v>289</v>
      </c>
      <c r="P242">
        <v>11233</v>
      </c>
      <c r="Q242" t="s">
        <v>290</v>
      </c>
      <c r="R242" t="s">
        <v>290</v>
      </c>
      <c r="S242" t="s">
        <v>295</v>
      </c>
      <c r="T242" t="s">
        <v>2266</v>
      </c>
      <c r="U242">
        <v>2</v>
      </c>
      <c r="V242" t="s">
        <v>339</v>
      </c>
      <c r="W242" t="s">
        <v>346</v>
      </c>
      <c r="Y242" t="s">
        <v>349</v>
      </c>
      <c r="Z242" t="s">
        <v>350</v>
      </c>
      <c r="AC242" t="s">
        <v>353</v>
      </c>
      <c r="AE242" t="s">
        <v>372</v>
      </c>
      <c r="AF242">
        <v>2019</v>
      </c>
      <c r="AG242">
        <v>0</v>
      </c>
      <c r="AH242">
        <v>170</v>
      </c>
      <c r="AI242">
        <v>11.25</v>
      </c>
      <c r="AJ242" t="s">
        <v>2738</v>
      </c>
      <c r="AL242" t="s">
        <v>3168</v>
      </c>
      <c r="AM242">
        <v>0</v>
      </c>
      <c r="AN242" t="s">
        <v>495</v>
      </c>
      <c r="AO242">
        <v>1</v>
      </c>
      <c r="AP242">
        <v>1</v>
      </c>
      <c r="AQ242">
        <v>106.45</v>
      </c>
      <c r="AT242" t="s">
        <v>502</v>
      </c>
      <c r="AU242" t="s">
        <v>507</v>
      </c>
      <c r="AV242" t="s">
        <v>508</v>
      </c>
      <c r="AW242">
        <v>18000</v>
      </c>
      <c r="BA242" t="s">
        <v>3341</v>
      </c>
      <c r="BC242" t="s">
        <v>3354</v>
      </c>
      <c r="BD242" t="s">
        <v>537</v>
      </c>
      <c r="BE242" t="s">
        <v>3456</v>
      </c>
    </row>
    <row r="243" spans="1:58">
      <c r="A243" s="1">
        <f>HYPERLINK("https://lsnyc.legalserver.org/matter/dynamic-profile/view/1893251","19-1893251")</f>
        <v>0</v>
      </c>
      <c r="E243" t="s">
        <v>381</v>
      </c>
      <c r="F243" t="s">
        <v>60</v>
      </c>
      <c r="G243" t="s">
        <v>80</v>
      </c>
      <c r="H243" t="s">
        <v>666</v>
      </c>
      <c r="J243" t="s">
        <v>1027</v>
      </c>
      <c r="K243" t="s">
        <v>1354</v>
      </c>
      <c r="L243" t="s">
        <v>1697</v>
      </c>
      <c r="M243" t="s">
        <v>1860</v>
      </c>
      <c r="N243" t="s">
        <v>288</v>
      </c>
      <c r="O243" t="s">
        <v>289</v>
      </c>
      <c r="P243">
        <v>11233</v>
      </c>
      <c r="Q243" t="s">
        <v>290</v>
      </c>
      <c r="R243" t="s">
        <v>290</v>
      </c>
      <c r="S243" t="s">
        <v>295</v>
      </c>
      <c r="T243" t="s">
        <v>2267</v>
      </c>
      <c r="U243">
        <v>17</v>
      </c>
      <c r="V243" t="s">
        <v>339</v>
      </c>
      <c r="W243" t="s">
        <v>346</v>
      </c>
      <c r="Y243" t="s">
        <v>349</v>
      </c>
      <c r="Z243" t="s">
        <v>350</v>
      </c>
      <c r="AC243" t="s">
        <v>353</v>
      </c>
      <c r="AE243" t="s">
        <v>372</v>
      </c>
      <c r="AF243">
        <v>2019</v>
      </c>
      <c r="AG243">
        <v>0</v>
      </c>
      <c r="AH243">
        <v>400</v>
      </c>
      <c r="AI243">
        <v>30.9</v>
      </c>
      <c r="AJ243" t="s">
        <v>2739</v>
      </c>
      <c r="AK243" t="s">
        <v>2927</v>
      </c>
      <c r="AM243">
        <v>72</v>
      </c>
      <c r="AO243">
        <v>1</v>
      </c>
      <c r="AP243">
        <v>1</v>
      </c>
      <c r="AQ243">
        <v>0</v>
      </c>
      <c r="AT243" t="s">
        <v>501</v>
      </c>
      <c r="AU243" t="s">
        <v>299</v>
      </c>
      <c r="AV243" t="s">
        <v>508</v>
      </c>
      <c r="AW243">
        <v>0</v>
      </c>
      <c r="BA243" t="s">
        <v>3341</v>
      </c>
      <c r="BD243" t="s">
        <v>3368</v>
      </c>
      <c r="BE243" t="s">
        <v>561</v>
      </c>
    </row>
    <row r="244" spans="1:58">
      <c r="A244" s="1">
        <f>HYPERLINK("https://lsnyc.legalserver.org/matter/dynamic-profile/view/1895054","19-1895054")</f>
        <v>0</v>
      </c>
      <c r="E244" t="s">
        <v>381</v>
      </c>
      <c r="F244" t="s">
        <v>68</v>
      </c>
      <c r="G244" t="s">
        <v>80</v>
      </c>
      <c r="H244" t="s">
        <v>668</v>
      </c>
      <c r="J244" t="s">
        <v>1028</v>
      </c>
      <c r="K244" t="s">
        <v>1355</v>
      </c>
      <c r="L244" t="s">
        <v>1698</v>
      </c>
      <c r="M244" t="s">
        <v>1956</v>
      </c>
      <c r="N244" t="s">
        <v>288</v>
      </c>
      <c r="O244" t="s">
        <v>289</v>
      </c>
      <c r="P244">
        <v>11230</v>
      </c>
      <c r="Q244" t="s">
        <v>290</v>
      </c>
      <c r="R244" t="s">
        <v>290</v>
      </c>
      <c r="S244" t="s">
        <v>295</v>
      </c>
      <c r="T244" t="s">
        <v>2268</v>
      </c>
      <c r="U244">
        <v>5</v>
      </c>
      <c r="V244" t="s">
        <v>339</v>
      </c>
      <c r="W244" t="s">
        <v>346</v>
      </c>
      <c r="Y244" t="s">
        <v>349</v>
      </c>
      <c r="Z244" t="s">
        <v>350</v>
      </c>
      <c r="AA244" t="s">
        <v>350</v>
      </c>
      <c r="AC244" t="s">
        <v>352</v>
      </c>
      <c r="AE244" t="s">
        <v>372</v>
      </c>
      <c r="AF244">
        <v>2019</v>
      </c>
      <c r="AG244">
        <v>0</v>
      </c>
      <c r="AH244">
        <v>1560.52</v>
      </c>
      <c r="AI244">
        <v>23.15</v>
      </c>
      <c r="AJ244" t="s">
        <v>2740</v>
      </c>
      <c r="AL244" t="s">
        <v>3169</v>
      </c>
      <c r="AM244">
        <v>34</v>
      </c>
      <c r="AN244" t="s">
        <v>496</v>
      </c>
      <c r="AO244">
        <v>3</v>
      </c>
      <c r="AP244">
        <v>0</v>
      </c>
      <c r="AQ244">
        <v>114.86</v>
      </c>
      <c r="AT244" t="s">
        <v>500</v>
      </c>
      <c r="AU244" t="s">
        <v>503</v>
      </c>
      <c r="AV244" t="s">
        <v>508</v>
      </c>
      <c r="AW244">
        <v>24500</v>
      </c>
      <c r="BA244" t="s">
        <v>3341</v>
      </c>
      <c r="BB244" t="s">
        <v>3350</v>
      </c>
      <c r="BC244" t="s">
        <v>299</v>
      </c>
      <c r="BD244" t="s">
        <v>537</v>
      </c>
      <c r="BE244" t="s">
        <v>3457</v>
      </c>
    </row>
    <row r="245" spans="1:58">
      <c r="A245" s="1">
        <f>HYPERLINK("https://lsnyc.legalserver.org/matter/dynamic-profile/view/1894877","19-1894877")</f>
        <v>0</v>
      </c>
      <c r="E245" t="s">
        <v>381</v>
      </c>
      <c r="F245" t="s">
        <v>634</v>
      </c>
      <c r="G245" t="s">
        <v>80</v>
      </c>
      <c r="H245" t="s">
        <v>766</v>
      </c>
      <c r="J245" t="s">
        <v>1029</v>
      </c>
      <c r="K245" t="s">
        <v>1356</v>
      </c>
      <c r="L245" t="s">
        <v>1699</v>
      </c>
      <c r="M245" t="s">
        <v>1853</v>
      </c>
      <c r="N245" t="s">
        <v>288</v>
      </c>
      <c r="O245" t="s">
        <v>289</v>
      </c>
      <c r="P245">
        <v>11229</v>
      </c>
      <c r="Q245" t="s">
        <v>290</v>
      </c>
      <c r="R245" t="s">
        <v>290</v>
      </c>
      <c r="S245" t="s">
        <v>295</v>
      </c>
      <c r="T245" t="s">
        <v>2269</v>
      </c>
      <c r="U245">
        <v>1</v>
      </c>
      <c r="V245" t="s">
        <v>339</v>
      </c>
      <c r="W245" t="s">
        <v>346</v>
      </c>
      <c r="Y245" t="s">
        <v>349</v>
      </c>
      <c r="Z245" t="s">
        <v>350</v>
      </c>
      <c r="AC245" t="s">
        <v>352</v>
      </c>
      <c r="AE245" t="s">
        <v>372</v>
      </c>
      <c r="AF245">
        <v>2019</v>
      </c>
      <c r="AG245">
        <v>0</v>
      </c>
      <c r="AH245">
        <v>2400</v>
      </c>
      <c r="AI245">
        <v>0</v>
      </c>
      <c r="AJ245" t="s">
        <v>420</v>
      </c>
      <c r="AL245" t="s">
        <v>3170</v>
      </c>
      <c r="AM245">
        <v>2</v>
      </c>
      <c r="AO245">
        <v>2</v>
      </c>
      <c r="AP245">
        <v>0</v>
      </c>
      <c r="AQ245">
        <v>141.93</v>
      </c>
      <c r="AT245" t="s">
        <v>500</v>
      </c>
      <c r="AU245" t="s">
        <v>503</v>
      </c>
      <c r="AV245" t="s">
        <v>3335</v>
      </c>
      <c r="AW245">
        <v>24000</v>
      </c>
      <c r="BA245" t="s">
        <v>3342</v>
      </c>
      <c r="BD245" t="s">
        <v>299</v>
      </c>
    </row>
    <row r="246" spans="1:58">
      <c r="A246" s="1">
        <f>HYPERLINK("https://lsnyc.legalserver.org/matter/dynamic-profile/view/1894597","19-1894597")</f>
        <v>0</v>
      </c>
      <c r="E246" t="s">
        <v>381</v>
      </c>
      <c r="F246" t="s">
        <v>75</v>
      </c>
      <c r="G246" t="s">
        <v>80</v>
      </c>
      <c r="H246" t="s">
        <v>669</v>
      </c>
      <c r="J246" t="s">
        <v>1030</v>
      </c>
      <c r="K246" t="s">
        <v>1357</v>
      </c>
      <c r="L246" t="s">
        <v>1700</v>
      </c>
      <c r="M246" t="s">
        <v>1957</v>
      </c>
      <c r="N246" t="s">
        <v>288</v>
      </c>
      <c r="O246" t="s">
        <v>289</v>
      </c>
      <c r="P246">
        <v>11226</v>
      </c>
      <c r="Q246" t="s">
        <v>290</v>
      </c>
      <c r="R246" t="s">
        <v>290</v>
      </c>
      <c r="S246" t="s">
        <v>295</v>
      </c>
      <c r="T246" t="s">
        <v>2270</v>
      </c>
      <c r="U246">
        <v>17</v>
      </c>
      <c r="V246" t="s">
        <v>340</v>
      </c>
      <c r="W246" t="s">
        <v>346</v>
      </c>
      <c r="Y246" t="s">
        <v>348</v>
      </c>
      <c r="Z246" t="s">
        <v>350</v>
      </c>
      <c r="AC246" t="s">
        <v>352</v>
      </c>
      <c r="AE246" t="s">
        <v>372</v>
      </c>
      <c r="AF246">
        <v>2019</v>
      </c>
      <c r="AG246">
        <v>0</v>
      </c>
      <c r="AH246">
        <v>1300</v>
      </c>
      <c r="AI246">
        <v>47.8</v>
      </c>
      <c r="AJ246" t="s">
        <v>2741</v>
      </c>
      <c r="AL246" t="s">
        <v>3171</v>
      </c>
      <c r="AM246">
        <v>0</v>
      </c>
      <c r="AO246">
        <v>1</v>
      </c>
      <c r="AP246">
        <v>0</v>
      </c>
      <c r="AQ246">
        <v>74.45999999999999</v>
      </c>
      <c r="AT246" t="s">
        <v>500</v>
      </c>
      <c r="AV246" t="s">
        <v>508</v>
      </c>
      <c r="AW246">
        <v>9300</v>
      </c>
      <c r="BA246" t="s">
        <v>3342</v>
      </c>
      <c r="BD246" t="s">
        <v>545</v>
      </c>
      <c r="BE246" t="s">
        <v>806</v>
      </c>
    </row>
    <row r="247" spans="1:58">
      <c r="A247" s="1">
        <f>HYPERLINK("https://lsnyc.legalserver.org/matter/dynamic-profile/view/1891659","19-1891659")</f>
        <v>0</v>
      </c>
      <c r="E247" t="s">
        <v>381</v>
      </c>
      <c r="F247" t="s">
        <v>69</v>
      </c>
      <c r="G247" t="s">
        <v>80</v>
      </c>
      <c r="H247" t="s">
        <v>767</v>
      </c>
      <c r="J247" t="s">
        <v>1031</v>
      </c>
      <c r="K247" t="s">
        <v>1358</v>
      </c>
      <c r="L247" t="s">
        <v>1701</v>
      </c>
      <c r="M247" t="s">
        <v>1932</v>
      </c>
      <c r="N247" t="s">
        <v>288</v>
      </c>
      <c r="O247" t="s">
        <v>289</v>
      </c>
      <c r="P247">
        <v>11226</v>
      </c>
      <c r="Q247" t="s">
        <v>290</v>
      </c>
      <c r="R247" t="s">
        <v>290</v>
      </c>
      <c r="S247" t="s">
        <v>295</v>
      </c>
      <c r="T247" t="s">
        <v>2271</v>
      </c>
      <c r="U247">
        <v>4</v>
      </c>
      <c r="V247" t="s">
        <v>339</v>
      </c>
      <c r="W247" t="s">
        <v>346</v>
      </c>
      <c r="Y247" t="s">
        <v>348</v>
      </c>
      <c r="Z247" t="s">
        <v>350</v>
      </c>
      <c r="AA247" t="s">
        <v>350</v>
      </c>
      <c r="AC247" t="s">
        <v>352</v>
      </c>
      <c r="AE247" t="s">
        <v>372</v>
      </c>
      <c r="AF247">
        <v>2019</v>
      </c>
      <c r="AG247">
        <v>0</v>
      </c>
      <c r="AH247">
        <v>1700</v>
      </c>
      <c r="AI247">
        <v>23</v>
      </c>
      <c r="AJ247" t="s">
        <v>2742</v>
      </c>
      <c r="AL247" t="s">
        <v>3172</v>
      </c>
      <c r="AM247">
        <v>12</v>
      </c>
      <c r="AN247" t="s">
        <v>493</v>
      </c>
      <c r="AO247">
        <v>4</v>
      </c>
      <c r="AP247">
        <v>0</v>
      </c>
      <c r="AQ247">
        <v>116.5</v>
      </c>
      <c r="AT247" t="s">
        <v>500</v>
      </c>
      <c r="AU247" t="s">
        <v>503</v>
      </c>
      <c r="AV247" t="s">
        <v>508</v>
      </c>
      <c r="AW247">
        <v>30000</v>
      </c>
      <c r="BA247" t="s">
        <v>3341</v>
      </c>
      <c r="BB247" t="s">
        <v>535</v>
      </c>
      <c r="BC247" t="s">
        <v>299</v>
      </c>
      <c r="BD247" t="s">
        <v>537</v>
      </c>
      <c r="BE247" t="s">
        <v>572</v>
      </c>
    </row>
    <row r="248" spans="1:58">
      <c r="A248" s="1">
        <f>HYPERLINK("https://lsnyc.legalserver.org/matter/dynamic-profile/view/1891773","19-1891773")</f>
        <v>0</v>
      </c>
      <c r="E248" t="s">
        <v>381</v>
      </c>
      <c r="F248" t="s">
        <v>75</v>
      </c>
      <c r="G248" t="s">
        <v>80</v>
      </c>
      <c r="H248" t="s">
        <v>663</v>
      </c>
      <c r="J248" t="s">
        <v>991</v>
      </c>
      <c r="K248" t="s">
        <v>1314</v>
      </c>
      <c r="L248" t="s">
        <v>1658</v>
      </c>
      <c r="M248" t="s">
        <v>1932</v>
      </c>
      <c r="N248" t="s">
        <v>288</v>
      </c>
      <c r="O248" t="s">
        <v>289</v>
      </c>
      <c r="P248">
        <v>11226</v>
      </c>
      <c r="Q248" t="s">
        <v>290</v>
      </c>
      <c r="R248" t="s">
        <v>290</v>
      </c>
      <c r="S248" t="s">
        <v>295</v>
      </c>
      <c r="T248" t="s">
        <v>2272</v>
      </c>
      <c r="U248">
        <v>10</v>
      </c>
      <c r="V248" t="s">
        <v>339</v>
      </c>
      <c r="W248" t="s">
        <v>346</v>
      </c>
      <c r="Y248" t="s">
        <v>348</v>
      </c>
      <c r="Z248" t="s">
        <v>350</v>
      </c>
      <c r="AC248" t="s">
        <v>352</v>
      </c>
      <c r="AE248" t="s">
        <v>372</v>
      </c>
      <c r="AF248">
        <v>2019</v>
      </c>
      <c r="AG248">
        <v>0</v>
      </c>
      <c r="AH248">
        <v>1200</v>
      </c>
      <c r="AI248">
        <v>3.6</v>
      </c>
      <c r="AJ248" t="s">
        <v>2696</v>
      </c>
      <c r="AL248" t="s">
        <v>3134</v>
      </c>
      <c r="AM248">
        <v>42</v>
      </c>
      <c r="AO248">
        <v>1</v>
      </c>
      <c r="AP248">
        <v>2</v>
      </c>
      <c r="AQ248">
        <v>73.14</v>
      </c>
      <c r="AT248" t="s">
        <v>502</v>
      </c>
      <c r="AU248" t="s">
        <v>503</v>
      </c>
      <c r="AV248" t="s">
        <v>508</v>
      </c>
      <c r="AW248">
        <v>15600</v>
      </c>
      <c r="BA248" t="s">
        <v>3341</v>
      </c>
      <c r="BD248" t="s">
        <v>537</v>
      </c>
      <c r="BE248" t="s">
        <v>693</v>
      </c>
    </row>
    <row r="249" spans="1:58">
      <c r="A249" s="1">
        <f>HYPERLINK("https://lsnyc.legalserver.org/matter/dynamic-profile/view/1892376","19-1892376")</f>
        <v>0</v>
      </c>
      <c r="E249" t="s">
        <v>381</v>
      </c>
      <c r="F249" t="s">
        <v>65</v>
      </c>
      <c r="G249" t="s">
        <v>80</v>
      </c>
      <c r="H249" t="s">
        <v>768</v>
      </c>
      <c r="J249" t="s">
        <v>166</v>
      </c>
      <c r="K249" t="s">
        <v>1359</v>
      </c>
      <c r="L249" t="s">
        <v>1702</v>
      </c>
      <c r="M249" t="s">
        <v>1958</v>
      </c>
      <c r="N249" t="s">
        <v>288</v>
      </c>
      <c r="O249" t="s">
        <v>289</v>
      </c>
      <c r="P249">
        <v>11226</v>
      </c>
      <c r="Q249" t="s">
        <v>290</v>
      </c>
      <c r="R249" t="s">
        <v>290</v>
      </c>
      <c r="S249" t="s">
        <v>295</v>
      </c>
      <c r="T249" t="s">
        <v>2273</v>
      </c>
      <c r="U249">
        <v>0</v>
      </c>
      <c r="V249" t="s">
        <v>339</v>
      </c>
      <c r="W249" t="s">
        <v>346</v>
      </c>
      <c r="Y249" t="s">
        <v>348</v>
      </c>
      <c r="Z249" t="s">
        <v>350</v>
      </c>
      <c r="AC249" t="s">
        <v>352</v>
      </c>
      <c r="AE249" t="s">
        <v>372</v>
      </c>
      <c r="AF249">
        <v>2019</v>
      </c>
      <c r="AG249">
        <v>0</v>
      </c>
      <c r="AH249">
        <v>537.25</v>
      </c>
      <c r="AI249">
        <v>51.2</v>
      </c>
      <c r="AJ249" t="s">
        <v>2743</v>
      </c>
      <c r="AM249">
        <v>6</v>
      </c>
      <c r="AO249">
        <v>2</v>
      </c>
      <c r="AP249">
        <v>0</v>
      </c>
      <c r="AQ249">
        <v>99.17</v>
      </c>
      <c r="AT249" t="s">
        <v>500</v>
      </c>
      <c r="AU249" t="s">
        <v>503</v>
      </c>
      <c r="AV249" t="s">
        <v>508</v>
      </c>
      <c r="AW249">
        <v>16770</v>
      </c>
      <c r="BA249" t="s">
        <v>3341</v>
      </c>
      <c r="BD249" t="s">
        <v>537</v>
      </c>
      <c r="BE249" t="s">
        <v>561</v>
      </c>
    </row>
    <row r="250" spans="1:58">
      <c r="A250" s="1">
        <f>HYPERLINK("https://lsnyc.legalserver.org/matter/dynamic-profile/view/1893917","19-1893917")</f>
        <v>0</v>
      </c>
      <c r="E250" t="s">
        <v>381</v>
      </c>
      <c r="F250" t="s">
        <v>75</v>
      </c>
      <c r="G250" t="s">
        <v>80</v>
      </c>
      <c r="H250" t="s">
        <v>664</v>
      </c>
      <c r="J250" t="s">
        <v>1032</v>
      </c>
      <c r="K250" t="s">
        <v>844</v>
      </c>
      <c r="L250" t="s">
        <v>1703</v>
      </c>
      <c r="M250" t="s">
        <v>280</v>
      </c>
      <c r="N250" t="s">
        <v>288</v>
      </c>
      <c r="O250" t="s">
        <v>289</v>
      </c>
      <c r="P250">
        <v>11226</v>
      </c>
      <c r="Q250" t="s">
        <v>290</v>
      </c>
      <c r="R250" t="s">
        <v>290</v>
      </c>
      <c r="S250" t="s">
        <v>295</v>
      </c>
      <c r="T250" t="s">
        <v>2274</v>
      </c>
      <c r="U250">
        <v>1</v>
      </c>
      <c r="V250" t="s">
        <v>339</v>
      </c>
      <c r="W250" t="s">
        <v>346</v>
      </c>
      <c r="Y250" t="s">
        <v>348</v>
      </c>
      <c r="Z250" t="s">
        <v>350</v>
      </c>
      <c r="AC250" t="s">
        <v>352</v>
      </c>
      <c r="AE250" t="s">
        <v>372</v>
      </c>
      <c r="AF250">
        <v>2019</v>
      </c>
      <c r="AG250">
        <v>0</v>
      </c>
      <c r="AH250">
        <v>1624</v>
      </c>
      <c r="AI250">
        <v>11.8</v>
      </c>
      <c r="AJ250" t="s">
        <v>2744</v>
      </c>
      <c r="AL250" t="s">
        <v>3173</v>
      </c>
      <c r="AM250">
        <v>0</v>
      </c>
      <c r="AO250">
        <v>3</v>
      </c>
      <c r="AP250">
        <v>1</v>
      </c>
      <c r="AQ250">
        <v>172.33</v>
      </c>
      <c r="AT250" t="s">
        <v>502</v>
      </c>
      <c r="AV250" t="s">
        <v>508</v>
      </c>
      <c r="AW250">
        <v>44376</v>
      </c>
      <c r="BA250" t="s">
        <v>522</v>
      </c>
      <c r="BD250" t="s">
        <v>3410</v>
      </c>
      <c r="BE250" t="s">
        <v>590</v>
      </c>
    </row>
    <row r="251" spans="1:58">
      <c r="A251" s="1">
        <f>HYPERLINK("https://lsnyc.legalserver.org/matter/dynamic-profile/view/1894565","19-1894565")</f>
        <v>0</v>
      </c>
      <c r="E251" t="s">
        <v>381</v>
      </c>
      <c r="F251" t="s">
        <v>622</v>
      </c>
      <c r="G251" t="s">
        <v>80</v>
      </c>
      <c r="H251" t="s">
        <v>669</v>
      </c>
      <c r="J251" t="s">
        <v>1033</v>
      </c>
      <c r="K251" t="s">
        <v>1360</v>
      </c>
      <c r="L251" t="s">
        <v>1704</v>
      </c>
      <c r="M251" t="s">
        <v>1959</v>
      </c>
      <c r="N251" t="s">
        <v>288</v>
      </c>
      <c r="O251" t="s">
        <v>289</v>
      </c>
      <c r="P251">
        <v>11226</v>
      </c>
      <c r="Q251" t="s">
        <v>290</v>
      </c>
      <c r="R251" t="s">
        <v>290</v>
      </c>
      <c r="S251" t="s">
        <v>295</v>
      </c>
      <c r="T251" t="s">
        <v>2275</v>
      </c>
      <c r="U251">
        <v>3</v>
      </c>
      <c r="V251" t="s">
        <v>339</v>
      </c>
      <c r="W251" t="s">
        <v>346</v>
      </c>
      <c r="Y251" t="s">
        <v>348</v>
      </c>
      <c r="Z251" t="s">
        <v>350</v>
      </c>
      <c r="AC251" t="s">
        <v>352</v>
      </c>
      <c r="AE251" t="s">
        <v>372</v>
      </c>
      <c r="AF251">
        <v>2019</v>
      </c>
      <c r="AG251">
        <v>0</v>
      </c>
      <c r="AH251">
        <v>1600</v>
      </c>
      <c r="AI251">
        <v>5.9</v>
      </c>
      <c r="AJ251" t="s">
        <v>2745</v>
      </c>
      <c r="AL251" t="s">
        <v>3174</v>
      </c>
      <c r="AM251">
        <v>0</v>
      </c>
      <c r="AO251">
        <v>1</v>
      </c>
      <c r="AP251">
        <v>0</v>
      </c>
      <c r="AQ251">
        <v>74.08</v>
      </c>
      <c r="AT251" t="s">
        <v>500</v>
      </c>
      <c r="AV251" t="s">
        <v>508</v>
      </c>
      <c r="AW251">
        <v>9252</v>
      </c>
      <c r="BA251" t="s">
        <v>3342</v>
      </c>
      <c r="BD251" t="s">
        <v>543</v>
      </c>
      <c r="BE251" t="s">
        <v>804</v>
      </c>
    </row>
    <row r="252" spans="1:58">
      <c r="A252" s="1">
        <f>HYPERLINK("https://lsnyc.legalserver.org/matter/dynamic-profile/view/1894869","19-1894869")</f>
        <v>0</v>
      </c>
      <c r="E252" t="s">
        <v>381</v>
      </c>
      <c r="F252" t="s">
        <v>622</v>
      </c>
      <c r="G252" t="s">
        <v>80</v>
      </c>
      <c r="H252" t="s">
        <v>766</v>
      </c>
      <c r="J252" t="s">
        <v>1034</v>
      </c>
      <c r="K252" t="s">
        <v>1361</v>
      </c>
      <c r="L252" t="s">
        <v>1705</v>
      </c>
      <c r="M252" t="s">
        <v>1910</v>
      </c>
      <c r="N252" t="s">
        <v>288</v>
      </c>
      <c r="O252" t="s">
        <v>289</v>
      </c>
      <c r="P252">
        <v>11226</v>
      </c>
      <c r="Q252" t="s">
        <v>290</v>
      </c>
      <c r="R252" t="s">
        <v>290</v>
      </c>
      <c r="S252" t="s">
        <v>295</v>
      </c>
      <c r="T252" t="s">
        <v>2276</v>
      </c>
      <c r="U252">
        <v>10</v>
      </c>
      <c r="V252" t="s">
        <v>339</v>
      </c>
      <c r="W252" t="s">
        <v>346</v>
      </c>
      <c r="Y252" t="s">
        <v>348</v>
      </c>
      <c r="Z252" t="s">
        <v>350</v>
      </c>
      <c r="AC252" t="s">
        <v>352</v>
      </c>
      <c r="AE252" t="s">
        <v>372</v>
      </c>
      <c r="AF252">
        <v>2019</v>
      </c>
      <c r="AG252">
        <v>0</v>
      </c>
      <c r="AH252">
        <v>0</v>
      </c>
      <c r="AI252">
        <v>9</v>
      </c>
      <c r="AJ252" t="s">
        <v>2746</v>
      </c>
      <c r="AL252" t="s">
        <v>3175</v>
      </c>
      <c r="AM252">
        <v>60</v>
      </c>
      <c r="AO252">
        <v>2</v>
      </c>
      <c r="AP252">
        <v>3</v>
      </c>
      <c r="AQ252">
        <v>0</v>
      </c>
      <c r="AT252" t="s">
        <v>502</v>
      </c>
      <c r="AW252">
        <v>0</v>
      </c>
      <c r="BA252" t="s">
        <v>3341</v>
      </c>
      <c r="BD252" t="s">
        <v>3368</v>
      </c>
      <c r="BE252" t="s">
        <v>559</v>
      </c>
    </row>
    <row r="253" spans="1:58">
      <c r="A253" s="1">
        <f>HYPERLINK("https://lsnyc.legalserver.org/matter/dynamic-profile/view/1894892","19-1894892")</f>
        <v>0</v>
      </c>
      <c r="E253" t="s">
        <v>381</v>
      </c>
      <c r="F253" t="s">
        <v>72</v>
      </c>
      <c r="G253" t="s">
        <v>80</v>
      </c>
      <c r="H253" t="s">
        <v>766</v>
      </c>
      <c r="J253" t="s">
        <v>852</v>
      </c>
      <c r="K253" t="s">
        <v>1362</v>
      </c>
      <c r="L253" t="s">
        <v>1706</v>
      </c>
      <c r="M253" t="s">
        <v>1960</v>
      </c>
      <c r="N253" t="s">
        <v>288</v>
      </c>
      <c r="O253" t="s">
        <v>289</v>
      </c>
      <c r="P253">
        <v>11226</v>
      </c>
      <c r="Q253" t="s">
        <v>290</v>
      </c>
      <c r="R253" t="s">
        <v>290</v>
      </c>
      <c r="S253" t="s">
        <v>295</v>
      </c>
      <c r="T253" t="s">
        <v>2277</v>
      </c>
      <c r="U253">
        <v>5</v>
      </c>
      <c r="V253" t="s">
        <v>339</v>
      </c>
      <c r="W253" t="s">
        <v>346</v>
      </c>
      <c r="Y253" t="s">
        <v>348</v>
      </c>
      <c r="Z253" t="s">
        <v>350</v>
      </c>
      <c r="AC253" t="s">
        <v>352</v>
      </c>
      <c r="AE253" t="s">
        <v>372</v>
      </c>
      <c r="AF253">
        <v>2019</v>
      </c>
      <c r="AG253">
        <v>0</v>
      </c>
      <c r="AH253">
        <v>2138</v>
      </c>
      <c r="AI253">
        <v>5.8</v>
      </c>
      <c r="AJ253" t="s">
        <v>2747</v>
      </c>
      <c r="AL253" t="s">
        <v>3176</v>
      </c>
      <c r="AM253">
        <v>76</v>
      </c>
      <c r="AO253">
        <v>4</v>
      </c>
      <c r="AP253">
        <v>5</v>
      </c>
      <c r="AQ253">
        <v>86.79000000000001</v>
      </c>
      <c r="AT253" t="s">
        <v>502</v>
      </c>
      <c r="AU253" t="s">
        <v>503</v>
      </c>
      <c r="AV253" t="s">
        <v>508</v>
      </c>
      <c r="AW253">
        <v>41527</v>
      </c>
      <c r="BA253" t="s">
        <v>3341</v>
      </c>
      <c r="BD253" t="s">
        <v>537</v>
      </c>
      <c r="BE253" t="s">
        <v>580</v>
      </c>
      <c r="BF253" t="s">
        <v>600</v>
      </c>
    </row>
    <row r="254" spans="1:58">
      <c r="A254" s="1">
        <f>HYPERLINK("https://lsnyc.legalserver.org/matter/dynamic-profile/view/1891877","19-1891877")</f>
        <v>0</v>
      </c>
      <c r="E254" t="s">
        <v>381</v>
      </c>
      <c r="F254" t="s">
        <v>68</v>
      </c>
      <c r="G254" t="s">
        <v>80</v>
      </c>
      <c r="H254" t="s">
        <v>769</v>
      </c>
      <c r="J254" t="s">
        <v>932</v>
      </c>
      <c r="K254" t="s">
        <v>207</v>
      </c>
      <c r="L254" t="s">
        <v>1707</v>
      </c>
      <c r="M254" t="s">
        <v>263</v>
      </c>
      <c r="N254" t="s">
        <v>288</v>
      </c>
      <c r="O254" t="s">
        <v>289</v>
      </c>
      <c r="P254">
        <v>11225</v>
      </c>
      <c r="Q254" t="s">
        <v>290</v>
      </c>
      <c r="R254" t="s">
        <v>290</v>
      </c>
      <c r="S254" t="s">
        <v>292</v>
      </c>
      <c r="T254" t="s">
        <v>2278</v>
      </c>
      <c r="U254">
        <v>45</v>
      </c>
      <c r="V254" t="s">
        <v>340</v>
      </c>
      <c r="W254" t="s">
        <v>346</v>
      </c>
      <c r="Y254" t="s">
        <v>348</v>
      </c>
      <c r="Z254" t="s">
        <v>350</v>
      </c>
      <c r="AA254" t="s">
        <v>350</v>
      </c>
      <c r="AC254" t="s">
        <v>352</v>
      </c>
      <c r="AD254" t="s">
        <v>356</v>
      </c>
      <c r="AE254" t="s">
        <v>372</v>
      </c>
      <c r="AF254">
        <v>2019</v>
      </c>
      <c r="AG254">
        <v>0</v>
      </c>
      <c r="AH254">
        <v>1002</v>
      </c>
      <c r="AI254">
        <v>24.65</v>
      </c>
      <c r="AJ254" t="s">
        <v>2748</v>
      </c>
      <c r="AL254" t="s">
        <v>3177</v>
      </c>
      <c r="AM254">
        <v>59</v>
      </c>
      <c r="AN254" t="s">
        <v>493</v>
      </c>
      <c r="AO254">
        <v>2</v>
      </c>
      <c r="AP254">
        <v>0</v>
      </c>
      <c r="AQ254">
        <v>118.27</v>
      </c>
      <c r="AU254" t="s">
        <v>503</v>
      </c>
      <c r="AV254" t="s">
        <v>508</v>
      </c>
      <c r="AW254">
        <v>20000</v>
      </c>
      <c r="BA254" t="s">
        <v>68</v>
      </c>
      <c r="BB254" t="s">
        <v>3350</v>
      </c>
      <c r="BC254" t="s">
        <v>299</v>
      </c>
      <c r="BD254" t="s">
        <v>550</v>
      </c>
      <c r="BE254" t="s">
        <v>3458</v>
      </c>
    </row>
    <row r="255" spans="1:58">
      <c r="A255" s="1">
        <f>HYPERLINK("https://lsnyc.legalserver.org/matter/dynamic-profile/view/1892401","19-1892401")</f>
        <v>0</v>
      </c>
      <c r="E255" t="s">
        <v>381</v>
      </c>
      <c r="F255" t="s">
        <v>76</v>
      </c>
      <c r="G255" t="s">
        <v>80</v>
      </c>
      <c r="H255" t="s">
        <v>768</v>
      </c>
      <c r="J255" t="s">
        <v>1035</v>
      </c>
      <c r="K255" t="s">
        <v>1363</v>
      </c>
      <c r="L255" t="s">
        <v>1708</v>
      </c>
      <c r="M255" t="s">
        <v>1961</v>
      </c>
      <c r="N255" t="s">
        <v>288</v>
      </c>
      <c r="O255" t="s">
        <v>289</v>
      </c>
      <c r="P255">
        <v>11225</v>
      </c>
      <c r="Q255" t="s">
        <v>290</v>
      </c>
      <c r="R255" t="s">
        <v>290</v>
      </c>
      <c r="S255" t="s">
        <v>292</v>
      </c>
      <c r="T255" t="s">
        <v>2279</v>
      </c>
      <c r="U255">
        <v>3</v>
      </c>
      <c r="V255" t="s">
        <v>340</v>
      </c>
      <c r="W255" t="s">
        <v>346</v>
      </c>
      <c r="Y255" t="s">
        <v>348</v>
      </c>
      <c r="Z255" t="s">
        <v>350</v>
      </c>
      <c r="AC255" t="s">
        <v>352</v>
      </c>
      <c r="AE255" t="s">
        <v>372</v>
      </c>
      <c r="AF255">
        <v>2019</v>
      </c>
      <c r="AG255">
        <v>0</v>
      </c>
      <c r="AH255">
        <v>837</v>
      </c>
      <c r="AI255">
        <v>16.3</v>
      </c>
      <c r="AJ255" t="s">
        <v>2749</v>
      </c>
      <c r="AL255" t="s">
        <v>3178</v>
      </c>
      <c r="AM255">
        <v>60</v>
      </c>
      <c r="AO255">
        <v>2</v>
      </c>
      <c r="AP255">
        <v>0</v>
      </c>
      <c r="AQ255">
        <v>118.27</v>
      </c>
      <c r="AT255" t="s">
        <v>500</v>
      </c>
      <c r="AV255" t="s">
        <v>508</v>
      </c>
      <c r="AW255">
        <v>20000</v>
      </c>
      <c r="BA255" t="s">
        <v>3342</v>
      </c>
      <c r="BD255" t="s">
        <v>537</v>
      </c>
      <c r="BE255" t="s">
        <v>594</v>
      </c>
    </row>
    <row r="256" spans="1:58">
      <c r="A256" s="1">
        <f>HYPERLINK("https://lsnyc.legalserver.org/matter/dynamic-profile/view/1891641","19-1891641")</f>
        <v>0</v>
      </c>
      <c r="E256" t="s">
        <v>381</v>
      </c>
      <c r="F256" t="s">
        <v>75</v>
      </c>
      <c r="G256" t="s">
        <v>80</v>
      </c>
      <c r="H256" t="s">
        <v>767</v>
      </c>
      <c r="J256" t="s">
        <v>134</v>
      </c>
      <c r="K256" t="s">
        <v>1364</v>
      </c>
      <c r="L256" t="s">
        <v>1709</v>
      </c>
      <c r="M256" t="s">
        <v>276</v>
      </c>
      <c r="N256" t="s">
        <v>288</v>
      </c>
      <c r="O256" t="s">
        <v>289</v>
      </c>
      <c r="P256">
        <v>11225</v>
      </c>
      <c r="Q256" t="s">
        <v>290</v>
      </c>
      <c r="R256" t="s">
        <v>290</v>
      </c>
      <c r="S256" t="s">
        <v>292</v>
      </c>
      <c r="T256" t="s">
        <v>2280</v>
      </c>
      <c r="U256">
        <v>30</v>
      </c>
      <c r="V256" t="s">
        <v>339</v>
      </c>
      <c r="W256" t="s">
        <v>346</v>
      </c>
      <c r="Y256" t="s">
        <v>348</v>
      </c>
      <c r="Z256" t="s">
        <v>350</v>
      </c>
      <c r="AC256" t="s">
        <v>352</v>
      </c>
      <c r="AE256" t="s">
        <v>372</v>
      </c>
      <c r="AF256">
        <v>2019</v>
      </c>
      <c r="AG256">
        <v>0</v>
      </c>
      <c r="AH256">
        <v>700.8200000000001</v>
      </c>
      <c r="AI256">
        <v>5.5</v>
      </c>
      <c r="AJ256" t="s">
        <v>2750</v>
      </c>
      <c r="AL256" t="s">
        <v>3179</v>
      </c>
      <c r="AM256">
        <v>16</v>
      </c>
      <c r="AO256">
        <v>2</v>
      </c>
      <c r="AP256">
        <v>1</v>
      </c>
      <c r="AQ256">
        <v>124.51</v>
      </c>
      <c r="AT256" t="s">
        <v>502</v>
      </c>
      <c r="AU256" t="s">
        <v>503</v>
      </c>
      <c r="AV256" t="s">
        <v>508</v>
      </c>
      <c r="AW256">
        <v>26559</v>
      </c>
      <c r="BA256" t="s">
        <v>522</v>
      </c>
      <c r="BD256" t="s">
        <v>537</v>
      </c>
      <c r="BE256" t="s">
        <v>786</v>
      </c>
    </row>
    <row r="257" spans="1:58">
      <c r="A257" s="1">
        <f>HYPERLINK("https://lsnyc.legalserver.org/matter/dynamic-profile/view/1892134","19-1892134")</f>
        <v>0</v>
      </c>
      <c r="E257" t="s">
        <v>381</v>
      </c>
      <c r="F257" t="s">
        <v>632</v>
      </c>
      <c r="G257" t="s">
        <v>80</v>
      </c>
      <c r="H257" t="s">
        <v>770</v>
      </c>
      <c r="J257" t="s">
        <v>1036</v>
      </c>
      <c r="K257" t="s">
        <v>1224</v>
      </c>
      <c r="L257" t="s">
        <v>1710</v>
      </c>
      <c r="M257" t="s">
        <v>1962</v>
      </c>
      <c r="N257" t="s">
        <v>288</v>
      </c>
      <c r="O257" t="s">
        <v>289</v>
      </c>
      <c r="P257">
        <v>11225</v>
      </c>
      <c r="Q257" t="s">
        <v>290</v>
      </c>
      <c r="R257" t="s">
        <v>290</v>
      </c>
      <c r="T257" t="s">
        <v>2281</v>
      </c>
      <c r="U257">
        <v>11</v>
      </c>
      <c r="V257" t="s">
        <v>339</v>
      </c>
      <c r="W257" t="s">
        <v>346</v>
      </c>
      <c r="Y257" t="s">
        <v>348</v>
      </c>
      <c r="Z257" t="s">
        <v>350</v>
      </c>
      <c r="AC257" t="s">
        <v>352</v>
      </c>
      <c r="AE257" t="s">
        <v>372</v>
      </c>
      <c r="AF257">
        <v>2019</v>
      </c>
      <c r="AG257">
        <v>0</v>
      </c>
      <c r="AH257">
        <v>659</v>
      </c>
      <c r="AI257">
        <v>13.4</v>
      </c>
      <c r="AJ257" t="s">
        <v>2751</v>
      </c>
      <c r="AM257">
        <v>200</v>
      </c>
      <c r="AO257">
        <v>1</v>
      </c>
      <c r="AP257">
        <v>0</v>
      </c>
      <c r="AQ257">
        <v>184.15</v>
      </c>
      <c r="AT257" t="s">
        <v>500</v>
      </c>
      <c r="AV257" t="s">
        <v>508</v>
      </c>
      <c r="AW257">
        <v>23000</v>
      </c>
      <c r="BA257" t="s">
        <v>522</v>
      </c>
      <c r="BD257" t="s">
        <v>537</v>
      </c>
      <c r="BE257" t="s">
        <v>805</v>
      </c>
    </row>
    <row r="258" spans="1:58">
      <c r="A258" s="1">
        <f>HYPERLINK("https://lsnyc.legalserver.org/matter/dynamic-profile/view/1894665","19-1894665")</f>
        <v>0</v>
      </c>
      <c r="E258" t="s">
        <v>381</v>
      </c>
      <c r="F258" t="s">
        <v>75</v>
      </c>
      <c r="G258" t="s">
        <v>80</v>
      </c>
      <c r="H258" t="s">
        <v>771</v>
      </c>
      <c r="J258" t="s">
        <v>1037</v>
      </c>
      <c r="K258" t="s">
        <v>1365</v>
      </c>
      <c r="L258" t="s">
        <v>1711</v>
      </c>
      <c r="M258" t="s">
        <v>1963</v>
      </c>
      <c r="N258" t="s">
        <v>288</v>
      </c>
      <c r="O258" t="s">
        <v>289</v>
      </c>
      <c r="P258">
        <v>11225</v>
      </c>
      <c r="Q258" t="s">
        <v>290</v>
      </c>
      <c r="R258" t="s">
        <v>290</v>
      </c>
      <c r="S258" t="s">
        <v>292</v>
      </c>
      <c r="T258" t="s">
        <v>2282</v>
      </c>
      <c r="U258">
        <v>20</v>
      </c>
      <c r="V258" t="s">
        <v>339</v>
      </c>
      <c r="W258" t="s">
        <v>346</v>
      </c>
      <c r="Y258" t="s">
        <v>348</v>
      </c>
      <c r="Z258" t="s">
        <v>350</v>
      </c>
      <c r="AC258" t="s">
        <v>352</v>
      </c>
      <c r="AE258" t="s">
        <v>372</v>
      </c>
      <c r="AF258">
        <v>2019</v>
      </c>
      <c r="AG258">
        <v>0</v>
      </c>
      <c r="AH258">
        <v>1675</v>
      </c>
      <c r="AI258">
        <v>33.2</v>
      </c>
      <c r="AJ258" t="s">
        <v>2752</v>
      </c>
      <c r="AL258" t="s">
        <v>3180</v>
      </c>
      <c r="AM258">
        <v>300</v>
      </c>
      <c r="AO258">
        <v>2</v>
      </c>
      <c r="AP258">
        <v>1</v>
      </c>
      <c r="AQ258">
        <v>84.39</v>
      </c>
      <c r="AT258" t="s">
        <v>501</v>
      </c>
      <c r="AU258" t="s">
        <v>507</v>
      </c>
      <c r="AV258" t="s">
        <v>508</v>
      </c>
      <c r="AW258">
        <v>18000</v>
      </c>
      <c r="BA258" t="s">
        <v>522</v>
      </c>
      <c r="BD258" t="s">
        <v>540</v>
      </c>
      <c r="BE258" t="s">
        <v>590</v>
      </c>
    </row>
    <row r="259" spans="1:58">
      <c r="A259" s="1">
        <f>HYPERLINK("https://lsnyc.legalserver.org/matter/dynamic-profile/view/1895276","19-1895276")</f>
        <v>0</v>
      </c>
      <c r="E259" t="s">
        <v>381</v>
      </c>
      <c r="F259" t="s">
        <v>63</v>
      </c>
      <c r="G259" t="s">
        <v>80</v>
      </c>
      <c r="H259" t="s">
        <v>667</v>
      </c>
      <c r="J259" t="s">
        <v>1038</v>
      </c>
      <c r="K259" t="s">
        <v>992</v>
      </c>
      <c r="L259" t="s">
        <v>1712</v>
      </c>
      <c r="M259" t="s">
        <v>1919</v>
      </c>
      <c r="N259" t="s">
        <v>288</v>
      </c>
      <c r="O259" t="s">
        <v>289</v>
      </c>
      <c r="P259">
        <v>11225</v>
      </c>
      <c r="Q259" t="s">
        <v>290</v>
      </c>
      <c r="R259" t="s">
        <v>290</v>
      </c>
      <c r="S259" t="s">
        <v>292</v>
      </c>
      <c r="T259" t="s">
        <v>2283</v>
      </c>
      <c r="U259">
        <v>36</v>
      </c>
      <c r="V259" t="s">
        <v>339</v>
      </c>
      <c r="W259" t="s">
        <v>346</v>
      </c>
      <c r="Y259" t="s">
        <v>348</v>
      </c>
      <c r="Z259" t="s">
        <v>350</v>
      </c>
      <c r="AA259" t="s">
        <v>350</v>
      </c>
      <c r="AC259" t="s">
        <v>352</v>
      </c>
      <c r="AD259" t="s">
        <v>356</v>
      </c>
      <c r="AE259" t="s">
        <v>372</v>
      </c>
      <c r="AF259">
        <v>2019</v>
      </c>
      <c r="AG259">
        <v>0</v>
      </c>
      <c r="AH259">
        <v>158.74</v>
      </c>
      <c r="AI259">
        <v>21</v>
      </c>
      <c r="AJ259" t="s">
        <v>2753</v>
      </c>
      <c r="AL259" t="s">
        <v>3181</v>
      </c>
      <c r="AM259">
        <v>0</v>
      </c>
      <c r="AN259" t="s">
        <v>493</v>
      </c>
      <c r="AO259">
        <v>2</v>
      </c>
      <c r="AP259">
        <v>0</v>
      </c>
      <c r="AQ259">
        <v>346.54</v>
      </c>
      <c r="AT259" t="s">
        <v>500</v>
      </c>
      <c r="AU259" t="s">
        <v>503</v>
      </c>
      <c r="AV259" t="s">
        <v>508</v>
      </c>
      <c r="AW259">
        <v>58600</v>
      </c>
      <c r="BA259" t="s">
        <v>522</v>
      </c>
      <c r="BD259" t="s">
        <v>537</v>
      </c>
      <c r="BE259" t="s">
        <v>813</v>
      </c>
    </row>
    <row r="260" spans="1:58">
      <c r="A260" s="1">
        <f>HYPERLINK("https://lsnyc.legalserver.org/matter/dynamic-profile/view/1892487","19-1892487")</f>
        <v>0</v>
      </c>
      <c r="E260" t="s">
        <v>381</v>
      </c>
      <c r="F260" t="s">
        <v>632</v>
      </c>
      <c r="G260" t="s">
        <v>80</v>
      </c>
      <c r="H260" t="s">
        <v>772</v>
      </c>
      <c r="J260" t="s">
        <v>1039</v>
      </c>
      <c r="K260" t="s">
        <v>1366</v>
      </c>
      <c r="L260" t="s">
        <v>1713</v>
      </c>
      <c r="M260" t="s">
        <v>1964</v>
      </c>
      <c r="N260" t="s">
        <v>288</v>
      </c>
      <c r="O260" t="s">
        <v>289</v>
      </c>
      <c r="P260">
        <v>11224</v>
      </c>
      <c r="Q260" t="s">
        <v>290</v>
      </c>
      <c r="R260" t="s">
        <v>290</v>
      </c>
      <c r="S260" t="s">
        <v>295</v>
      </c>
      <c r="T260" t="s">
        <v>2284</v>
      </c>
      <c r="U260">
        <v>29</v>
      </c>
      <c r="V260" t="s">
        <v>339</v>
      </c>
      <c r="W260" t="s">
        <v>346</v>
      </c>
      <c r="Y260" t="s">
        <v>349</v>
      </c>
      <c r="Z260" t="s">
        <v>350</v>
      </c>
      <c r="AC260" t="s">
        <v>352</v>
      </c>
      <c r="AE260" t="s">
        <v>372</v>
      </c>
      <c r="AF260">
        <v>2019</v>
      </c>
      <c r="AG260">
        <v>0</v>
      </c>
      <c r="AH260">
        <v>1304</v>
      </c>
      <c r="AI260">
        <v>9.800000000000001</v>
      </c>
      <c r="AJ260" t="s">
        <v>2754</v>
      </c>
      <c r="AL260" t="s">
        <v>3182</v>
      </c>
      <c r="AM260">
        <v>110</v>
      </c>
      <c r="AO260">
        <v>2</v>
      </c>
      <c r="AP260">
        <v>0</v>
      </c>
      <c r="AQ260">
        <v>93.53</v>
      </c>
      <c r="AT260" t="s">
        <v>500</v>
      </c>
      <c r="AU260" t="s">
        <v>507</v>
      </c>
      <c r="AV260" t="s">
        <v>508</v>
      </c>
      <c r="AW260">
        <v>15816</v>
      </c>
      <c r="BA260" t="s">
        <v>3342</v>
      </c>
      <c r="BD260" t="s">
        <v>3378</v>
      </c>
      <c r="BE260" t="s">
        <v>678</v>
      </c>
    </row>
    <row r="261" spans="1:58">
      <c r="A261" s="1">
        <f>HYPERLINK("https://lsnyc.legalserver.org/matter/dynamic-profile/view/1893360","19-1893360")</f>
        <v>0</v>
      </c>
      <c r="E261" t="s">
        <v>381</v>
      </c>
      <c r="F261" t="s">
        <v>69</v>
      </c>
      <c r="G261" t="s">
        <v>80</v>
      </c>
      <c r="H261" t="s">
        <v>773</v>
      </c>
      <c r="J261" t="s">
        <v>870</v>
      </c>
      <c r="K261" t="s">
        <v>1367</v>
      </c>
      <c r="L261" t="s">
        <v>1714</v>
      </c>
      <c r="M261" t="s">
        <v>1965</v>
      </c>
      <c r="N261" t="s">
        <v>288</v>
      </c>
      <c r="O261" t="s">
        <v>289</v>
      </c>
      <c r="P261">
        <v>11221</v>
      </c>
      <c r="Q261" t="s">
        <v>290</v>
      </c>
      <c r="R261" t="s">
        <v>290</v>
      </c>
      <c r="S261" t="s">
        <v>295</v>
      </c>
      <c r="T261" t="s">
        <v>2285</v>
      </c>
      <c r="U261">
        <v>2</v>
      </c>
      <c r="V261" t="s">
        <v>340</v>
      </c>
      <c r="W261" t="s">
        <v>346</v>
      </c>
      <c r="Y261" t="s">
        <v>348</v>
      </c>
      <c r="Z261" t="s">
        <v>350</v>
      </c>
      <c r="AC261" t="s">
        <v>352</v>
      </c>
      <c r="AE261" t="s">
        <v>372</v>
      </c>
      <c r="AF261">
        <v>2019</v>
      </c>
      <c r="AG261">
        <v>0</v>
      </c>
      <c r="AH261">
        <v>850</v>
      </c>
      <c r="AI261">
        <v>25.1</v>
      </c>
      <c r="AJ261" t="s">
        <v>2755</v>
      </c>
      <c r="AL261" t="s">
        <v>3183</v>
      </c>
      <c r="AM261">
        <v>3</v>
      </c>
      <c r="AO261">
        <v>1</v>
      </c>
      <c r="AP261">
        <v>0</v>
      </c>
      <c r="AQ261">
        <v>0</v>
      </c>
      <c r="AT261" t="s">
        <v>500</v>
      </c>
      <c r="AU261" t="s">
        <v>503</v>
      </c>
      <c r="AV261" t="s">
        <v>508</v>
      </c>
      <c r="AW261">
        <v>0</v>
      </c>
      <c r="BA261" t="s">
        <v>3341</v>
      </c>
      <c r="BD261" t="s">
        <v>3368</v>
      </c>
      <c r="BE261" t="s">
        <v>806</v>
      </c>
    </row>
    <row r="262" spans="1:58">
      <c r="A262" s="1">
        <f>HYPERLINK("https://lsnyc.legalserver.org/matter/dynamic-profile/view/1887902","19-1887902")</f>
        <v>0</v>
      </c>
      <c r="E262" t="s">
        <v>381</v>
      </c>
      <c r="F262" t="s">
        <v>626</v>
      </c>
      <c r="G262" t="s">
        <v>80</v>
      </c>
      <c r="H262" t="s">
        <v>656</v>
      </c>
      <c r="J262" t="s">
        <v>1040</v>
      </c>
      <c r="K262" t="s">
        <v>1368</v>
      </c>
      <c r="L262" t="s">
        <v>1715</v>
      </c>
      <c r="M262" t="s">
        <v>1924</v>
      </c>
      <c r="N262" t="s">
        <v>288</v>
      </c>
      <c r="O262" t="s">
        <v>289</v>
      </c>
      <c r="P262">
        <v>11221</v>
      </c>
      <c r="Q262" t="s">
        <v>290</v>
      </c>
      <c r="R262" t="s">
        <v>291</v>
      </c>
      <c r="S262" t="s">
        <v>292</v>
      </c>
      <c r="T262" t="s">
        <v>2286</v>
      </c>
      <c r="U262">
        <v>25</v>
      </c>
      <c r="V262" t="s">
        <v>339</v>
      </c>
      <c r="W262" t="s">
        <v>346</v>
      </c>
      <c r="Y262" t="s">
        <v>348</v>
      </c>
      <c r="Z262" t="s">
        <v>350</v>
      </c>
      <c r="AC262" t="s">
        <v>352</v>
      </c>
      <c r="AE262" t="s">
        <v>372</v>
      </c>
      <c r="AF262">
        <v>2019</v>
      </c>
      <c r="AG262">
        <v>0</v>
      </c>
      <c r="AH262">
        <v>829</v>
      </c>
      <c r="AI262">
        <v>15.6</v>
      </c>
      <c r="AJ262" t="s">
        <v>2756</v>
      </c>
      <c r="AL262" t="s">
        <v>3184</v>
      </c>
      <c r="AM262">
        <v>6</v>
      </c>
      <c r="AO262">
        <v>3</v>
      </c>
      <c r="AP262">
        <v>0</v>
      </c>
      <c r="AQ262">
        <v>131.09</v>
      </c>
      <c r="AT262" t="s">
        <v>500</v>
      </c>
      <c r="AU262" t="s">
        <v>506</v>
      </c>
      <c r="AV262" t="s">
        <v>508</v>
      </c>
      <c r="AW262">
        <v>27240</v>
      </c>
      <c r="BA262" t="s">
        <v>3342</v>
      </c>
      <c r="BD262" t="s">
        <v>543</v>
      </c>
      <c r="BE262" t="s">
        <v>812</v>
      </c>
    </row>
    <row r="263" spans="1:58">
      <c r="A263" s="1">
        <f>HYPERLINK("https://lsnyc.legalserver.org/matter/dynamic-profile/view/1891577","19-1891577")</f>
        <v>0</v>
      </c>
      <c r="E263" t="s">
        <v>381</v>
      </c>
      <c r="F263" t="s">
        <v>59</v>
      </c>
      <c r="G263" t="s">
        <v>80</v>
      </c>
      <c r="H263" t="s">
        <v>767</v>
      </c>
      <c r="J263" t="s">
        <v>1041</v>
      </c>
      <c r="K263" t="s">
        <v>1148</v>
      </c>
      <c r="L263" t="s">
        <v>1716</v>
      </c>
      <c r="M263" t="s">
        <v>277</v>
      </c>
      <c r="N263" t="s">
        <v>288</v>
      </c>
      <c r="O263" t="s">
        <v>289</v>
      </c>
      <c r="P263">
        <v>11221</v>
      </c>
      <c r="Q263" t="s">
        <v>290</v>
      </c>
      <c r="R263" t="s">
        <v>290</v>
      </c>
      <c r="S263" t="s">
        <v>292</v>
      </c>
      <c r="T263" t="s">
        <v>2287</v>
      </c>
      <c r="U263">
        <v>5</v>
      </c>
      <c r="V263" t="s">
        <v>339</v>
      </c>
      <c r="W263" t="s">
        <v>346</v>
      </c>
      <c r="Y263" t="s">
        <v>348</v>
      </c>
      <c r="Z263" t="s">
        <v>350</v>
      </c>
      <c r="AC263" t="s">
        <v>352</v>
      </c>
      <c r="AE263" t="s">
        <v>372</v>
      </c>
      <c r="AF263">
        <v>2019</v>
      </c>
      <c r="AG263">
        <v>0</v>
      </c>
      <c r="AH263">
        <v>850</v>
      </c>
      <c r="AI263">
        <v>6.9</v>
      </c>
      <c r="AJ263" t="s">
        <v>2757</v>
      </c>
      <c r="AL263" t="s">
        <v>3185</v>
      </c>
      <c r="AM263">
        <v>0</v>
      </c>
      <c r="AN263" t="s">
        <v>493</v>
      </c>
      <c r="AO263">
        <v>2</v>
      </c>
      <c r="AP263">
        <v>1</v>
      </c>
      <c r="AQ263">
        <v>67.51000000000001</v>
      </c>
      <c r="AT263" t="s">
        <v>502</v>
      </c>
      <c r="AV263" t="s">
        <v>509</v>
      </c>
      <c r="AW263">
        <v>14400</v>
      </c>
      <c r="BA263" t="s">
        <v>522</v>
      </c>
      <c r="BD263" t="s">
        <v>537</v>
      </c>
      <c r="BE263" t="s">
        <v>668</v>
      </c>
    </row>
    <row r="264" spans="1:58">
      <c r="A264" s="1">
        <f>HYPERLINK("https://lsnyc.legalserver.org/matter/dynamic-profile/view/1891623","19-1891623")</f>
        <v>0</v>
      </c>
      <c r="E264" t="s">
        <v>381</v>
      </c>
      <c r="F264" t="s">
        <v>67</v>
      </c>
      <c r="G264" t="s">
        <v>80</v>
      </c>
      <c r="H264" t="s">
        <v>767</v>
      </c>
      <c r="J264" t="s">
        <v>1042</v>
      </c>
      <c r="K264" t="s">
        <v>1369</v>
      </c>
      <c r="L264" t="s">
        <v>1717</v>
      </c>
      <c r="M264" t="s">
        <v>1966</v>
      </c>
      <c r="N264" t="s">
        <v>288</v>
      </c>
      <c r="O264" t="s">
        <v>289</v>
      </c>
      <c r="P264">
        <v>11221</v>
      </c>
      <c r="Q264" t="s">
        <v>290</v>
      </c>
      <c r="R264" t="s">
        <v>290</v>
      </c>
      <c r="S264" t="s">
        <v>292</v>
      </c>
      <c r="T264" t="s">
        <v>2288</v>
      </c>
      <c r="U264">
        <v>5</v>
      </c>
      <c r="V264" t="s">
        <v>339</v>
      </c>
      <c r="W264" t="s">
        <v>346</v>
      </c>
      <c r="Y264" t="s">
        <v>348</v>
      </c>
      <c r="Z264" t="s">
        <v>350</v>
      </c>
      <c r="AA264" t="s">
        <v>350</v>
      </c>
      <c r="AC264" t="s">
        <v>352</v>
      </c>
      <c r="AD264" t="s">
        <v>356</v>
      </c>
      <c r="AE264" t="s">
        <v>372</v>
      </c>
      <c r="AF264">
        <v>2019</v>
      </c>
      <c r="AG264">
        <v>0</v>
      </c>
      <c r="AH264">
        <v>247</v>
      </c>
      <c r="AI264">
        <v>48.4</v>
      </c>
      <c r="AJ264" t="s">
        <v>2758</v>
      </c>
      <c r="AL264" t="s">
        <v>3186</v>
      </c>
      <c r="AM264">
        <v>63</v>
      </c>
      <c r="AN264" t="s">
        <v>3321</v>
      </c>
      <c r="AO264">
        <v>1</v>
      </c>
      <c r="AP264">
        <v>0</v>
      </c>
      <c r="AQ264">
        <v>96.08</v>
      </c>
      <c r="AT264" t="s">
        <v>500</v>
      </c>
      <c r="AU264" t="s">
        <v>503</v>
      </c>
      <c r="AV264" t="s">
        <v>508</v>
      </c>
      <c r="AW264">
        <v>12000</v>
      </c>
      <c r="BA264" t="s">
        <v>522</v>
      </c>
      <c r="BD264" t="s">
        <v>548</v>
      </c>
      <c r="BE264" t="s">
        <v>3449</v>
      </c>
    </row>
    <row r="265" spans="1:58">
      <c r="A265" s="1">
        <f>HYPERLINK("https://lsnyc.legalserver.org/matter/dynamic-profile/view/1892109","19-1892109")</f>
        <v>0</v>
      </c>
      <c r="E265" t="s">
        <v>381</v>
      </c>
      <c r="F265" t="s">
        <v>60</v>
      </c>
      <c r="G265" t="s">
        <v>80</v>
      </c>
      <c r="H265" t="s">
        <v>770</v>
      </c>
      <c r="J265" t="s">
        <v>1043</v>
      </c>
      <c r="K265" t="s">
        <v>1370</v>
      </c>
      <c r="L265" t="s">
        <v>1718</v>
      </c>
      <c r="M265" t="s">
        <v>1967</v>
      </c>
      <c r="N265" t="s">
        <v>288</v>
      </c>
      <c r="O265" t="s">
        <v>289</v>
      </c>
      <c r="P265">
        <v>11221</v>
      </c>
      <c r="Q265" t="s">
        <v>290</v>
      </c>
      <c r="R265" t="s">
        <v>290</v>
      </c>
      <c r="S265" t="s">
        <v>292</v>
      </c>
      <c r="T265" t="s">
        <v>2289</v>
      </c>
      <c r="U265">
        <v>8</v>
      </c>
      <c r="V265" t="s">
        <v>339</v>
      </c>
      <c r="W265" t="s">
        <v>346</v>
      </c>
      <c r="Y265" t="s">
        <v>348</v>
      </c>
      <c r="Z265" t="s">
        <v>350</v>
      </c>
      <c r="AC265" t="s">
        <v>352</v>
      </c>
      <c r="AE265" t="s">
        <v>372</v>
      </c>
      <c r="AF265">
        <v>2019</v>
      </c>
      <c r="AG265">
        <v>0</v>
      </c>
      <c r="AH265">
        <v>1248</v>
      </c>
      <c r="AI265">
        <v>7.9</v>
      </c>
      <c r="AJ265" t="s">
        <v>2759</v>
      </c>
      <c r="AM265">
        <v>56</v>
      </c>
      <c r="AO265">
        <v>1</v>
      </c>
      <c r="AP265">
        <v>1</v>
      </c>
      <c r="AQ265">
        <v>0</v>
      </c>
      <c r="AT265" t="s">
        <v>502</v>
      </c>
      <c r="AV265" t="s">
        <v>508</v>
      </c>
      <c r="AW265">
        <v>0</v>
      </c>
      <c r="BA265" t="s">
        <v>3342</v>
      </c>
      <c r="BD265" t="s">
        <v>544</v>
      </c>
      <c r="BE265" t="s">
        <v>576</v>
      </c>
    </row>
    <row r="266" spans="1:58">
      <c r="A266" s="1">
        <f>HYPERLINK("https://lsnyc.legalserver.org/matter/dynamic-profile/view/1894232","19-1894232")</f>
        <v>0</v>
      </c>
      <c r="E266" t="s">
        <v>381</v>
      </c>
      <c r="F266" t="s">
        <v>76</v>
      </c>
      <c r="G266" t="s">
        <v>80</v>
      </c>
      <c r="H266" t="s">
        <v>774</v>
      </c>
      <c r="J266" t="s">
        <v>1044</v>
      </c>
      <c r="K266" t="s">
        <v>1371</v>
      </c>
      <c r="L266" t="s">
        <v>1719</v>
      </c>
      <c r="M266" t="s">
        <v>281</v>
      </c>
      <c r="N266" t="s">
        <v>288</v>
      </c>
      <c r="O266" t="s">
        <v>289</v>
      </c>
      <c r="P266">
        <v>11221</v>
      </c>
      <c r="Q266" t="s">
        <v>290</v>
      </c>
      <c r="R266" t="s">
        <v>290</v>
      </c>
      <c r="S266" t="s">
        <v>292</v>
      </c>
      <c r="T266" t="s">
        <v>2290</v>
      </c>
      <c r="U266">
        <v>6</v>
      </c>
      <c r="V266" t="s">
        <v>339</v>
      </c>
      <c r="W266" t="s">
        <v>346</v>
      </c>
      <c r="Y266" t="s">
        <v>348</v>
      </c>
      <c r="Z266" t="s">
        <v>350</v>
      </c>
      <c r="AC266" t="s">
        <v>352</v>
      </c>
      <c r="AE266" t="s">
        <v>372</v>
      </c>
      <c r="AF266">
        <v>2019</v>
      </c>
      <c r="AG266">
        <v>0</v>
      </c>
      <c r="AH266">
        <v>0</v>
      </c>
      <c r="AI266">
        <v>2</v>
      </c>
      <c r="AJ266" t="s">
        <v>2760</v>
      </c>
      <c r="AL266" t="s">
        <v>3187</v>
      </c>
      <c r="AM266">
        <v>0</v>
      </c>
      <c r="AO266">
        <v>2</v>
      </c>
      <c r="AP266">
        <v>0</v>
      </c>
      <c r="AQ266">
        <v>206.98</v>
      </c>
      <c r="AT266" t="s">
        <v>500</v>
      </c>
      <c r="AV266" t="s">
        <v>508</v>
      </c>
      <c r="AW266">
        <v>35000</v>
      </c>
      <c r="BA266" t="s">
        <v>522</v>
      </c>
      <c r="BD266" t="s">
        <v>537</v>
      </c>
      <c r="BE266" t="s">
        <v>670</v>
      </c>
    </row>
    <row r="267" spans="1:58">
      <c r="A267" s="1">
        <f>HYPERLINK("https://lsnyc.legalserver.org/matter/dynamic-profile/view/1894905","19-1894905")</f>
        <v>0</v>
      </c>
      <c r="E267" t="s">
        <v>381</v>
      </c>
      <c r="F267" t="s">
        <v>59</v>
      </c>
      <c r="G267" t="s">
        <v>80</v>
      </c>
      <c r="H267" t="s">
        <v>766</v>
      </c>
      <c r="J267" t="s">
        <v>1045</v>
      </c>
      <c r="K267" t="s">
        <v>1372</v>
      </c>
      <c r="L267" t="s">
        <v>1720</v>
      </c>
      <c r="M267">
        <v>404</v>
      </c>
      <c r="N267" t="s">
        <v>288</v>
      </c>
      <c r="O267" t="s">
        <v>289</v>
      </c>
      <c r="P267">
        <v>11221</v>
      </c>
      <c r="Q267" t="s">
        <v>290</v>
      </c>
      <c r="R267" t="s">
        <v>290</v>
      </c>
      <c r="S267" t="s">
        <v>292</v>
      </c>
      <c r="T267" t="s">
        <v>2291</v>
      </c>
      <c r="U267">
        <v>2</v>
      </c>
      <c r="V267" t="s">
        <v>339</v>
      </c>
      <c r="W267" t="s">
        <v>346</v>
      </c>
      <c r="Y267" t="s">
        <v>348</v>
      </c>
      <c r="Z267" t="s">
        <v>350</v>
      </c>
      <c r="AC267" t="s">
        <v>352</v>
      </c>
      <c r="AD267" t="s">
        <v>356</v>
      </c>
      <c r="AE267" t="s">
        <v>372</v>
      </c>
      <c r="AF267">
        <v>2019</v>
      </c>
      <c r="AG267">
        <v>0</v>
      </c>
      <c r="AH267">
        <v>800</v>
      </c>
      <c r="AI267">
        <v>38.8</v>
      </c>
      <c r="AJ267" t="s">
        <v>2761</v>
      </c>
      <c r="AL267" t="s">
        <v>3188</v>
      </c>
      <c r="AM267">
        <v>16</v>
      </c>
      <c r="AN267" t="s">
        <v>3320</v>
      </c>
      <c r="AO267">
        <v>1</v>
      </c>
      <c r="AP267">
        <v>0</v>
      </c>
      <c r="AQ267">
        <v>160.13</v>
      </c>
      <c r="AT267" t="s">
        <v>500</v>
      </c>
      <c r="AU267" t="s">
        <v>3331</v>
      </c>
      <c r="AV267" t="s">
        <v>508</v>
      </c>
      <c r="AW267">
        <v>20000</v>
      </c>
      <c r="BA267" t="s">
        <v>522</v>
      </c>
      <c r="BD267" t="s">
        <v>537</v>
      </c>
      <c r="BE267" t="s">
        <v>595</v>
      </c>
    </row>
    <row r="268" spans="1:58">
      <c r="A268" s="1">
        <f>HYPERLINK("https://lsnyc.legalserver.org/matter/dynamic-profile/view/1895318","19-1895318")</f>
        <v>0</v>
      </c>
      <c r="E268" t="s">
        <v>381</v>
      </c>
      <c r="F268" t="s">
        <v>65</v>
      </c>
      <c r="G268" t="s">
        <v>80</v>
      </c>
      <c r="H268" t="s">
        <v>667</v>
      </c>
      <c r="J268" t="s">
        <v>1046</v>
      </c>
      <c r="K268" t="s">
        <v>1373</v>
      </c>
      <c r="L268" t="s">
        <v>1721</v>
      </c>
      <c r="M268" t="s">
        <v>1931</v>
      </c>
      <c r="N268" t="s">
        <v>288</v>
      </c>
      <c r="O268" t="s">
        <v>289</v>
      </c>
      <c r="P268">
        <v>11221</v>
      </c>
      <c r="Q268" t="s">
        <v>290</v>
      </c>
      <c r="R268" t="s">
        <v>290</v>
      </c>
      <c r="S268" t="s">
        <v>292</v>
      </c>
      <c r="T268" t="s">
        <v>2292</v>
      </c>
      <c r="U268">
        <v>16</v>
      </c>
      <c r="V268" t="s">
        <v>339</v>
      </c>
      <c r="W268" t="s">
        <v>346</v>
      </c>
      <c r="Y268" t="s">
        <v>348</v>
      </c>
      <c r="Z268" t="s">
        <v>350</v>
      </c>
      <c r="AC268" t="s">
        <v>352</v>
      </c>
      <c r="AE268" t="s">
        <v>372</v>
      </c>
      <c r="AF268">
        <v>2019</v>
      </c>
      <c r="AG268">
        <v>0</v>
      </c>
      <c r="AH268">
        <v>1124</v>
      </c>
      <c r="AI268">
        <v>13.9</v>
      </c>
      <c r="AJ268" t="s">
        <v>2762</v>
      </c>
      <c r="AL268" t="s">
        <v>3189</v>
      </c>
      <c r="AM268">
        <v>0</v>
      </c>
      <c r="AO268">
        <v>2</v>
      </c>
      <c r="AP268">
        <v>1</v>
      </c>
      <c r="AQ268">
        <v>112.14</v>
      </c>
      <c r="AT268" t="s">
        <v>501</v>
      </c>
      <c r="AU268" t="s">
        <v>507</v>
      </c>
      <c r="AV268" t="s">
        <v>508</v>
      </c>
      <c r="AW268">
        <v>23920</v>
      </c>
      <c r="BA268" t="s">
        <v>522</v>
      </c>
      <c r="BD268" t="s">
        <v>3376</v>
      </c>
      <c r="BE268" t="s">
        <v>3459</v>
      </c>
      <c r="BF268" t="s">
        <v>600</v>
      </c>
    </row>
    <row r="269" spans="1:58">
      <c r="A269" s="1">
        <f>HYPERLINK("https://lsnyc.legalserver.org/matter/dynamic-profile/view/1891808","19-1891808")</f>
        <v>0</v>
      </c>
      <c r="E269" t="s">
        <v>381</v>
      </c>
      <c r="F269" t="s">
        <v>623</v>
      </c>
      <c r="G269" t="s">
        <v>80</v>
      </c>
      <c r="H269" t="s">
        <v>663</v>
      </c>
      <c r="J269" t="s">
        <v>969</v>
      </c>
      <c r="K269" t="s">
        <v>1374</v>
      </c>
      <c r="L269" t="s">
        <v>1481</v>
      </c>
      <c r="M269" t="s">
        <v>270</v>
      </c>
      <c r="N269" t="s">
        <v>288</v>
      </c>
      <c r="O269" t="s">
        <v>289</v>
      </c>
      <c r="P269">
        <v>11216</v>
      </c>
      <c r="Q269" t="s">
        <v>290</v>
      </c>
      <c r="R269" t="s">
        <v>290</v>
      </c>
      <c r="S269" t="s">
        <v>292</v>
      </c>
      <c r="T269" t="s">
        <v>2293</v>
      </c>
      <c r="U269">
        <v>30</v>
      </c>
      <c r="V269" t="s">
        <v>340</v>
      </c>
      <c r="W269" t="s">
        <v>346</v>
      </c>
      <c r="Y269" t="s">
        <v>348</v>
      </c>
      <c r="Z269" t="s">
        <v>350</v>
      </c>
      <c r="AC269" t="s">
        <v>352</v>
      </c>
      <c r="AE269" t="s">
        <v>372</v>
      </c>
      <c r="AF269">
        <v>2019</v>
      </c>
      <c r="AG269">
        <v>0</v>
      </c>
      <c r="AH269">
        <v>0</v>
      </c>
      <c r="AI269">
        <v>28.45</v>
      </c>
      <c r="AJ269" t="s">
        <v>2763</v>
      </c>
      <c r="AM269">
        <v>0</v>
      </c>
      <c r="AO269">
        <v>1</v>
      </c>
      <c r="AP269">
        <v>1</v>
      </c>
      <c r="AQ269">
        <v>22.29</v>
      </c>
      <c r="AT269" t="s">
        <v>501</v>
      </c>
      <c r="AU269" t="s">
        <v>503</v>
      </c>
      <c r="AV269" t="s">
        <v>508</v>
      </c>
      <c r="AW269">
        <v>3770</v>
      </c>
      <c r="BA269" t="s">
        <v>522</v>
      </c>
      <c r="BD269" t="s">
        <v>538</v>
      </c>
      <c r="BE269" t="s">
        <v>817</v>
      </c>
    </row>
    <row r="270" spans="1:58">
      <c r="A270" s="1">
        <f>HYPERLINK("https://lsnyc.legalserver.org/matter/dynamic-profile/view/1894372","19-1894372")</f>
        <v>0</v>
      </c>
      <c r="E270" t="s">
        <v>381</v>
      </c>
      <c r="F270" t="s">
        <v>76</v>
      </c>
      <c r="G270" t="s">
        <v>80</v>
      </c>
      <c r="H270" t="s">
        <v>696</v>
      </c>
      <c r="J270" t="s">
        <v>1047</v>
      </c>
      <c r="K270" t="s">
        <v>1158</v>
      </c>
      <c r="L270" t="s">
        <v>1722</v>
      </c>
      <c r="M270" t="s">
        <v>1968</v>
      </c>
      <c r="N270" t="s">
        <v>288</v>
      </c>
      <c r="O270" t="s">
        <v>289</v>
      </c>
      <c r="P270">
        <v>11216</v>
      </c>
      <c r="Q270" t="s">
        <v>290</v>
      </c>
      <c r="R270" t="s">
        <v>290</v>
      </c>
      <c r="S270" t="s">
        <v>292</v>
      </c>
      <c r="T270" t="s">
        <v>2294</v>
      </c>
      <c r="U270">
        <v>3</v>
      </c>
      <c r="V270" t="s">
        <v>340</v>
      </c>
      <c r="W270" t="s">
        <v>346</v>
      </c>
      <c r="Y270" t="s">
        <v>348</v>
      </c>
      <c r="Z270" t="s">
        <v>350</v>
      </c>
      <c r="AC270" t="s">
        <v>352</v>
      </c>
      <c r="AE270" t="s">
        <v>372</v>
      </c>
      <c r="AF270">
        <v>2019</v>
      </c>
      <c r="AG270">
        <v>0</v>
      </c>
      <c r="AH270">
        <v>0</v>
      </c>
      <c r="AI270">
        <v>4.2</v>
      </c>
      <c r="AJ270" t="s">
        <v>2764</v>
      </c>
      <c r="AL270" t="s">
        <v>3190</v>
      </c>
      <c r="AM270">
        <v>8</v>
      </c>
      <c r="AO270">
        <v>1</v>
      </c>
      <c r="AP270">
        <v>2</v>
      </c>
      <c r="AQ270">
        <v>123.77</v>
      </c>
      <c r="AT270" t="s">
        <v>502</v>
      </c>
      <c r="AU270" t="s">
        <v>503</v>
      </c>
      <c r="AV270" t="s">
        <v>508</v>
      </c>
      <c r="AW270">
        <v>26400</v>
      </c>
      <c r="BA270" t="s">
        <v>522</v>
      </c>
      <c r="BD270" t="s">
        <v>537</v>
      </c>
      <c r="BE270" t="s">
        <v>3431</v>
      </c>
    </row>
    <row r="271" spans="1:58">
      <c r="A271" s="1">
        <f>HYPERLINK("https://lsnyc.legalserver.org/matter/dynamic-profile/view/1894619","19-1894619")</f>
        <v>0</v>
      </c>
      <c r="E271" t="s">
        <v>381</v>
      </c>
      <c r="F271" t="s">
        <v>75</v>
      </c>
      <c r="G271" t="s">
        <v>80</v>
      </c>
      <c r="H271" t="s">
        <v>771</v>
      </c>
      <c r="J271" t="s">
        <v>1048</v>
      </c>
      <c r="K271" t="s">
        <v>1375</v>
      </c>
      <c r="L271" t="s">
        <v>1723</v>
      </c>
      <c r="M271" t="s">
        <v>1958</v>
      </c>
      <c r="N271" t="s">
        <v>288</v>
      </c>
      <c r="O271" t="s">
        <v>289</v>
      </c>
      <c r="P271">
        <v>11216</v>
      </c>
      <c r="Q271" t="s">
        <v>290</v>
      </c>
      <c r="R271" t="s">
        <v>290</v>
      </c>
      <c r="S271" t="s">
        <v>292</v>
      </c>
      <c r="T271" t="s">
        <v>2295</v>
      </c>
      <c r="U271">
        <v>14</v>
      </c>
      <c r="V271" t="s">
        <v>340</v>
      </c>
      <c r="W271" t="s">
        <v>346</v>
      </c>
      <c r="Y271" t="s">
        <v>348</v>
      </c>
      <c r="Z271" t="s">
        <v>350</v>
      </c>
      <c r="AC271" t="s">
        <v>352</v>
      </c>
      <c r="AE271" t="s">
        <v>372</v>
      </c>
      <c r="AF271">
        <v>2019</v>
      </c>
      <c r="AG271">
        <v>0</v>
      </c>
      <c r="AH271">
        <v>867</v>
      </c>
      <c r="AI271">
        <v>23.8</v>
      </c>
      <c r="AJ271" t="s">
        <v>2765</v>
      </c>
      <c r="AL271" t="s">
        <v>3191</v>
      </c>
      <c r="AM271">
        <v>0</v>
      </c>
      <c r="AO271">
        <v>2</v>
      </c>
      <c r="AP271">
        <v>2</v>
      </c>
      <c r="AQ271">
        <v>151.46</v>
      </c>
      <c r="AT271" t="s">
        <v>501</v>
      </c>
      <c r="AV271" t="s">
        <v>508</v>
      </c>
      <c r="AW271">
        <v>39000</v>
      </c>
      <c r="BA271" t="s">
        <v>522</v>
      </c>
      <c r="BD271" t="s">
        <v>540</v>
      </c>
      <c r="BE271" t="s">
        <v>3431</v>
      </c>
    </row>
    <row r="272" spans="1:58">
      <c r="A272" s="1">
        <f>HYPERLINK("https://lsnyc.legalserver.org/matter/dynamic-profile/view/1891099","19-1891099")</f>
        <v>0</v>
      </c>
      <c r="E272" t="s">
        <v>381</v>
      </c>
      <c r="F272" t="s">
        <v>63</v>
      </c>
      <c r="G272" t="s">
        <v>80</v>
      </c>
      <c r="H272" t="s">
        <v>563</v>
      </c>
      <c r="J272" t="s">
        <v>1049</v>
      </c>
      <c r="K272" t="s">
        <v>1376</v>
      </c>
      <c r="L272" t="s">
        <v>1724</v>
      </c>
      <c r="M272">
        <v>3</v>
      </c>
      <c r="N272" t="s">
        <v>288</v>
      </c>
      <c r="O272" t="s">
        <v>289</v>
      </c>
      <c r="P272">
        <v>11216</v>
      </c>
      <c r="Q272" t="s">
        <v>290</v>
      </c>
      <c r="R272" t="s">
        <v>290</v>
      </c>
      <c r="S272" t="s">
        <v>292</v>
      </c>
      <c r="T272" t="s">
        <v>2296</v>
      </c>
      <c r="U272">
        <v>4</v>
      </c>
      <c r="V272" t="s">
        <v>339</v>
      </c>
      <c r="W272" t="s">
        <v>346</v>
      </c>
      <c r="Y272" t="s">
        <v>348</v>
      </c>
      <c r="Z272" t="s">
        <v>350</v>
      </c>
      <c r="AC272" t="s">
        <v>352</v>
      </c>
      <c r="AD272" t="s">
        <v>356</v>
      </c>
      <c r="AE272" t="s">
        <v>372</v>
      </c>
      <c r="AF272">
        <v>2019</v>
      </c>
      <c r="AG272">
        <v>0</v>
      </c>
      <c r="AH272">
        <v>825</v>
      </c>
      <c r="AI272">
        <v>32.5</v>
      </c>
      <c r="AJ272" t="s">
        <v>2766</v>
      </c>
      <c r="AL272" t="s">
        <v>3192</v>
      </c>
      <c r="AM272">
        <v>8</v>
      </c>
      <c r="AN272" t="s">
        <v>493</v>
      </c>
      <c r="AO272">
        <v>1</v>
      </c>
      <c r="AP272">
        <v>0</v>
      </c>
      <c r="AQ272">
        <v>200.16</v>
      </c>
      <c r="AT272" t="s">
        <v>500</v>
      </c>
      <c r="AU272" t="s">
        <v>503</v>
      </c>
      <c r="AV272" t="s">
        <v>508</v>
      </c>
      <c r="AW272">
        <v>25000</v>
      </c>
      <c r="BA272" t="s">
        <v>3341</v>
      </c>
      <c r="BD272" t="s">
        <v>299</v>
      </c>
      <c r="BE272" t="s">
        <v>567</v>
      </c>
    </row>
    <row r="273" spans="1:58">
      <c r="A273" s="1">
        <f>HYPERLINK("https://lsnyc.legalserver.org/matter/dynamic-profile/view/1891609","19-1891609")</f>
        <v>0</v>
      </c>
      <c r="E273" t="s">
        <v>381</v>
      </c>
      <c r="F273" t="s">
        <v>59</v>
      </c>
      <c r="G273" t="s">
        <v>80</v>
      </c>
      <c r="H273" t="s">
        <v>767</v>
      </c>
      <c r="J273" t="s">
        <v>1050</v>
      </c>
      <c r="K273" t="s">
        <v>1377</v>
      </c>
      <c r="L273" t="s">
        <v>1725</v>
      </c>
      <c r="N273" t="s">
        <v>288</v>
      </c>
      <c r="O273" t="s">
        <v>289</v>
      </c>
      <c r="P273">
        <v>11216</v>
      </c>
      <c r="Q273" t="s">
        <v>290</v>
      </c>
      <c r="R273" t="s">
        <v>290</v>
      </c>
      <c r="S273" t="s">
        <v>292</v>
      </c>
      <c r="T273" t="s">
        <v>2297</v>
      </c>
      <c r="U273">
        <v>1</v>
      </c>
      <c r="V273" t="s">
        <v>339</v>
      </c>
      <c r="W273" t="s">
        <v>346</v>
      </c>
      <c r="Y273" t="s">
        <v>348</v>
      </c>
      <c r="Z273" t="s">
        <v>350</v>
      </c>
      <c r="AC273" t="s">
        <v>352</v>
      </c>
      <c r="AE273" t="s">
        <v>372</v>
      </c>
      <c r="AF273">
        <v>2019</v>
      </c>
      <c r="AG273">
        <v>0</v>
      </c>
      <c r="AH273">
        <v>2780</v>
      </c>
      <c r="AI273">
        <v>8.800000000000001</v>
      </c>
      <c r="AJ273" t="s">
        <v>2767</v>
      </c>
      <c r="AL273" t="s">
        <v>3193</v>
      </c>
      <c r="AM273">
        <v>0</v>
      </c>
      <c r="AO273">
        <v>2</v>
      </c>
      <c r="AP273">
        <v>2</v>
      </c>
      <c r="AQ273">
        <v>194.17</v>
      </c>
      <c r="AT273" t="s">
        <v>502</v>
      </c>
      <c r="AU273" t="s">
        <v>503</v>
      </c>
      <c r="AV273" t="s">
        <v>508</v>
      </c>
      <c r="AW273">
        <v>50000</v>
      </c>
      <c r="BA273" t="s">
        <v>522</v>
      </c>
      <c r="BD273" t="s">
        <v>537</v>
      </c>
      <c r="BE273" t="s">
        <v>821</v>
      </c>
      <c r="BF273" t="s">
        <v>600</v>
      </c>
    </row>
    <row r="274" spans="1:58">
      <c r="A274" s="1">
        <f>HYPERLINK("https://lsnyc.legalserver.org/matter/dynamic-profile/view/1893279","19-1893279")</f>
        <v>0</v>
      </c>
      <c r="E274" t="s">
        <v>381</v>
      </c>
      <c r="F274" t="s">
        <v>60</v>
      </c>
      <c r="G274" t="s">
        <v>80</v>
      </c>
      <c r="H274" t="s">
        <v>773</v>
      </c>
      <c r="J274" t="s">
        <v>140</v>
      </c>
      <c r="K274" t="s">
        <v>1150</v>
      </c>
      <c r="L274" t="s">
        <v>1726</v>
      </c>
      <c r="M274" t="s">
        <v>1952</v>
      </c>
      <c r="N274" t="s">
        <v>288</v>
      </c>
      <c r="O274" t="s">
        <v>289</v>
      </c>
      <c r="P274">
        <v>11216</v>
      </c>
      <c r="Q274" t="s">
        <v>290</v>
      </c>
      <c r="R274" t="s">
        <v>290</v>
      </c>
      <c r="S274" t="s">
        <v>292</v>
      </c>
      <c r="T274" t="s">
        <v>2298</v>
      </c>
      <c r="U274">
        <v>7</v>
      </c>
      <c r="V274" t="s">
        <v>339</v>
      </c>
      <c r="W274" t="s">
        <v>346</v>
      </c>
      <c r="Y274" t="s">
        <v>348</v>
      </c>
      <c r="Z274" t="s">
        <v>350</v>
      </c>
      <c r="AA274" t="s">
        <v>350</v>
      </c>
      <c r="AC274" t="s">
        <v>352</v>
      </c>
      <c r="AD274" t="s">
        <v>356</v>
      </c>
      <c r="AE274" t="s">
        <v>372</v>
      </c>
      <c r="AF274">
        <v>2019</v>
      </c>
      <c r="AG274">
        <v>0</v>
      </c>
      <c r="AH274">
        <v>1100</v>
      </c>
      <c r="AI274">
        <v>26.8</v>
      </c>
      <c r="AJ274" t="s">
        <v>2768</v>
      </c>
      <c r="AL274" t="s">
        <v>3194</v>
      </c>
      <c r="AM274">
        <v>0</v>
      </c>
      <c r="AN274" t="s">
        <v>493</v>
      </c>
      <c r="AO274">
        <v>3</v>
      </c>
      <c r="AP274">
        <v>0</v>
      </c>
      <c r="AQ274">
        <v>75.01000000000001</v>
      </c>
      <c r="AT274" t="s">
        <v>500</v>
      </c>
      <c r="AU274" t="s">
        <v>503</v>
      </c>
      <c r="AV274" t="s">
        <v>508</v>
      </c>
      <c r="AW274">
        <v>16000</v>
      </c>
      <c r="BA274" t="s">
        <v>522</v>
      </c>
      <c r="BD274" t="s">
        <v>537</v>
      </c>
      <c r="BE274" t="s">
        <v>576</v>
      </c>
    </row>
    <row r="275" spans="1:58">
      <c r="A275" s="1">
        <f>HYPERLINK("https://lsnyc.legalserver.org/matter/dynamic-profile/view/1892845","19-1892845")</f>
        <v>0</v>
      </c>
      <c r="E275" t="s">
        <v>381</v>
      </c>
      <c r="F275" t="s">
        <v>68</v>
      </c>
      <c r="G275" t="s">
        <v>80</v>
      </c>
      <c r="H275" t="s">
        <v>665</v>
      </c>
      <c r="J275" t="s">
        <v>841</v>
      </c>
      <c r="K275" t="s">
        <v>1378</v>
      </c>
      <c r="L275" t="s">
        <v>1727</v>
      </c>
      <c r="M275" t="s">
        <v>1969</v>
      </c>
      <c r="N275" t="s">
        <v>288</v>
      </c>
      <c r="O275" t="s">
        <v>289</v>
      </c>
      <c r="P275">
        <v>11213</v>
      </c>
      <c r="Q275" t="s">
        <v>290</v>
      </c>
      <c r="R275" t="s">
        <v>290</v>
      </c>
      <c r="S275" t="s">
        <v>295</v>
      </c>
      <c r="T275" t="s">
        <v>2299</v>
      </c>
      <c r="U275">
        <v>0</v>
      </c>
      <c r="V275" t="s">
        <v>340</v>
      </c>
      <c r="W275" t="s">
        <v>346</v>
      </c>
      <c r="Y275" t="s">
        <v>349</v>
      </c>
      <c r="Z275" t="s">
        <v>350</v>
      </c>
      <c r="AC275" t="s">
        <v>352</v>
      </c>
      <c r="AE275" t="s">
        <v>372</v>
      </c>
      <c r="AF275">
        <v>2019</v>
      </c>
      <c r="AG275">
        <v>0</v>
      </c>
      <c r="AH275">
        <v>725</v>
      </c>
      <c r="AI275">
        <v>17.9</v>
      </c>
      <c r="AJ275" t="s">
        <v>2769</v>
      </c>
      <c r="AL275" t="s">
        <v>3195</v>
      </c>
      <c r="AM275">
        <v>59</v>
      </c>
      <c r="AO275">
        <v>2</v>
      </c>
      <c r="AP275">
        <v>1</v>
      </c>
      <c r="AQ275">
        <v>318.8</v>
      </c>
      <c r="AT275" t="s">
        <v>501</v>
      </c>
      <c r="AV275" t="s">
        <v>508</v>
      </c>
      <c r="AW275">
        <v>68000</v>
      </c>
      <c r="BA275" t="s">
        <v>3341</v>
      </c>
      <c r="BD275" t="s">
        <v>3359</v>
      </c>
      <c r="BE275" t="s">
        <v>3457</v>
      </c>
    </row>
    <row r="276" spans="1:58">
      <c r="A276" s="1">
        <f>HYPERLINK("https://lsnyc.legalserver.org/matter/dynamic-profile/view/1893455","19-1893455")</f>
        <v>0</v>
      </c>
      <c r="E276" t="s">
        <v>381</v>
      </c>
      <c r="F276" t="s">
        <v>619</v>
      </c>
      <c r="G276" t="s">
        <v>80</v>
      </c>
      <c r="H276" t="s">
        <v>773</v>
      </c>
      <c r="J276" t="s">
        <v>1051</v>
      </c>
      <c r="K276" t="s">
        <v>1379</v>
      </c>
      <c r="L276" t="s">
        <v>1728</v>
      </c>
      <c r="M276" t="s">
        <v>276</v>
      </c>
      <c r="N276" t="s">
        <v>288</v>
      </c>
      <c r="O276" t="s">
        <v>289</v>
      </c>
      <c r="P276">
        <v>11213</v>
      </c>
      <c r="Q276" t="s">
        <v>290</v>
      </c>
      <c r="R276" t="s">
        <v>290</v>
      </c>
      <c r="S276" t="s">
        <v>295</v>
      </c>
      <c r="T276" t="s">
        <v>2300</v>
      </c>
      <c r="U276">
        <v>28</v>
      </c>
      <c r="V276" t="s">
        <v>340</v>
      </c>
      <c r="W276" t="s">
        <v>346</v>
      </c>
      <c r="Y276" t="s">
        <v>349</v>
      </c>
      <c r="Z276" t="s">
        <v>350</v>
      </c>
      <c r="AC276" t="s">
        <v>353</v>
      </c>
      <c r="AE276" t="s">
        <v>372</v>
      </c>
      <c r="AF276">
        <v>2019</v>
      </c>
      <c r="AG276">
        <v>0</v>
      </c>
      <c r="AH276">
        <v>0</v>
      </c>
      <c r="AI276">
        <v>10.75</v>
      </c>
      <c r="AJ276" t="s">
        <v>2770</v>
      </c>
      <c r="AL276" t="s">
        <v>3196</v>
      </c>
      <c r="AM276">
        <v>18</v>
      </c>
      <c r="AN276" t="s">
        <v>495</v>
      </c>
      <c r="AO276">
        <v>1</v>
      </c>
      <c r="AP276">
        <v>0</v>
      </c>
      <c r="AQ276">
        <v>193.59</v>
      </c>
      <c r="AT276" t="s">
        <v>500</v>
      </c>
      <c r="AU276" t="s">
        <v>503</v>
      </c>
      <c r="AW276">
        <v>24180</v>
      </c>
      <c r="BA276" t="s">
        <v>3341</v>
      </c>
      <c r="BD276" t="s">
        <v>537</v>
      </c>
      <c r="BE276" t="s">
        <v>3460</v>
      </c>
    </row>
    <row r="277" spans="1:58">
      <c r="A277" s="1">
        <f>HYPERLINK("https://lsnyc.legalserver.org/matter/dynamic-profile/view/1891257","19-1891257")</f>
        <v>0</v>
      </c>
      <c r="E277" t="s">
        <v>381</v>
      </c>
      <c r="F277" t="s">
        <v>75</v>
      </c>
      <c r="G277" t="s">
        <v>80</v>
      </c>
      <c r="H277" t="s">
        <v>764</v>
      </c>
      <c r="J277" t="s">
        <v>1052</v>
      </c>
      <c r="K277" t="s">
        <v>1380</v>
      </c>
      <c r="L277" t="s">
        <v>1729</v>
      </c>
      <c r="M277" t="s">
        <v>277</v>
      </c>
      <c r="N277" t="s">
        <v>288</v>
      </c>
      <c r="O277" t="s">
        <v>289</v>
      </c>
      <c r="P277">
        <v>11212</v>
      </c>
      <c r="Q277" t="s">
        <v>290</v>
      </c>
      <c r="R277" t="s">
        <v>290</v>
      </c>
      <c r="S277" t="s">
        <v>292</v>
      </c>
      <c r="T277" t="s">
        <v>2301</v>
      </c>
      <c r="U277">
        <v>8</v>
      </c>
      <c r="V277" t="s">
        <v>339</v>
      </c>
      <c r="W277" t="s">
        <v>346</v>
      </c>
      <c r="Y277" t="s">
        <v>348</v>
      </c>
      <c r="Z277" t="s">
        <v>350</v>
      </c>
      <c r="AC277" t="s">
        <v>352</v>
      </c>
      <c r="AE277" t="s">
        <v>372</v>
      </c>
      <c r="AF277">
        <v>2019</v>
      </c>
      <c r="AG277">
        <v>0</v>
      </c>
      <c r="AH277">
        <v>900</v>
      </c>
      <c r="AI277">
        <v>26.3</v>
      </c>
      <c r="AJ277" t="s">
        <v>2771</v>
      </c>
      <c r="AL277" t="s">
        <v>3197</v>
      </c>
      <c r="AM277">
        <v>6</v>
      </c>
      <c r="AO277">
        <v>2</v>
      </c>
      <c r="AP277">
        <v>0</v>
      </c>
      <c r="AQ277">
        <v>126.08</v>
      </c>
      <c r="AT277" t="s">
        <v>500</v>
      </c>
      <c r="AU277" t="s">
        <v>503</v>
      </c>
      <c r="AW277">
        <v>21320</v>
      </c>
      <c r="BA277" t="s">
        <v>3341</v>
      </c>
      <c r="BD277" t="s">
        <v>299</v>
      </c>
      <c r="BE277" t="s">
        <v>814</v>
      </c>
    </row>
    <row r="278" spans="1:58">
      <c r="A278" s="1">
        <f>HYPERLINK("https://lsnyc.legalserver.org/matter/dynamic-profile/view/1893364","19-1893364")</f>
        <v>0</v>
      </c>
      <c r="E278" t="s">
        <v>381</v>
      </c>
      <c r="F278" t="s">
        <v>69</v>
      </c>
      <c r="G278" t="s">
        <v>80</v>
      </c>
      <c r="H278" t="s">
        <v>773</v>
      </c>
      <c r="J278" t="s">
        <v>1053</v>
      </c>
      <c r="K278" t="s">
        <v>1381</v>
      </c>
      <c r="L278" t="s">
        <v>1730</v>
      </c>
      <c r="M278" t="s">
        <v>1970</v>
      </c>
      <c r="N278" t="s">
        <v>288</v>
      </c>
      <c r="O278" t="s">
        <v>289</v>
      </c>
      <c r="P278">
        <v>11210</v>
      </c>
      <c r="Q278" t="s">
        <v>290</v>
      </c>
      <c r="R278" t="s">
        <v>290</v>
      </c>
      <c r="S278" t="s">
        <v>295</v>
      </c>
      <c r="T278" t="s">
        <v>2302</v>
      </c>
      <c r="U278">
        <v>10</v>
      </c>
      <c r="V278" t="s">
        <v>339</v>
      </c>
      <c r="W278" t="s">
        <v>346</v>
      </c>
      <c r="Y278" t="s">
        <v>349</v>
      </c>
      <c r="Z278" t="s">
        <v>350</v>
      </c>
      <c r="AC278" t="s">
        <v>352</v>
      </c>
      <c r="AE278" t="s">
        <v>372</v>
      </c>
      <c r="AF278">
        <v>2019</v>
      </c>
      <c r="AG278">
        <v>0</v>
      </c>
      <c r="AH278">
        <v>961</v>
      </c>
      <c r="AI278">
        <v>20.6</v>
      </c>
      <c r="AJ278" t="s">
        <v>2772</v>
      </c>
      <c r="AL278" t="s">
        <v>3198</v>
      </c>
      <c r="AM278">
        <v>24</v>
      </c>
      <c r="AO278">
        <v>2</v>
      </c>
      <c r="AP278">
        <v>0</v>
      </c>
      <c r="AQ278">
        <v>85.18000000000001</v>
      </c>
      <c r="AT278" t="s">
        <v>500</v>
      </c>
      <c r="AV278" t="s">
        <v>508</v>
      </c>
      <c r="AW278">
        <v>14404</v>
      </c>
      <c r="BA278" t="s">
        <v>3342</v>
      </c>
      <c r="BD278" t="s">
        <v>3363</v>
      </c>
      <c r="BE278" t="s">
        <v>572</v>
      </c>
      <c r="BF278" t="s">
        <v>600</v>
      </c>
    </row>
    <row r="279" spans="1:58">
      <c r="A279" s="1">
        <f>HYPERLINK("https://lsnyc.legalserver.org/matter/dynamic-profile/view/1893417","19-1893417")</f>
        <v>0</v>
      </c>
      <c r="E279" t="s">
        <v>381</v>
      </c>
      <c r="F279" t="s">
        <v>59</v>
      </c>
      <c r="G279" t="s">
        <v>80</v>
      </c>
      <c r="H279" t="s">
        <v>773</v>
      </c>
      <c r="J279" t="s">
        <v>866</v>
      </c>
      <c r="K279" t="s">
        <v>1382</v>
      </c>
      <c r="L279" t="s">
        <v>1731</v>
      </c>
      <c r="M279" t="s">
        <v>265</v>
      </c>
      <c r="N279" t="s">
        <v>288</v>
      </c>
      <c r="O279" t="s">
        <v>289</v>
      </c>
      <c r="P279">
        <v>11210</v>
      </c>
      <c r="Q279" t="s">
        <v>290</v>
      </c>
      <c r="R279" t="s">
        <v>290</v>
      </c>
      <c r="S279" t="s">
        <v>295</v>
      </c>
      <c r="T279" t="s">
        <v>2303</v>
      </c>
      <c r="U279">
        <v>3</v>
      </c>
      <c r="V279" t="s">
        <v>339</v>
      </c>
      <c r="W279" t="s">
        <v>346</v>
      </c>
      <c r="Y279" t="s">
        <v>349</v>
      </c>
      <c r="Z279" t="s">
        <v>350</v>
      </c>
      <c r="AC279" t="s">
        <v>352</v>
      </c>
      <c r="AE279" t="s">
        <v>372</v>
      </c>
      <c r="AF279">
        <v>2019</v>
      </c>
      <c r="AG279">
        <v>0</v>
      </c>
      <c r="AH279">
        <v>1725</v>
      </c>
      <c r="AI279">
        <v>26.7</v>
      </c>
      <c r="AJ279" t="s">
        <v>2773</v>
      </c>
      <c r="AL279" t="s">
        <v>3199</v>
      </c>
      <c r="AM279">
        <v>0</v>
      </c>
      <c r="AO279">
        <v>4</v>
      </c>
      <c r="AP279">
        <v>3</v>
      </c>
      <c r="AQ279">
        <v>56.94</v>
      </c>
      <c r="AT279" t="s">
        <v>501</v>
      </c>
      <c r="AV279" t="s">
        <v>508</v>
      </c>
      <c r="AW279">
        <v>22212</v>
      </c>
      <c r="BA279" t="s">
        <v>3342</v>
      </c>
      <c r="BD279" t="s">
        <v>3358</v>
      </c>
      <c r="BE279" t="s">
        <v>3442</v>
      </c>
    </row>
    <row r="280" spans="1:58">
      <c r="A280" s="1">
        <f>HYPERLINK("https://lsnyc.legalserver.org/matter/dynamic-profile/view/1888400","19-1888400")</f>
        <v>0</v>
      </c>
      <c r="E280" t="s">
        <v>381</v>
      </c>
      <c r="F280" t="s">
        <v>75</v>
      </c>
      <c r="G280" t="s">
        <v>80</v>
      </c>
      <c r="H280" t="s">
        <v>775</v>
      </c>
      <c r="J280" t="s">
        <v>1054</v>
      </c>
      <c r="K280" t="s">
        <v>1383</v>
      </c>
      <c r="L280" t="s">
        <v>1732</v>
      </c>
      <c r="M280" t="s">
        <v>279</v>
      </c>
      <c r="N280" t="s">
        <v>288</v>
      </c>
      <c r="O280" t="s">
        <v>289</v>
      </c>
      <c r="P280">
        <v>11209</v>
      </c>
      <c r="Q280" t="s">
        <v>290</v>
      </c>
      <c r="R280" t="s">
        <v>290</v>
      </c>
      <c r="S280" t="s">
        <v>2030</v>
      </c>
      <c r="T280" t="s">
        <v>2304</v>
      </c>
      <c r="U280">
        <v>3</v>
      </c>
      <c r="V280" t="s">
        <v>339</v>
      </c>
      <c r="W280" t="s">
        <v>346</v>
      </c>
      <c r="Y280" t="s">
        <v>349</v>
      </c>
      <c r="Z280" t="s">
        <v>350</v>
      </c>
      <c r="AA280" t="s">
        <v>290</v>
      </c>
      <c r="AC280" t="s">
        <v>352</v>
      </c>
      <c r="AE280" t="s">
        <v>372</v>
      </c>
      <c r="AF280">
        <v>2019</v>
      </c>
      <c r="AG280">
        <v>0</v>
      </c>
      <c r="AH280">
        <v>2300</v>
      </c>
      <c r="AI280">
        <v>12.9</v>
      </c>
      <c r="AJ280" t="s">
        <v>2774</v>
      </c>
      <c r="AL280" t="s">
        <v>3200</v>
      </c>
      <c r="AM280">
        <v>50</v>
      </c>
      <c r="AN280" t="s">
        <v>493</v>
      </c>
      <c r="AO280">
        <v>2</v>
      </c>
      <c r="AP280">
        <v>1</v>
      </c>
      <c r="AQ280">
        <v>121.27</v>
      </c>
      <c r="AT280" t="s">
        <v>501</v>
      </c>
      <c r="AV280" t="s">
        <v>508</v>
      </c>
      <c r="AW280">
        <v>25200</v>
      </c>
      <c r="BA280" t="s">
        <v>533</v>
      </c>
      <c r="BD280" t="s">
        <v>299</v>
      </c>
      <c r="BE280" t="s">
        <v>768</v>
      </c>
    </row>
    <row r="281" spans="1:58">
      <c r="A281" s="1">
        <f>HYPERLINK("https://lsnyc.legalserver.org/matter/dynamic-profile/view/1895112","19-1895112")</f>
        <v>0</v>
      </c>
      <c r="E281" t="s">
        <v>381</v>
      </c>
      <c r="F281" t="s">
        <v>72</v>
      </c>
      <c r="G281" t="s">
        <v>80</v>
      </c>
      <c r="H281" t="s">
        <v>766</v>
      </c>
      <c r="J281" t="s">
        <v>937</v>
      </c>
      <c r="K281" t="s">
        <v>1256</v>
      </c>
      <c r="L281" t="s">
        <v>1592</v>
      </c>
      <c r="M281" t="s">
        <v>1914</v>
      </c>
      <c r="N281" t="s">
        <v>288</v>
      </c>
      <c r="O281" t="s">
        <v>289</v>
      </c>
      <c r="P281">
        <v>11208</v>
      </c>
      <c r="Q281" t="s">
        <v>290</v>
      </c>
      <c r="R281" t="s">
        <v>290</v>
      </c>
      <c r="S281" t="s">
        <v>293</v>
      </c>
      <c r="U281">
        <v>24</v>
      </c>
      <c r="V281" t="s">
        <v>339</v>
      </c>
      <c r="W281" t="s">
        <v>346</v>
      </c>
      <c r="Y281" t="s">
        <v>349</v>
      </c>
      <c r="Z281" t="s">
        <v>350</v>
      </c>
      <c r="AC281" t="s">
        <v>353</v>
      </c>
      <c r="AE281" t="s">
        <v>372</v>
      </c>
      <c r="AF281">
        <v>2019</v>
      </c>
      <c r="AG281">
        <v>0</v>
      </c>
      <c r="AH281">
        <v>1065</v>
      </c>
      <c r="AI281">
        <v>9.050000000000001</v>
      </c>
      <c r="AJ281" t="s">
        <v>2629</v>
      </c>
      <c r="AL281" t="s">
        <v>3069</v>
      </c>
      <c r="AM281">
        <v>78</v>
      </c>
      <c r="AN281" t="s">
        <v>495</v>
      </c>
      <c r="AO281">
        <v>3</v>
      </c>
      <c r="AP281">
        <v>0</v>
      </c>
      <c r="AQ281">
        <v>138.44</v>
      </c>
      <c r="AT281" t="s">
        <v>500</v>
      </c>
      <c r="AV281" t="s">
        <v>508</v>
      </c>
      <c r="AW281">
        <v>29530</v>
      </c>
      <c r="BA281" t="s">
        <v>3341</v>
      </c>
      <c r="BD281" t="s">
        <v>537</v>
      </c>
      <c r="BE281" t="s">
        <v>3436</v>
      </c>
    </row>
    <row r="282" spans="1:58">
      <c r="A282" s="1">
        <f>HYPERLINK("https://lsnyc.legalserver.org/matter/dynamic-profile/view/1892440","19-1892440")</f>
        <v>0</v>
      </c>
      <c r="E282" t="s">
        <v>381</v>
      </c>
      <c r="F282" t="s">
        <v>75</v>
      </c>
      <c r="G282" t="s">
        <v>80</v>
      </c>
      <c r="H282" t="s">
        <v>768</v>
      </c>
      <c r="J282" t="s">
        <v>1055</v>
      </c>
      <c r="K282" t="s">
        <v>1384</v>
      </c>
      <c r="L282" t="s">
        <v>1733</v>
      </c>
      <c r="M282" t="s">
        <v>1971</v>
      </c>
      <c r="N282" t="s">
        <v>288</v>
      </c>
      <c r="O282" t="s">
        <v>289</v>
      </c>
      <c r="P282">
        <v>11206</v>
      </c>
      <c r="Q282" t="s">
        <v>290</v>
      </c>
      <c r="R282" t="s">
        <v>290</v>
      </c>
      <c r="S282" t="s">
        <v>295</v>
      </c>
      <c r="T282" t="s">
        <v>2305</v>
      </c>
      <c r="U282">
        <v>27</v>
      </c>
      <c r="V282" t="s">
        <v>339</v>
      </c>
      <c r="W282" t="s">
        <v>346</v>
      </c>
      <c r="Y282" t="s">
        <v>349</v>
      </c>
      <c r="Z282" t="s">
        <v>350</v>
      </c>
      <c r="AC282" t="s">
        <v>353</v>
      </c>
      <c r="AE282" t="s">
        <v>372</v>
      </c>
      <c r="AF282">
        <v>2019</v>
      </c>
      <c r="AG282">
        <v>0</v>
      </c>
      <c r="AH282">
        <v>416</v>
      </c>
      <c r="AI282">
        <v>19.8</v>
      </c>
      <c r="AJ282" t="s">
        <v>2775</v>
      </c>
      <c r="AK282" t="s">
        <v>2928</v>
      </c>
      <c r="AL282" t="s">
        <v>3201</v>
      </c>
      <c r="AM282">
        <v>0</v>
      </c>
      <c r="AO282">
        <v>1</v>
      </c>
      <c r="AP282">
        <v>2</v>
      </c>
      <c r="AQ282">
        <v>18</v>
      </c>
      <c r="AT282" t="s">
        <v>501</v>
      </c>
      <c r="AV282" t="s">
        <v>509</v>
      </c>
      <c r="AW282">
        <v>3840</v>
      </c>
      <c r="BA282" t="s">
        <v>3342</v>
      </c>
      <c r="BD282" t="s">
        <v>3357</v>
      </c>
      <c r="BE282" t="s">
        <v>559</v>
      </c>
    </row>
    <row r="283" spans="1:58">
      <c r="A283" s="1">
        <f>HYPERLINK("https://lsnyc.legalserver.org/matter/dynamic-profile/view/1892210","19-1892210")</f>
        <v>0</v>
      </c>
      <c r="E283" t="s">
        <v>381</v>
      </c>
      <c r="F283" t="s">
        <v>75</v>
      </c>
      <c r="G283" t="s">
        <v>80</v>
      </c>
      <c r="H283" t="s">
        <v>776</v>
      </c>
      <c r="J283" t="s">
        <v>1056</v>
      </c>
      <c r="K283" t="s">
        <v>1385</v>
      </c>
      <c r="L283" t="s">
        <v>1734</v>
      </c>
      <c r="M283" t="s">
        <v>265</v>
      </c>
      <c r="N283" t="s">
        <v>288</v>
      </c>
      <c r="O283" t="s">
        <v>289</v>
      </c>
      <c r="P283">
        <v>11205</v>
      </c>
      <c r="Q283" t="s">
        <v>290</v>
      </c>
      <c r="R283" t="s">
        <v>290</v>
      </c>
      <c r="S283" t="s">
        <v>295</v>
      </c>
      <c r="T283" t="s">
        <v>2306</v>
      </c>
      <c r="U283">
        <v>8</v>
      </c>
      <c r="V283" t="s">
        <v>339</v>
      </c>
      <c r="W283" t="s">
        <v>346</v>
      </c>
      <c r="Y283" t="s">
        <v>349</v>
      </c>
      <c r="Z283" t="s">
        <v>350</v>
      </c>
      <c r="AC283" t="s">
        <v>352</v>
      </c>
      <c r="AE283" t="s">
        <v>372</v>
      </c>
      <c r="AF283">
        <v>2019</v>
      </c>
      <c r="AG283">
        <v>0</v>
      </c>
      <c r="AH283">
        <v>1835</v>
      </c>
      <c r="AI283">
        <v>4.2</v>
      </c>
      <c r="AJ283" t="s">
        <v>2776</v>
      </c>
      <c r="AL283" t="s">
        <v>3202</v>
      </c>
      <c r="AM283">
        <v>80</v>
      </c>
      <c r="AO283">
        <v>1</v>
      </c>
      <c r="AP283">
        <v>0</v>
      </c>
      <c r="AQ283">
        <v>105.68</v>
      </c>
      <c r="AT283" t="s">
        <v>500</v>
      </c>
      <c r="AU283" t="s">
        <v>299</v>
      </c>
      <c r="AV283" t="s">
        <v>508</v>
      </c>
      <c r="AW283">
        <v>13200</v>
      </c>
      <c r="BA283" t="s">
        <v>3342</v>
      </c>
      <c r="BD283" t="s">
        <v>299</v>
      </c>
      <c r="BE283" t="s">
        <v>808</v>
      </c>
    </row>
    <row r="284" spans="1:58">
      <c r="A284" s="1">
        <f>HYPERLINK("https://lsnyc.legalserver.org/matter/dynamic-profile/view/1891595","19-1891595")</f>
        <v>0</v>
      </c>
      <c r="E284" t="s">
        <v>381</v>
      </c>
      <c r="F284" t="s">
        <v>67</v>
      </c>
      <c r="G284" t="s">
        <v>80</v>
      </c>
      <c r="H284" t="s">
        <v>767</v>
      </c>
      <c r="J284" t="s">
        <v>860</v>
      </c>
      <c r="K284" t="s">
        <v>852</v>
      </c>
      <c r="L284" t="s">
        <v>1735</v>
      </c>
      <c r="M284" t="s">
        <v>1864</v>
      </c>
      <c r="N284" t="s">
        <v>288</v>
      </c>
      <c r="O284" t="s">
        <v>289</v>
      </c>
      <c r="P284">
        <v>11203</v>
      </c>
      <c r="Q284" t="s">
        <v>290</v>
      </c>
      <c r="R284" t="s">
        <v>290</v>
      </c>
      <c r="S284" t="s">
        <v>295</v>
      </c>
      <c r="T284" t="s">
        <v>2307</v>
      </c>
      <c r="U284">
        <v>37</v>
      </c>
      <c r="V284" t="s">
        <v>340</v>
      </c>
      <c r="W284" t="s">
        <v>346</v>
      </c>
      <c r="Y284" t="s">
        <v>349</v>
      </c>
      <c r="Z284" t="s">
        <v>350</v>
      </c>
      <c r="AA284" t="s">
        <v>350</v>
      </c>
      <c r="AC284" t="s">
        <v>352</v>
      </c>
      <c r="AD284" t="s">
        <v>356</v>
      </c>
      <c r="AE284" t="s">
        <v>372</v>
      </c>
      <c r="AF284">
        <v>2019</v>
      </c>
      <c r="AG284">
        <v>0</v>
      </c>
      <c r="AH284">
        <v>0</v>
      </c>
      <c r="AI284">
        <v>45.8</v>
      </c>
      <c r="AJ284" t="s">
        <v>2777</v>
      </c>
      <c r="AL284" t="s">
        <v>3203</v>
      </c>
      <c r="AM284">
        <v>4</v>
      </c>
      <c r="AN284" t="s">
        <v>496</v>
      </c>
      <c r="AO284">
        <v>1</v>
      </c>
      <c r="AP284">
        <v>0</v>
      </c>
      <c r="AQ284">
        <v>0</v>
      </c>
      <c r="AT284" t="s">
        <v>500</v>
      </c>
      <c r="AU284" t="s">
        <v>503</v>
      </c>
      <c r="AV284" t="s">
        <v>508</v>
      </c>
      <c r="AW284">
        <v>0</v>
      </c>
      <c r="BA284" t="s">
        <v>522</v>
      </c>
      <c r="BD284" t="s">
        <v>3368</v>
      </c>
      <c r="BE284" t="s">
        <v>810</v>
      </c>
    </row>
    <row r="285" spans="1:58">
      <c r="A285" s="1">
        <f>HYPERLINK("https://lsnyc.legalserver.org/matter/dynamic-profile/view/1894775","19-1894775")</f>
        <v>0</v>
      </c>
      <c r="E285" t="s">
        <v>381</v>
      </c>
      <c r="F285" t="s">
        <v>623</v>
      </c>
      <c r="G285" t="s">
        <v>80</v>
      </c>
      <c r="H285" t="s">
        <v>638</v>
      </c>
      <c r="J285" t="s">
        <v>1057</v>
      </c>
      <c r="K285" t="s">
        <v>1386</v>
      </c>
      <c r="L285" t="s">
        <v>1736</v>
      </c>
      <c r="M285" t="s">
        <v>1972</v>
      </c>
      <c r="N285" t="s">
        <v>288</v>
      </c>
      <c r="O285" t="s">
        <v>289</v>
      </c>
      <c r="P285">
        <v>11203</v>
      </c>
      <c r="Q285" t="s">
        <v>290</v>
      </c>
      <c r="R285" t="s">
        <v>290</v>
      </c>
      <c r="S285" t="s">
        <v>295</v>
      </c>
      <c r="T285" t="s">
        <v>2308</v>
      </c>
      <c r="U285">
        <v>0</v>
      </c>
      <c r="V285" t="s">
        <v>340</v>
      </c>
      <c r="W285" t="s">
        <v>346</v>
      </c>
      <c r="Y285" t="s">
        <v>349</v>
      </c>
      <c r="Z285" t="s">
        <v>350</v>
      </c>
      <c r="AC285" t="s">
        <v>352</v>
      </c>
      <c r="AE285" t="s">
        <v>372</v>
      </c>
      <c r="AF285">
        <v>2019</v>
      </c>
      <c r="AG285">
        <v>0</v>
      </c>
      <c r="AH285">
        <v>1725</v>
      </c>
      <c r="AI285">
        <v>9.15</v>
      </c>
      <c r="AJ285" t="s">
        <v>2778</v>
      </c>
      <c r="AL285" t="s">
        <v>3204</v>
      </c>
      <c r="AM285">
        <v>0</v>
      </c>
      <c r="AO285">
        <v>1</v>
      </c>
      <c r="AP285">
        <v>0</v>
      </c>
      <c r="AQ285">
        <v>128.65</v>
      </c>
      <c r="AT285" t="s">
        <v>500</v>
      </c>
      <c r="AU285" t="s">
        <v>503</v>
      </c>
      <c r="AV285" t="s">
        <v>508</v>
      </c>
      <c r="AW285">
        <v>16068</v>
      </c>
      <c r="BA285" t="s">
        <v>3342</v>
      </c>
      <c r="BD285" t="s">
        <v>554</v>
      </c>
      <c r="BE285" t="s">
        <v>779</v>
      </c>
    </row>
    <row r="286" spans="1:58">
      <c r="A286" s="1">
        <f>HYPERLINK("https://lsnyc.legalserver.org/matter/dynamic-profile/view/1893114","19-1893114")</f>
        <v>0</v>
      </c>
      <c r="E286" t="s">
        <v>381</v>
      </c>
      <c r="F286" t="s">
        <v>632</v>
      </c>
      <c r="G286" t="s">
        <v>80</v>
      </c>
      <c r="H286" t="s">
        <v>777</v>
      </c>
      <c r="J286" t="s">
        <v>1058</v>
      </c>
      <c r="K286" t="s">
        <v>1387</v>
      </c>
      <c r="L286" t="s">
        <v>1737</v>
      </c>
      <c r="M286" t="s">
        <v>1973</v>
      </c>
      <c r="N286" t="s">
        <v>288</v>
      </c>
      <c r="O286" t="s">
        <v>289</v>
      </c>
      <c r="P286">
        <v>11205</v>
      </c>
      <c r="Q286" t="s">
        <v>350</v>
      </c>
      <c r="R286" t="s">
        <v>291</v>
      </c>
      <c r="S286" t="s">
        <v>2030</v>
      </c>
      <c r="T286" t="s">
        <v>2309</v>
      </c>
      <c r="U286">
        <v>25</v>
      </c>
      <c r="V286" t="s">
        <v>339</v>
      </c>
      <c r="W286" t="s">
        <v>346</v>
      </c>
      <c r="Y286" t="s">
        <v>349</v>
      </c>
      <c r="Z286" t="s">
        <v>350</v>
      </c>
      <c r="AC286" t="s">
        <v>352</v>
      </c>
      <c r="AE286" t="s">
        <v>2495</v>
      </c>
      <c r="AF286">
        <v>2019</v>
      </c>
      <c r="AG286">
        <v>0</v>
      </c>
      <c r="AH286">
        <v>1141.97</v>
      </c>
      <c r="AI286">
        <v>47</v>
      </c>
      <c r="AJ286" t="s">
        <v>2779</v>
      </c>
      <c r="AL286" t="s">
        <v>3205</v>
      </c>
      <c r="AM286">
        <v>30</v>
      </c>
      <c r="AN286" t="s">
        <v>493</v>
      </c>
      <c r="AO286">
        <v>1</v>
      </c>
      <c r="AP286">
        <v>0</v>
      </c>
      <c r="AQ286">
        <v>192.15</v>
      </c>
      <c r="AT286" t="s">
        <v>500</v>
      </c>
      <c r="AV286" t="s">
        <v>508</v>
      </c>
      <c r="AW286">
        <v>24000</v>
      </c>
      <c r="BA286" t="s">
        <v>530</v>
      </c>
      <c r="BD286" t="s">
        <v>537</v>
      </c>
      <c r="BE286" t="s">
        <v>3461</v>
      </c>
      <c r="BF286" t="s">
        <v>600</v>
      </c>
    </row>
    <row r="287" spans="1:58">
      <c r="A287" s="1">
        <f>HYPERLINK("https://lsnyc.legalserver.org/matter/dynamic-profile/view/1894618","19-1894618")</f>
        <v>0</v>
      </c>
      <c r="E287" t="s">
        <v>381</v>
      </c>
      <c r="F287" t="s">
        <v>74</v>
      </c>
      <c r="G287" t="s">
        <v>80</v>
      </c>
      <c r="H287" t="s">
        <v>771</v>
      </c>
      <c r="J287" t="s">
        <v>1059</v>
      </c>
      <c r="K287" t="s">
        <v>1219</v>
      </c>
      <c r="L287" t="s">
        <v>1738</v>
      </c>
      <c r="M287" t="s">
        <v>1974</v>
      </c>
      <c r="N287" t="s">
        <v>288</v>
      </c>
      <c r="O287" t="s">
        <v>289</v>
      </c>
      <c r="P287">
        <v>11221</v>
      </c>
      <c r="Q287" t="s">
        <v>290</v>
      </c>
      <c r="R287" t="s">
        <v>290</v>
      </c>
      <c r="S287" t="s">
        <v>292</v>
      </c>
      <c r="T287" t="s">
        <v>2310</v>
      </c>
      <c r="U287">
        <v>10</v>
      </c>
      <c r="V287" t="s">
        <v>340</v>
      </c>
      <c r="W287" t="s">
        <v>346</v>
      </c>
      <c r="Y287" t="s">
        <v>348</v>
      </c>
      <c r="Z287" t="s">
        <v>350</v>
      </c>
      <c r="AA287" t="s">
        <v>350</v>
      </c>
      <c r="AC287" t="s">
        <v>352</v>
      </c>
      <c r="AD287" t="s">
        <v>356</v>
      </c>
      <c r="AE287" t="s">
        <v>2496</v>
      </c>
      <c r="AF287">
        <v>2019</v>
      </c>
      <c r="AG287">
        <v>0</v>
      </c>
      <c r="AH287">
        <v>542.58</v>
      </c>
      <c r="AI287">
        <v>25.55</v>
      </c>
      <c r="AJ287" t="s">
        <v>2780</v>
      </c>
      <c r="AM287">
        <v>16</v>
      </c>
      <c r="AN287" t="s">
        <v>493</v>
      </c>
      <c r="AO287">
        <v>5</v>
      </c>
      <c r="AP287">
        <v>1</v>
      </c>
      <c r="AQ287">
        <v>67.78</v>
      </c>
      <c r="AT287" t="s">
        <v>501</v>
      </c>
      <c r="AV287" t="s">
        <v>508</v>
      </c>
      <c r="AW287">
        <v>23444</v>
      </c>
      <c r="BA287" t="s">
        <v>3342</v>
      </c>
      <c r="BD287" t="s">
        <v>3359</v>
      </c>
      <c r="BE287" t="s">
        <v>586</v>
      </c>
    </row>
    <row r="288" spans="1:58">
      <c r="A288" s="1">
        <f>HYPERLINK("https://lsnyc.legalserver.org/matter/dynamic-profile/view/1894464","19-1894464")</f>
        <v>0</v>
      </c>
      <c r="E288" t="s">
        <v>381</v>
      </c>
      <c r="F288" t="s">
        <v>74</v>
      </c>
      <c r="G288" t="s">
        <v>80</v>
      </c>
      <c r="H288" t="s">
        <v>669</v>
      </c>
      <c r="J288" t="s">
        <v>1060</v>
      </c>
      <c r="K288" t="s">
        <v>1388</v>
      </c>
      <c r="L288" t="s">
        <v>1738</v>
      </c>
      <c r="M288" t="s">
        <v>1975</v>
      </c>
      <c r="N288" t="s">
        <v>288</v>
      </c>
      <c r="O288" t="s">
        <v>289</v>
      </c>
      <c r="P288">
        <v>11221</v>
      </c>
      <c r="Q288" t="s">
        <v>290</v>
      </c>
      <c r="R288" t="s">
        <v>290</v>
      </c>
      <c r="S288" t="s">
        <v>292</v>
      </c>
      <c r="T288" t="s">
        <v>2311</v>
      </c>
      <c r="U288">
        <v>3</v>
      </c>
      <c r="V288" t="s">
        <v>339</v>
      </c>
      <c r="W288" t="s">
        <v>346</v>
      </c>
      <c r="Y288" t="s">
        <v>348</v>
      </c>
      <c r="Z288" t="s">
        <v>350</v>
      </c>
      <c r="AA288" t="s">
        <v>350</v>
      </c>
      <c r="AC288" t="s">
        <v>352</v>
      </c>
      <c r="AD288" t="s">
        <v>2443</v>
      </c>
      <c r="AE288" t="s">
        <v>2496</v>
      </c>
      <c r="AF288">
        <v>2019</v>
      </c>
      <c r="AG288">
        <v>0</v>
      </c>
      <c r="AH288">
        <v>504</v>
      </c>
      <c r="AI288">
        <v>6.95</v>
      </c>
      <c r="AJ288" t="s">
        <v>2781</v>
      </c>
      <c r="AL288" t="s">
        <v>3206</v>
      </c>
      <c r="AM288">
        <v>16</v>
      </c>
      <c r="AN288" t="s">
        <v>493</v>
      </c>
      <c r="AO288">
        <v>1</v>
      </c>
      <c r="AP288">
        <v>2</v>
      </c>
      <c r="AQ288">
        <v>151.15</v>
      </c>
      <c r="AT288" t="s">
        <v>501</v>
      </c>
      <c r="AU288" t="s">
        <v>507</v>
      </c>
      <c r="AV288" t="s">
        <v>508</v>
      </c>
      <c r="AW288">
        <v>32240</v>
      </c>
      <c r="BA288" t="s">
        <v>3342</v>
      </c>
      <c r="BB288" t="s">
        <v>535</v>
      </c>
      <c r="BD288" t="s">
        <v>540</v>
      </c>
      <c r="BE288" t="s">
        <v>586</v>
      </c>
    </row>
    <row r="289" spans="1:58">
      <c r="A289" s="1">
        <f>HYPERLINK("https://lsnyc.legalserver.org/matter/dynamic-profile/view/1892472","19-1892472")</f>
        <v>0</v>
      </c>
      <c r="E289" t="s">
        <v>381</v>
      </c>
      <c r="F289" t="s">
        <v>629</v>
      </c>
      <c r="G289" t="s">
        <v>80</v>
      </c>
      <c r="H289" t="s">
        <v>661</v>
      </c>
      <c r="J289" t="s">
        <v>1061</v>
      </c>
      <c r="K289" t="s">
        <v>1148</v>
      </c>
      <c r="L289" t="s">
        <v>1739</v>
      </c>
      <c r="M289" t="s">
        <v>1976</v>
      </c>
      <c r="N289" t="s">
        <v>288</v>
      </c>
      <c r="O289" t="s">
        <v>289</v>
      </c>
      <c r="P289">
        <v>11216</v>
      </c>
      <c r="Q289" t="s">
        <v>290</v>
      </c>
      <c r="R289" t="s">
        <v>290</v>
      </c>
      <c r="S289" t="s">
        <v>292</v>
      </c>
      <c r="T289" t="s">
        <v>2312</v>
      </c>
      <c r="U289">
        <v>34</v>
      </c>
      <c r="V289" t="s">
        <v>340</v>
      </c>
      <c r="W289" t="s">
        <v>346</v>
      </c>
      <c r="Y289" t="s">
        <v>348</v>
      </c>
      <c r="Z289" t="s">
        <v>350</v>
      </c>
      <c r="AA289" t="s">
        <v>350</v>
      </c>
      <c r="AC289" t="s">
        <v>352</v>
      </c>
      <c r="AD289" t="s">
        <v>356</v>
      </c>
      <c r="AE289" t="s">
        <v>2497</v>
      </c>
      <c r="AF289">
        <v>2019</v>
      </c>
      <c r="AG289">
        <v>0</v>
      </c>
      <c r="AH289">
        <v>0.01</v>
      </c>
      <c r="AI289">
        <v>25.2</v>
      </c>
      <c r="AJ289" t="s">
        <v>2782</v>
      </c>
      <c r="AL289" t="s">
        <v>3207</v>
      </c>
      <c r="AM289">
        <v>2</v>
      </c>
      <c r="AN289" t="s">
        <v>496</v>
      </c>
      <c r="AO289">
        <v>1</v>
      </c>
      <c r="AP289">
        <v>0</v>
      </c>
      <c r="AQ289">
        <v>144.12</v>
      </c>
      <c r="AT289" t="s">
        <v>500</v>
      </c>
      <c r="AU289" t="s">
        <v>503</v>
      </c>
      <c r="AV289" t="s">
        <v>509</v>
      </c>
      <c r="AW289">
        <v>18000</v>
      </c>
      <c r="BA289" t="s">
        <v>3342</v>
      </c>
      <c r="BD289" t="s">
        <v>3358</v>
      </c>
      <c r="BE289" t="s">
        <v>806</v>
      </c>
      <c r="BF289" t="s">
        <v>600</v>
      </c>
    </row>
    <row r="290" spans="1:58">
      <c r="A290" s="1">
        <f>HYPERLINK("https://lsnyc.legalserver.org/matter/dynamic-profile/view/1895738","19-1895738")</f>
        <v>0</v>
      </c>
      <c r="E290" t="s">
        <v>381</v>
      </c>
      <c r="F290" t="s">
        <v>74</v>
      </c>
      <c r="G290" t="s">
        <v>80</v>
      </c>
      <c r="H290" t="s">
        <v>778</v>
      </c>
      <c r="J290" t="s">
        <v>1017</v>
      </c>
      <c r="K290" t="s">
        <v>1341</v>
      </c>
      <c r="L290" t="s">
        <v>1685</v>
      </c>
      <c r="M290" t="s">
        <v>1953</v>
      </c>
      <c r="N290" t="s">
        <v>288</v>
      </c>
      <c r="O290" t="s">
        <v>289</v>
      </c>
      <c r="P290">
        <v>11213</v>
      </c>
      <c r="Q290" t="s">
        <v>290</v>
      </c>
      <c r="R290" t="s">
        <v>291</v>
      </c>
      <c r="S290" t="s">
        <v>293</v>
      </c>
      <c r="T290" t="s">
        <v>2313</v>
      </c>
      <c r="U290">
        <v>28</v>
      </c>
      <c r="V290" t="s">
        <v>340</v>
      </c>
      <c r="W290" t="s">
        <v>346</v>
      </c>
      <c r="Y290" t="s">
        <v>349</v>
      </c>
      <c r="Z290" t="s">
        <v>350</v>
      </c>
      <c r="AC290" t="s">
        <v>352</v>
      </c>
      <c r="AE290" t="s">
        <v>2454</v>
      </c>
      <c r="AF290">
        <v>2019</v>
      </c>
      <c r="AG290">
        <v>0</v>
      </c>
      <c r="AH290">
        <v>624.37</v>
      </c>
      <c r="AI290">
        <v>8.75</v>
      </c>
      <c r="AJ290" t="s">
        <v>2726</v>
      </c>
      <c r="AK290" t="s">
        <v>2929</v>
      </c>
      <c r="AL290" t="s">
        <v>3158</v>
      </c>
      <c r="AM290">
        <v>20</v>
      </c>
      <c r="AN290" t="s">
        <v>493</v>
      </c>
      <c r="AO290">
        <v>1</v>
      </c>
      <c r="AP290">
        <v>0</v>
      </c>
      <c r="AQ290">
        <v>53.95</v>
      </c>
      <c r="AT290" t="s">
        <v>501</v>
      </c>
      <c r="AV290" t="s">
        <v>508</v>
      </c>
      <c r="AW290">
        <v>6738</v>
      </c>
      <c r="BA290" t="s">
        <v>530</v>
      </c>
      <c r="BD290" t="s">
        <v>3407</v>
      </c>
      <c r="BE290" t="s">
        <v>586</v>
      </c>
      <c r="BF290" t="s">
        <v>600</v>
      </c>
    </row>
    <row r="291" spans="1:58">
      <c r="A291" s="1">
        <f>HYPERLINK("https://lsnyc.legalserver.org/matter/dynamic-profile/view/1898324","19-1898324")</f>
        <v>0</v>
      </c>
      <c r="E291" t="s">
        <v>381</v>
      </c>
      <c r="F291" t="s">
        <v>635</v>
      </c>
      <c r="G291" t="s">
        <v>80</v>
      </c>
      <c r="H291" t="s">
        <v>779</v>
      </c>
      <c r="J291" t="s">
        <v>863</v>
      </c>
      <c r="K291" t="s">
        <v>180</v>
      </c>
      <c r="L291" t="s">
        <v>1740</v>
      </c>
      <c r="M291" t="s">
        <v>1977</v>
      </c>
      <c r="N291" t="s">
        <v>288</v>
      </c>
      <c r="O291" t="s">
        <v>289</v>
      </c>
      <c r="P291">
        <v>11216</v>
      </c>
      <c r="Q291" t="s">
        <v>290</v>
      </c>
      <c r="R291" t="s">
        <v>290</v>
      </c>
      <c r="S291" t="s">
        <v>295</v>
      </c>
      <c r="T291" t="s">
        <v>2314</v>
      </c>
      <c r="U291">
        <v>16</v>
      </c>
      <c r="V291" t="s">
        <v>339</v>
      </c>
      <c r="W291" t="s">
        <v>346</v>
      </c>
      <c r="Y291" t="s">
        <v>348</v>
      </c>
      <c r="Z291" t="s">
        <v>350</v>
      </c>
      <c r="AC291" t="s">
        <v>352</v>
      </c>
      <c r="AE291" t="s">
        <v>2498</v>
      </c>
      <c r="AF291">
        <v>2019</v>
      </c>
      <c r="AG291">
        <v>0</v>
      </c>
      <c r="AH291">
        <v>1137</v>
      </c>
      <c r="AI291">
        <v>18.5</v>
      </c>
      <c r="AJ291" t="s">
        <v>2783</v>
      </c>
      <c r="AL291" t="s">
        <v>3208</v>
      </c>
      <c r="AM291">
        <v>6</v>
      </c>
      <c r="AN291" t="s">
        <v>3320</v>
      </c>
      <c r="AO291">
        <v>1</v>
      </c>
      <c r="AP291">
        <v>0</v>
      </c>
      <c r="AQ291">
        <v>112.7</v>
      </c>
      <c r="AU291" t="s">
        <v>507</v>
      </c>
      <c r="AV291" t="s">
        <v>508</v>
      </c>
      <c r="AW291">
        <v>14076</v>
      </c>
      <c r="BA291" t="s">
        <v>530</v>
      </c>
      <c r="BD291" t="s">
        <v>554</v>
      </c>
      <c r="BE291" t="s">
        <v>3443</v>
      </c>
    </row>
    <row r="292" spans="1:58">
      <c r="A292" s="1">
        <f>HYPERLINK("https://lsnyc.legalserver.org/matter/dynamic-profile/view/1894415","19-1894415")</f>
        <v>0</v>
      </c>
      <c r="E292" t="s">
        <v>381</v>
      </c>
      <c r="F292" t="s">
        <v>72</v>
      </c>
      <c r="G292" t="s">
        <v>80</v>
      </c>
      <c r="H292" t="s">
        <v>774</v>
      </c>
      <c r="J292" t="s">
        <v>1004</v>
      </c>
      <c r="K292" t="s">
        <v>1328</v>
      </c>
      <c r="L292" t="s">
        <v>1673</v>
      </c>
      <c r="M292" t="s">
        <v>277</v>
      </c>
      <c r="N292" t="s">
        <v>288</v>
      </c>
      <c r="O292" t="s">
        <v>289</v>
      </c>
      <c r="P292">
        <v>11223</v>
      </c>
      <c r="Q292" t="s">
        <v>290</v>
      </c>
      <c r="R292" t="s">
        <v>290</v>
      </c>
      <c r="S292" t="s">
        <v>293</v>
      </c>
      <c r="T292" t="s">
        <v>2240</v>
      </c>
      <c r="U292">
        <v>11</v>
      </c>
      <c r="V292" t="s">
        <v>2435</v>
      </c>
      <c r="W292" t="s">
        <v>347</v>
      </c>
      <c r="Y292" t="s">
        <v>349</v>
      </c>
      <c r="Z292" t="s">
        <v>350</v>
      </c>
      <c r="AC292" t="s">
        <v>352</v>
      </c>
      <c r="AE292" t="s">
        <v>357</v>
      </c>
      <c r="AF292">
        <v>2019</v>
      </c>
      <c r="AG292">
        <v>0</v>
      </c>
      <c r="AH292">
        <v>1208.92</v>
      </c>
      <c r="AI292">
        <v>16.7</v>
      </c>
      <c r="AJ292" t="s">
        <v>2712</v>
      </c>
      <c r="AL292" t="s">
        <v>3146</v>
      </c>
      <c r="AM292">
        <v>6</v>
      </c>
      <c r="AO292">
        <v>2</v>
      </c>
      <c r="AP292">
        <v>0</v>
      </c>
      <c r="AQ292">
        <v>177.41</v>
      </c>
      <c r="AT292" t="s">
        <v>500</v>
      </c>
      <c r="AU292" t="s">
        <v>503</v>
      </c>
      <c r="AW292">
        <v>30000</v>
      </c>
      <c r="BA292" t="s">
        <v>3341</v>
      </c>
      <c r="BD292" t="s">
        <v>537</v>
      </c>
      <c r="BE292" t="s">
        <v>807</v>
      </c>
      <c r="BF292" t="s">
        <v>600</v>
      </c>
    </row>
    <row r="293" spans="1:58">
      <c r="A293" s="1">
        <f>HYPERLINK("https://lsnyc.legalserver.org/matter/dynamic-profile/view/1873427","18-1873427")</f>
        <v>0</v>
      </c>
      <c r="E293" t="s">
        <v>381</v>
      </c>
      <c r="F293" t="s">
        <v>72</v>
      </c>
      <c r="G293" t="s">
        <v>80</v>
      </c>
      <c r="H293" t="s">
        <v>780</v>
      </c>
      <c r="J293" t="s">
        <v>146</v>
      </c>
      <c r="K293" t="s">
        <v>1389</v>
      </c>
      <c r="L293" t="s">
        <v>1741</v>
      </c>
      <c r="M293" t="s">
        <v>1978</v>
      </c>
      <c r="N293" t="s">
        <v>288</v>
      </c>
      <c r="O293" t="s">
        <v>289</v>
      </c>
      <c r="P293">
        <v>11203</v>
      </c>
      <c r="Q293" t="s">
        <v>290</v>
      </c>
      <c r="R293" t="s">
        <v>291</v>
      </c>
      <c r="U293">
        <v>0</v>
      </c>
      <c r="V293" t="s">
        <v>340</v>
      </c>
      <c r="W293" t="s">
        <v>347</v>
      </c>
      <c r="Y293" t="s">
        <v>349</v>
      </c>
      <c r="Z293" t="s">
        <v>350</v>
      </c>
      <c r="AC293" t="s">
        <v>352</v>
      </c>
      <c r="AE293" t="s">
        <v>357</v>
      </c>
      <c r="AF293">
        <v>2019</v>
      </c>
      <c r="AG293">
        <v>0</v>
      </c>
      <c r="AH293">
        <v>0</v>
      </c>
      <c r="AI293">
        <v>0</v>
      </c>
      <c r="AJ293" t="s">
        <v>2784</v>
      </c>
      <c r="AK293" t="s">
        <v>2930</v>
      </c>
      <c r="AL293" t="s">
        <v>3209</v>
      </c>
      <c r="AM293">
        <v>0</v>
      </c>
      <c r="AO293">
        <v>2</v>
      </c>
      <c r="AP293">
        <v>1</v>
      </c>
      <c r="AQ293">
        <v>56.19</v>
      </c>
      <c r="AV293" t="s">
        <v>3333</v>
      </c>
      <c r="AW293">
        <v>11676</v>
      </c>
      <c r="BA293" t="s">
        <v>528</v>
      </c>
      <c r="BD293" t="s">
        <v>541</v>
      </c>
      <c r="BF293" t="s">
        <v>600</v>
      </c>
    </row>
    <row r="294" spans="1:58">
      <c r="A294" s="1">
        <f>HYPERLINK("https://lsnyc.legalserver.org/matter/dynamic-profile/view/1898870","19-1898870")</f>
        <v>0</v>
      </c>
      <c r="E294" t="s">
        <v>381</v>
      </c>
      <c r="F294" t="s">
        <v>618</v>
      </c>
      <c r="G294" t="s">
        <v>80</v>
      </c>
      <c r="H294" t="s">
        <v>781</v>
      </c>
      <c r="J294" t="s">
        <v>1062</v>
      </c>
      <c r="K294" t="s">
        <v>1390</v>
      </c>
      <c r="L294" t="s">
        <v>1742</v>
      </c>
      <c r="M294" t="s">
        <v>1979</v>
      </c>
      <c r="N294" t="s">
        <v>288</v>
      </c>
      <c r="O294" t="s">
        <v>289</v>
      </c>
      <c r="P294">
        <v>11235</v>
      </c>
      <c r="Q294" t="s">
        <v>290</v>
      </c>
      <c r="R294" t="s">
        <v>290</v>
      </c>
      <c r="S294" t="s">
        <v>295</v>
      </c>
      <c r="T294" t="s">
        <v>2315</v>
      </c>
      <c r="U294">
        <v>1</v>
      </c>
      <c r="V294" t="s">
        <v>339</v>
      </c>
      <c r="W294" t="s">
        <v>346</v>
      </c>
      <c r="Y294" t="s">
        <v>349</v>
      </c>
      <c r="Z294" t="s">
        <v>350</v>
      </c>
      <c r="AA294" t="s">
        <v>350</v>
      </c>
      <c r="AC294" t="s">
        <v>352</v>
      </c>
      <c r="AE294" t="s">
        <v>357</v>
      </c>
      <c r="AF294">
        <v>2019</v>
      </c>
      <c r="AG294">
        <v>0</v>
      </c>
      <c r="AH294">
        <v>550</v>
      </c>
      <c r="AI294">
        <v>30.85</v>
      </c>
      <c r="AJ294" t="s">
        <v>2785</v>
      </c>
      <c r="AK294" t="s">
        <v>2931</v>
      </c>
      <c r="AL294" t="s">
        <v>3210</v>
      </c>
      <c r="AM294">
        <v>12</v>
      </c>
      <c r="AN294" t="s">
        <v>3320</v>
      </c>
      <c r="AO294">
        <v>2</v>
      </c>
      <c r="AP294">
        <v>0</v>
      </c>
      <c r="AQ294">
        <v>54.71</v>
      </c>
      <c r="AU294" t="s">
        <v>503</v>
      </c>
      <c r="AV294" t="s">
        <v>508</v>
      </c>
      <c r="AW294">
        <v>9252</v>
      </c>
      <c r="BA294" t="s">
        <v>3342</v>
      </c>
      <c r="BB294" t="s">
        <v>535</v>
      </c>
      <c r="BD294" t="s">
        <v>3360</v>
      </c>
      <c r="BE294" t="s">
        <v>572</v>
      </c>
      <c r="BF294" t="s">
        <v>600</v>
      </c>
    </row>
    <row r="295" spans="1:58">
      <c r="A295" s="1">
        <f>HYPERLINK("https://lsnyc.legalserver.org/matter/dynamic-profile/view/1895488","19-1895488")</f>
        <v>0</v>
      </c>
      <c r="E295" t="s">
        <v>381</v>
      </c>
      <c r="F295" t="s">
        <v>63</v>
      </c>
      <c r="G295" t="s">
        <v>80</v>
      </c>
      <c r="H295" t="s">
        <v>782</v>
      </c>
      <c r="J295" t="s">
        <v>1063</v>
      </c>
      <c r="K295" t="s">
        <v>1391</v>
      </c>
      <c r="L295" t="s">
        <v>1743</v>
      </c>
      <c r="M295">
        <v>2</v>
      </c>
      <c r="N295" t="s">
        <v>288</v>
      </c>
      <c r="O295" t="s">
        <v>289</v>
      </c>
      <c r="P295">
        <v>11234</v>
      </c>
      <c r="Q295" t="s">
        <v>290</v>
      </c>
      <c r="R295" t="s">
        <v>290</v>
      </c>
      <c r="S295" t="s">
        <v>295</v>
      </c>
      <c r="T295" t="s">
        <v>2316</v>
      </c>
      <c r="U295">
        <v>11</v>
      </c>
      <c r="V295" t="s">
        <v>340</v>
      </c>
      <c r="W295" t="s">
        <v>346</v>
      </c>
      <c r="Y295" t="s">
        <v>349</v>
      </c>
      <c r="Z295" t="s">
        <v>350</v>
      </c>
      <c r="AC295" t="s">
        <v>352</v>
      </c>
      <c r="AD295" t="s">
        <v>356</v>
      </c>
      <c r="AE295" t="s">
        <v>357</v>
      </c>
      <c r="AF295">
        <v>2019</v>
      </c>
      <c r="AG295">
        <v>0</v>
      </c>
      <c r="AH295">
        <v>0</v>
      </c>
      <c r="AI295">
        <v>19.55</v>
      </c>
      <c r="AJ295" t="s">
        <v>2786</v>
      </c>
      <c r="AK295" t="s">
        <v>2932</v>
      </c>
      <c r="AM295">
        <v>3</v>
      </c>
      <c r="AO295">
        <v>2</v>
      </c>
      <c r="AP295">
        <v>0</v>
      </c>
      <c r="AQ295">
        <v>76.5</v>
      </c>
      <c r="AT295" t="s">
        <v>500</v>
      </c>
      <c r="AU295" t="s">
        <v>507</v>
      </c>
      <c r="AV295" t="s">
        <v>508</v>
      </c>
      <c r="AW295">
        <v>12936</v>
      </c>
      <c r="BA295" t="s">
        <v>3341</v>
      </c>
      <c r="BD295" t="s">
        <v>3388</v>
      </c>
      <c r="BE295" t="s">
        <v>807</v>
      </c>
      <c r="BF295" t="s">
        <v>600</v>
      </c>
    </row>
    <row r="296" spans="1:58">
      <c r="A296" s="1">
        <f>HYPERLINK("https://lsnyc.legalserver.org/matter/dynamic-profile/view/1898861","19-1898861")</f>
        <v>0</v>
      </c>
      <c r="E296" t="s">
        <v>381</v>
      </c>
      <c r="F296" t="s">
        <v>63</v>
      </c>
      <c r="G296" t="s">
        <v>80</v>
      </c>
      <c r="H296" t="s">
        <v>781</v>
      </c>
      <c r="J296" t="s">
        <v>981</v>
      </c>
      <c r="K296" t="s">
        <v>1196</v>
      </c>
      <c r="L296" t="s">
        <v>1744</v>
      </c>
      <c r="M296" t="s">
        <v>281</v>
      </c>
      <c r="N296" t="s">
        <v>288</v>
      </c>
      <c r="O296" t="s">
        <v>289</v>
      </c>
      <c r="P296">
        <v>11233</v>
      </c>
      <c r="Q296" t="s">
        <v>290</v>
      </c>
      <c r="R296" t="s">
        <v>290</v>
      </c>
      <c r="S296" t="s">
        <v>295</v>
      </c>
      <c r="T296" t="s">
        <v>2317</v>
      </c>
      <c r="U296">
        <v>10</v>
      </c>
      <c r="V296" t="s">
        <v>339</v>
      </c>
      <c r="W296" t="s">
        <v>346</v>
      </c>
      <c r="Y296" t="s">
        <v>349</v>
      </c>
      <c r="Z296" t="s">
        <v>350</v>
      </c>
      <c r="AA296" t="s">
        <v>350</v>
      </c>
      <c r="AC296" t="s">
        <v>352</v>
      </c>
      <c r="AD296" t="s">
        <v>355</v>
      </c>
      <c r="AE296" t="s">
        <v>357</v>
      </c>
      <c r="AF296">
        <v>2019</v>
      </c>
      <c r="AG296">
        <v>0</v>
      </c>
      <c r="AH296">
        <v>2250</v>
      </c>
      <c r="AI296">
        <v>16.6</v>
      </c>
      <c r="AJ296" t="s">
        <v>2787</v>
      </c>
      <c r="AK296" t="s">
        <v>2933</v>
      </c>
      <c r="AL296" t="s">
        <v>3211</v>
      </c>
      <c r="AM296">
        <v>46</v>
      </c>
      <c r="AN296" t="s">
        <v>497</v>
      </c>
      <c r="AO296">
        <v>3</v>
      </c>
      <c r="AP296">
        <v>2</v>
      </c>
      <c r="AQ296">
        <v>9.01</v>
      </c>
      <c r="AU296" t="s">
        <v>507</v>
      </c>
      <c r="AV296" t="s">
        <v>508</v>
      </c>
      <c r="AW296">
        <v>2717</v>
      </c>
      <c r="BA296" t="s">
        <v>3341</v>
      </c>
      <c r="BB296" t="s">
        <v>535</v>
      </c>
      <c r="BD296" t="s">
        <v>3398</v>
      </c>
      <c r="BE296" t="s">
        <v>567</v>
      </c>
      <c r="BF296" t="s">
        <v>600</v>
      </c>
    </row>
    <row r="297" spans="1:58">
      <c r="A297" s="1">
        <f>HYPERLINK("https://lsnyc.legalserver.org/matter/dynamic-profile/view/1896806","19-1896806")</f>
        <v>0</v>
      </c>
      <c r="E297" t="s">
        <v>381</v>
      </c>
      <c r="F297" t="s">
        <v>74</v>
      </c>
      <c r="G297" t="s">
        <v>80</v>
      </c>
      <c r="H297" t="s">
        <v>783</v>
      </c>
      <c r="J297" t="s">
        <v>1064</v>
      </c>
      <c r="K297" t="s">
        <v>1392</v>
      </c>
      <c r="L297" t="s">
        <v>1745</v>
      </c>
      <c r="M297" t="s">
        <v>1980</v>
      </c>
      <c r="N297" t="s">
        <v>288</v>
      </c>
      <c r="O297" t="s">
        <v>289</v>
      </c>
      <c r="P297">
        <v>11232</v>
      </c>
      <c r="Q297" t="s">
        <v>290</v>
      </c>
      <c r="R297" t="s">
        <v>290</v>
      </c>
      <c r="S297" t="s">
        <v>295</v>
      </c>
      <c r="T297" t="s">
        <v>2318</v>
      </c>
      <c r="U297">
        <v>0</v>
      </c>
      <c r="V297" t="s">
        <v>339</v>
      </c>
      <c r="W297" t="s">
        <v>346</v>
      </c>
      <c r="Y297" t="s">
        <v>349</v>
      </c>
      <c r="Z297" t="s">
        <v>350</v>
      </c>
      <c r="AC297" t="s">
        <v>352</v>
      </c>
      <c r="AE297" t="s">
        <v>357</v>
      </c>
      <c r="AF297">
        <v>2019</v>
      </c>
      <c r="AG297">
        <v>0</v>
      </c>
      <c r="AH297">
        <v>1214</v>
      </c>
      <c r="AI297">
        <v>20.2</v>
      </c>
      <c r="AJ297" t="s">
        <v>2788</v>
      </c>
      <c r="AL297" t="s">
        <v>3212</v>
      </c>
      <c r="AM297">
        <v>0</v>
      </c>
      <c r="AO297">
        <v>2</v>
      </c>
      <c r="AP297">
        <v>0</v>
      </c>
      <c r="AQ297">
        <v>0</v>
      </c>
      <c r="AV297" t="s">
        <v>508</v>
      </c>
      <c r="AW297">
        <v>0</v>
      </c>
      <c r="BA297" t="s">
        <v>3342</v>
      </c>
      <c r="BD297" t="s">
        <v>544</v>
      </c>
      <c r="BE297" t="s">
        <v>586</v>
      </c>
      <c r="BF297" t="s">
        <v>600</v>
      </c>
    </row>
    <row r="298" spans="1:58">
      <c r="A298" s="1">
        <f>HYPERLINK("https://lsnyc.legalserver.org/matter/dynamic-profile/view/1895695","19-1895695")</f>
        <v>0</v>
      </c>
      <c r="E298" t="s">
        <v>381</v>
      </c>
      <c r="F298" t="s">
        <v>65</v>
      </c>
      <c r="G298" t="s">
        <v>80</v>
      </c>
      <c r="H298" t="s">
        <v>782</v>
      </c>
      <c r="J298" t="s">
        <v>868</v>
      </c>
      <c r="K298" t="s">
        <v>1148</v>
      </c>
      <c r="L298" t="s">
        <v>1521</v>
      </c>
      <c r="M298" t="s">
        <v>1873</v>
      </c>
      <c r="N298" t="s">
        <v>288</v>
      </c>
      <c r="O298" t="s">
        <v>289</v>
      </c>
      <c r="P298">
        <v>11230</v>
      </c>
      <c r="Q298" t="s">
        <v>290</v>
      </c>
      <c r="R298" t="s">
        <v>290</v>
      </c>
      <c r="S298" t="s">
        <v>293</v>
      </c>
      <c r="T298" t="s">
        <v>2319</v>
      </c>
      <c r="U298">
        <v>32</v>
      </c>
      <c r="V298" t="s">
        <v>340</v>
      </c>
      <c r="W298" t="s">
        <v>346</v>
      </c>
      <c r="Y298" t="s">
        <v>349</v>
      </c>
      <c r="Z298" t="s">
        <v>350</v>
      </c>
      <c r="AC298" t="s">
        <v>352</v>
      </c>
      <c r="AE298" t="s">
        <v>357</v>
      </c>
      <c r="AF298">
        <v>2019</v>
      </c>
      <c r="AG298">
        <v>0</v>
      </c>
      <c r="AH298">
        <v>1065</v>
      </c>
      <c r="AI298">
        <v>49.1</v>
      </c>
      <c r="AJ298" t="s">
        <v>2553</v>
      </c>
      <c r="AL298" t="s">
        <v>2998</v>
      </c>
      <c r="AM298">
        <v>0</v>
      </c>
      <c r="AO298">
        <v>1</v>
      </c>
      <c r="AP298">
        <v>2</v>
      </c>
      <c r="AQ298">
        <v>57.38</v>
      </c>
      <c r="AT298" t="s">
        <v>501</v>
      </c>
      <c r="AU298" t="s">
        <v>503</v>
      </c>
      <c r="AV298" t="s">
        <v>508</v>
      </c>
      <c r="AW298">
        <v>12240</v>
      </c>
      <c r="BA298" t="s">
        <v>3341</v>
      </c>
      <c r="BD298" t="s">
        <v>3374</v>
      </c>
      <c r="BE298" t="s">
        <v>568</v>
      </c>
      <c r="BF298" t="s">
        <v>600</v>
      </c>
    </row>
    <row r="299" spans="1:58">
      <c r="A299" s="1">
        <f>HYPERLINK("https://lsnyc.legalserver.org/matter/dynamic-profile/view/1896256","19-1896256")</f>
        <v>0</v>
      </c>
      <c r="E299" t="s">
        <v>381</v>
      </c>
      <c r="F299" t="s">
        <v>60</v>
      </c>
      <c r="G299" t="s">
        <v>80</v>
      </c>
      <c r="H299" t="s">
        <v>674</v>
      </c>
      <c r="J299" t="s">
        <v>1065</v>
      </c>
      <c r="K299" t="s">
        <v>1089</v>
      </c>
      <c r="L299" t="s">
        <v>1746</v>
      </c>
      <c r="M299" t="s">
        <v>1981</v>
      </c>
      <c r="N299" t="s">
        <v>288</v>
      </c>
      <c r="O299" t="s">
        <v>289</v>
      </c>
      <c r="P299">
        <v>11230</v>
      </c>
      <c r="Q299" t="s">
        <v>290</v>
      </c>
      <c r="R299" t="s">
        <v>290</v>
      </c>
      <c r="S299" t="s">
        <v>295</v>
      </c>
      <c r="T299" t="s">
        <v>2320</v>
      </c>
      <c r="U299">
        <v>0</v>
      </c>
      <c r="V299" t="s">
        <v>340</v>
      </c>
      <c r="W299" t="s">
        <v>346</v>
      </c>
      <c r="Y299" t="s">
        <v>349</v>
      </c>
      <c r="Z299" t="s">
        <v>350</v>
      </c>
      <c r="AC299" t="s">
        <v>352</v>
      </c>
      <c r="AE299" t="s">
        <v>357</v>
      </c>
      <c r="AF299">
        <v>2019</v>
      </c>
      <c r="AG299">
        <v>0</v>
      </c>
      <c r="AH299">
        <v>1400</v>
      </c>
      <c r="AI299">
        <v>85</v>
      </c>
      <c r="AJ299" t="s">
        <v>2789</v>
      </c>
      <c r="AK299" t="s">
        <v>2934</v>
      </c>
      <c r="AL299" t="s">
        <v>3213</v>
      </c>
      <c r="AM299">
        <v>0</v>
      </c>
      <c r="AO299">
        <v>1</v>
      </c>
      <c r="AP299">
        <v>0</v>
      </c>
      <c r="AQ299">
        <v>99.81999999999999</v>
      </c>
      <c r="AV299" t="s">
        <v>508</v>
      </c>
      <c r="AW299">
        <v>12468</v>
      </c>
      <c r="BA299" t="s">
        <v>3342</v>
      </c>
      <c r="BD299" t="s">
        <v>545</v>
      </c>
      <c r="BE299" t="s">
        <v>806</v>
      </c>
      <c r="BF299" t="s">
        <v>600</v>
      </c>
    </row>
    <row r="300" spans="1:58">
      <c r="A300" s="1">
        <f>HYPERLINK("https://lsnyc.legalserver.org/matter/dynamic-profile/view/1897811","19-1897811")</f>
        <v>0</v>
      </c>
      <c r="E300" t="s">
        <v>381</v>
      </c>
      <c r="F300" t="s">
        <v>67</v>
      </c>
      <c r="G300" t="s">
        <v>80</v>
      </c>
      <c r="H300" t="s">
        <v>784</v>
      </c>
      <c r="J300" t="s">
        <v>1066</v>
      </c>
      <c r="K300" t="s">
        <v>1393</v>
      </c>
      <c r="L300" t="s">
        <v>1746</v>
      </c>
      <c r="M300" t="s">
        <v>1982</v>
      </c>
      <c r="N300" t="s">
        <v>288</v>
      </c>
      <c r="O300" t="s">
        <v>289</v>
      </c>
      <c r="P300">
        <v>11230</v>
      </c>
      <c r="Q300" t="s">
        <v>290</v>
      </c>
      <c r="R300" t="s">
        <v>290</v>
      </c>
      <c r="S300" t="s">
        <v>295</v>
      </c>
      <c r="T300" t="s">
        <v>2321</v>
      </c>
      <c r="U300">
        <v>0</v>
      </c>
      <c r="V300" t="s">
        <v>340</v>
      </c>
      <c r="W300" t="s">
        <v>346</v>
      </c>
      <c r="Y300" t="s">
        <v>349</v>
      </c>
      <c r="Z300" t="s">
        <v>350</v>
      </c>
      <c r="AC300" t="s">
        <v>352</v>
      </c>
      <c r="AE300" t="s">
        <v>357</v>
      </c>
      <c r="AF300">
        <v>2019</v>
      </c>
      <c r="AG300">
        <v>0</v>
      </c>
      <c r="AH300">
        <v>1400</v>
      </c>
      <c r="AI300">
        <v>133.1</v>
      </c>
      <c r="AJ300" t="s">
        <v>2790</v>
      </c>
      <c r="AK300" t="s">
        <v>2935</v>
      </c>
      <c r="AL300" t="s">
        <v>3214</v>
      </c>
      <c r="AM300">
        <v>0</v>
      </c>
      <c r="AO300">
        <v>1</v>
      </c>
      <c r="AP300">
        <v>0</v>
      </c>
      <c r="AQ300">
        <v>97.23</v>
      </c>
      <c r="AV300" t="s">
        <v>508</v>
      </c>
      <c r="AW300">
        <v>12144</v>
      </c>
      <c r="BA300" t="s">
        <v>3342</v>
      </c>
      <c r="BD300" t="s">
        <v>554</v>
      </c>
      <c r="BE300" t="s">
        <v>3437</v>
      </c>
      <c r="BF300" t="s">
        <v>600</v>
      </c>
    </row>
    <row r="301" spans="1:58">
      <c r="A301" s="1">
        <f>HYPERLINK("https://lsnyc.legalserver.org/matter/dynamic-profile/view/1896207","19-1896207")</f>
        <v>0</v>
      </c>
      <c r="E301" t="s">
        <v>381</v>
      </c>
      <c r="F301" t="s">
        <v>59</v>
      </c>
      <c r="G301" t="s">
        <v>80</v>
      </c>
      <c r="H301" t="s">
        <v>674</v>
      </c>
      <c r="J301" t="s">
        <v>1067</v>
      </c>
      <c r="K301" t="s">
        <v>1360</v>
      </c>
      <c r="L301" t="s">
        <v>1747</v>
      </c>
      <c r="M301" t="s">
        <v>1983</v>
      </c>
      <c r="N301" t="s">
        <v>288</v>
      </c>
      <c r="O301" t="s">
        <v>289</v>
      </c>
      <c r="P301">
        <v>11229</v>
      </c>
      <c r="Q301" t="s">
        <v>290</v>
      </c>
      <c r="R301" t="s">
        <v>290</v>
      </c>
      <c r="S301" t="s">
        <v>295</v>
      </c>
      <c r="T301" t="s">
        <v>2322</v>
      </c>
      <c r="U301">
        <v>0</v>
      </c>
      <c r="V301" t="s">
        <v>339</v>
      </c>
      <c r="W301" t="s">
        <v>346</v>
      </c>
      <c r="Y301" t="s">
        <v>349</v>
      </c>
      <c r="Z301" t="s">
        <v>350</v>
      </c>
      <c r="AC301" t="s">
        <v>352</v>
      </c>
      <c r="AD301" t="s">
        <v>356</v>
      </c>
      <c r="AE301" t="s">
        <v>357</v>
      </c>
      <c r="AF301">
        <v>2019</v>
      </c>
      <c r="AG301">
        <v>0</v>
      </c>
      <c r="AH301">
        <v>1300</v>
      </c>
      <c r="AI301">
        <v>17.5</v>
      </c>
      <c r="AJ301" t="s">
        <v>2791</v>
      </c>
      <c r="AL301" t="s">
        <v>3215</v>
      </c>
      <c r="AM301">
        <v>69</v>
      </c>
      <c r="AN301" t="s">
        <v>3326</v>
      </c>
      <c r="AO301">
        <v>1</v>
      </c>
      <c r="AP301">
        <v>0</v>
      </c>
      <c r="AQ301">
        <v>249.8</v>
      </c>
      <c r="AR301" t="s">
        <v>781</v>
      </c>
      <c r="AS301" t="s">
        <v>3328</v>
      </c>
      <c r="AT301" t="s">
        <v>500</v>
      </c>
      <c r="AV301" t="s">
        <v>508</v>
      </c>
      <c r="AW301">
        <v>31200</v>
      </c>
      <c r="BA301" t="s">
        <v>3341</v>
      </c>
      <c r="BD301" t="s">
        <v>537</v>
      </c>
      <c r="BE301" t="s">
        <v>822</v>
      </c>
      <c r="BF301" t="s">
        <v>600</v>
      </c>
    </row>
    <row r="302" spans="1:58">
      <c r="A302" s="1">
        <f>HYPERLINK("https://lsnyc.legalserver.org/matter/dynamic-profile/view/1898626","19-1898626")</f>
        <v>0</v>
      </c>
      <c r="E302" t="s">
        <v>381</v>
      </c>
      <c r="F302" t="s">
        <v>59</v>
      </c>
      <c r="G302" t="s">
        <v>80</v>
      </c>
      <c r="H302" t="s">
        <v>676</v>
      </c>
      <c r="J302" t="s">
        <v>1068</v>
      </c>
      <c r="K302" t="s">
        <v>1394</v>
      </c>
      <c r="L302" t="s">
        <v>1748</v>
      </c>
      <c r="M302" t="s">
        <v>1892</v>
      </c>
      <c r="N302" t="s">
        <v>288</v>
      </c>
      <c r="O302" t="s">
        <v>289</v>
      </c>
      <c r="P302">
        <v>11226</v>
      </c>
      <c r="Q302" t="s">
        <v>290</v>
      </c>
      <c r="R302" t="s">
        <v>290</v>
      </c>
      <c r="S302" t="s">
        <v>295</v>
      </c>
      <c r="T302" t="s">
        <v>2323</v>
      </c>
      <c r="U302">
        <v>4</v>
      </c>
      <c r="V302" t="s">
        <v>340</v>
      </c>
      <c r="W302" t="s">
        <v>346</v>
      </c>
      <c r="Y302" t="s">
        <v>348</v>
      </c>
      <c r="Z302" t="s">
        <v>350</v>
      </c>
      <c r="AC302" t="s">
        <v>352</v>
      </c>
      <c r="AD302" t="s">
        <v>356</v>
      </c>
      <c r="AE302" t="s">
        <v>357</v>
      </c>
      <c r="AF302">
        <v>2019</v>
      </c>
      <c r="AG302">
        <v>0</v>
      </c>
      <c r="AH302">
        <v>1468</v>
      </c>
      <c r="AI302">
        <v>6.1</v>
      </c>
      <c r="AJ302" t="s">
        <v>2792</v>
      </c>
      <c r="AL302" t="s">
        <v>3216</v>
      </c>
      <c r="AM302">
        <v>0</v>
      </c>
      <c r="AN302" t="s">
        <v>493</v>
      </c>
      <c r="AO302">
        <v>2</v>
      </c>
      <c r="AP302">
        <v>2</v>
      </c>
      <c r="AQ302">
        <v>141.36</v>
      </c>
      <c r="AV302" t="s">
        <v>508</v>
      </c>
      <c r="AW302">
        <v>36400</v>
      </c>
      <c r="BA302" t="s">
        <v>3342</v>
      </c>
      <c r="BD302" t="s">
        <v>537</v>
      </c>
      <c r="BE302" t="s">
        <v>794</v>
      </c>
      <c r="BF302" t="s">
        <v>600</v>
      </c>
    </row>
    <row r="303" spans="1:58">
      <c r="A303" s="1">
        <f>HYPERLINK("https://lsnyc.legalserver.org/matter/dynamic-profile/view/1895430","19-1895430")</f>
        <v>0</v>
      </c>
      <c r="E303" t="s">
        <v>381</v>
      </c>
      <c r="F303" t="s">
        <v>76</v>
      </c>
      <c r="G303" t="s">
        <v>80</v>
      </c>
      <c r="H303" t="s">
        <v>583</v>
      </c>
      <c r="J303" t="s">
        <v>1069</v>
      </c>
      <c r="K303" t="s">
        <v>1395</v>
      </c>
      <c r="L303" t="s">
        <v>1749</v>
      </c>
      <c r="M303" t="s">
        <v>1907</v>
      </c>
      <c r="N303" t="s">
        <v>288</v>
      </c>
      <c r="O303" t="s">
        <v>289</v>
      </c>
      <c r="P303">
        <v>11226</v>
      </c>
      <c r="Q303" t="s">
        <v>290</v>
      </c>
      <c r="R303" t="s">
        <v>290</v>
      </c>
      <c r="S303" t="s">
        <v>295</v>
      </c>
      <c r="T303" t="s">
        <v>2324</v>
      </c>
      <c r="U303">
        <v>25</v>
      </c>
      <c r="V303" t="s">
        <v>339</v>
      </c>
      <c r="W303" t="s">
        <v>346</v>
      </c>
      <c r="Y303" t="s">
        <v>348</v>
      </c>
      <c r="Z303" t="s">
        <v>350</v>
      </c>
      <c r="AC303" t="s">
        <v>352</v>
      </c>
      <c r="AE303" t="s">
        <v>357</v>
      </c>
      <c r="AF303">
        <v>2019</v>
      </c>
      <c r="AG303">
        <v>0</v>
      </c>
      <c r="AH303">
        <v>950</v>
      </c>
      <c r="AI303">
        <v>1</v>
      </c>
      <c r="AJ303" t="s">
        <v>2793</v>
      </c>
      <c r="AL303" t="s">
        <v>3217</v>
      </c>
      <c r="AM303">
        <v>24</v>
      </c>
      <c r="AO303">
        <v>1</v>
      </c>
      <c r="AP303">
        <v>2</v>
      </c>
      <c r="AQ303">
        <v>192.22</v>
      </c>
      <c r="AT303" t="s">
        <v>502</v>
      </c>
      <c r="AU303" t="s">
        <v>503</v>
      </c>
      <c r="AV303" t="s">
        <v>508</v>
      </c>
      <c r="AW303">
        <v>41000</v>
      </c>
      <c r="BA303" t="s">
        <v>3341</v>
      </c>
      <c r="BD303" t="s">
        <v>537</v>
      </c>
      <c r="BE303" t="s">
        <v>583</v>
      </c>
      <c r="BF303" t="s">
        <v>600</v>
      </c>
    </row>
    <row r="304" spans="1:58">
      <c r="A304" s="1">
        <f>HYPERLINK("https://lsnyc.legalserver.org/matter/dynamic-profile/view/1895464","19-1895464")</f>
        <v>0</v>
      </c>
      <c r="E304" t="s">
        <v>381</v>
      </c>
      <c r="F304" t="s">
        <v>76</v>
      </c>
      <c r="G304" t="s">
        <v>80</v>
      </c>
      <c r="H304" t="s">
        <v>583</v>
      </c>
      <c r="J304" t="s">
        <v>1070</v>
      </c>
      <c r="K304" t="s">
        <v>1396</v>
      </c>
      <c r="L304" t="s">
        <v>1750</v>
      </c>
      <c r="M304" t="s">
        <v>280</v>
      </c>
      <c r="N304" t="s">
        <v>288</v>
      </c>
      <c r="O304" t="s">
        <v>289</v>
      </c>
      <c r="P304">
        <v>11226</v>
      </c>
      <c r="Q304" t="s">
        <v>290</v>
      </c>
      <c r="R304" t="s">
        <v>290</v>
      </c>
      <c r="S304" t="s">
        <v>295</v>
      </c>
      <c r="T304" t="s">
        <v>2325</v>
      </c>
      <c r="U304">
        <v>3</v>
      </c>
      <c r="V304" t="s">
        <v>339</v>
      </c>
      <c r="W304" t="s">
        <v>346</v>
      </c>
      <c r="Y304" t="s">
        <v>348</v>
      </c>
      <c r="Z304" t="s">
        <v>350</v>
      </c>
      <c r="AC304" t="s">
        <v>352</v>
      </c>
      <c r="AE304" t="s">
        <v>357</v>
      </c>
      <c r="AF304">
        <v>2019</v>
      </c>
      <c r="AG304">
        <v>0</v>
      </c>
      <c r="AH304">
        <v>1335</v>
      </c>
      <c r="AI304">
        <v>1</v>
      </c>
      <c r="AJ304" t="s">
        <v>2794</v>
      </c>
      <c r="AL304" t="s">
        <v>3218</v>
      </c>
      <c r="AM304">
        <v>10</v>
      </c>
      <c r="AO304">
        <v>1</v>
      </c>
      <c r="AP304">
        <v>1</v>
      </c>
      <c r="AQ304">
        <v>147.84</v>
      </c>
      <c r="AT304" t="s">
        <v>501</v>
      </c>
      <c r="AU304" t="s">
        <v>503</v>
      </c>
      <c r="AV304" t="s">
        <v>508</v>
      </c>
      <c r="AW304">
        <v>25000</v>
      </c>
      <c r="BA304" t="s">
        <v>3341</v>
      </c>
      <c r="BD304" t="s">
        <v>540</v>
      </c>
      <c r="BE304" t="s">
        <v>583</v>
      </c>
      <c r="BF304" t="s">
        <v>600</v>
      </c>
    </row>
    <row r="305" spans="1:58">
      <c r="A305" s="1">
        <f>HYPERLINK("https://lsnyc.legalserver.org/matter/dynamic-profile/view/1896018","19-1896018")</f>
        <v>0</v>
      </c>
      <c r="E305" t="s">
        <v>381</v>
      </c>
      <c r="F305" t="s">
        <v>67</v>
      </c>
      <c r="G305" t="s">
        <v>80</v>
      </c>
      <c r="H305" t="s">
        <v>693</v>
      </c>
      <c r="J305" t="s">
        <v>1071</v>
      </c>
      <c r="K305" t="s">
        <v>1397</v>
      </c>
      <c r="L305" t="s">
        <v>1751</v>
      </c>
      <c r="M305" t="s">
        <v>263</v>
      </c>
      <c r="N305" t="s">
        <v>288</v>
      </c>
      <c r="O305" t="s">
        <v>289</v>
      </c>
      <c r="P305">
        <v>11226</v>
      </c>
      <c r="Q305" t="s">
        <v>290</v>
      </c>
      <c r="R305" t="s">
        <v>290</v>
      </c>
      <c r="S305" t="s">
        <v>292</v>
      </c>
      <c r="T305" t="s">
        <v>2326</v>
      </c>
      <c r="U305">
        <v>0</v>
      </c>
      <c r="V305" t="s">
        <v>339</v>
      </c>
      <c r="W305" t="s">
        <v>346</v>
      </c>
      <c r="Y305" t="s">
        <v>348</v>
      </c>
      <c r="Z305" t="s">
        <v>350</v>
      </c>
      <c r="AA305" t="s">
        <v>350</v>
      </c>
      <c r="AC305" t="s">
        <v>352</v>
      </c>
      <c r="AE305" t="s">
        <v>357</v>
      </c>
      <c r="AF305">
        <v>2019</v>
      </c>
      <c r="AG305">
        <v>0</v>
      </c>
      <c r="AH305">
        <v>0</v>
      </c>
      <c r="AI305">
        <v>16.9</v>
      </c>
      <c r="AJ305" t="s">
        <v>2795</v>
      </c>
      <c r="AL305" t="s">
        <v>3219</v>
      </c>
      <c r="AM305">
        <v>0</v>
      </c>
      <c r="AO305">
        <v>1</v>
      </c>
      <c r="AP305">
        <v>1</v>
      </c>
      <c r="AQ305">
        <v>47.33</v>
      </c>
      <c r="AV305" t="s">
        <v>508</v>
      </c>
      <c r="AW305">
        <v>8004</v>
      </c>
      <c r="BA305" t="s">
        <v>522</v>
      </c>
      <c r="BD305" t="s">
        <v>545</v>
      </c>
      <c r="BE305" t="s">
        <v>559</v>
      </c>
      <c r="BF305" t="s">
        <v>600</v>
      </c>
    </row>
    <row r="306" spans="1:58">
      <c r="A306" s="1">
        <f>HYPERLINK("https://lsnyc.legalserver.org/matter/dynamic-profile/view/1897049","19-1897049")</f>
        <v>0</v>
      </c>
      <c r="E306" t="s">
        <v>381</v>
      </c>
      <c r="F306" t="s">
        <v>62</v>
      </c>
      <c r="G306" t="s">
        <v>80</v>
      </c>
      <c r="H306" t="s">
        <v>675</v>
      </c>
      <c r="J306" t="s">
        <v>166</v>
      </c>
      <c r="K306" t="s">
        <v>1398</v>
      </c>
      <c r="L306" t="s">
        <v>1660</v>
      </c>
      <c r="M306" t="s">
        <v>1984</v>
      </c>
      <c r="N306" t="s">
        <v>288</v>
      </c>
      <c r="O306" t="s">
        <v>289</v>
      </c>
      <c r="P306">
        <v>11226</v>
      </c>
      <c r="Q306" t="s">
        <v>290</v>
      </c>
      <c r="R306" t="s">
        <v>290</v>
      </c>
      <c r="S306" t="s">
        <v>295</v>
      </c>
      <c r="T306" t="s">
        <v>2327</v>
      </c>
      <c r="U306">
        <v>0</v>
      </c>
      <c r="V306" t="s">
        <v>339</v>
      </c>
      <c r="W306" t="s">
        <v>346</v>
      </c>
      <c r="Y306" t="s">
        <v>348</v>
      </c>
      <c r="Z306" t="s">
        <v>350</v>
      </c>
      <c r="AC306" t="s">
        <v>352</v>
      </c>
      <c r="AE306" t="s">
        <v>357</v>
      </c>
      <c r="AF306">
        <v>2019</v>
      </c>
      <c r="AG306">
        <v>0</v>
      </c>
      <c r="AH306">
        <v>1623</v>
      </c>
      <c r="AI306">
        <v>0</v>
      </c>
      <c r="AJ306" t="s">
        <v>2796</v>
      </c>
      <c r="AK306" t="s">
        <v>2936</v>
      </c>
      <c r="AL306" t="s">
        <v>3220</v>
      </c>
      <c r="AM306">
        <v>0</v>
      </c>
      <c r="AO306">
        <v>1</v>
      </c>
      <c r="AP306">
        <v>1</v>
      </c>
      <c r="AQ306">
        <v>141.93</v>
      </c>
      <c r="AV306" t="s">
        <v>3334</v>
      </c>
      <c r="AW306">
        <v>24000</v>
      </c>
      <c r="BA306" t="s">
        <v>3342</v>
      </c>
      <c r="BD306" t="s">
        <v>537</v>
      </c>
      <c r="BF306" t="s">
        <v>600</v>
      </c>
    </row>
    <row r="307" spans="1:58">
      <c r="A307" s="1">
        <f>HYPERLINK("https://lsnyc.legalserver.org/matter/dynamic-profile/view/1897455","19-1897455")</f>
        <v>0</v>
      </c>
      <c r="E307" t="s">
        <v>381</v>
      </c>
      <c r="F307" t="s">
        <v>72</v>
      </c>
      <c r="G307" t="s">
        <v>80</v>
      </c>
      <c r="H307" t="s">
        <v>588</v>
      </c>
      <c r="J307" t="s">
        <v>1072</v>
      </c>
      <c r="K307" t="s">
        <v>1399</v>
      </c>
      <c r="L307" t="s">
        <v>1752</v>
      </c>
      <c r="M307">
        <v>16</v>
      </c>
      <c r="N307" t="s">
        <v>288</v>
      </c>
      <c r="O307" t="s">
        <v>289</v>
      </c>
      <c r="P307">
        <v>11226</v>
      </c>
      <c r="Q307" t="s">
        <v>290</v>
      </c>
      <c r="R307" t="s">
        <v>290</v>
      </c>
      <c r="S307" t="s">
        <v>295</v>
      </c>
      <c r="T307" t="s">
        <v>2328</v>
      </c>
      <c r="U307">
        <v>0</v>
      </c>
      <c r="V307" t="s">
        <v>339</v>
      </c>
      <c r="W307" t="s">
        <v>346</v>
      </c>
      <c r="Y307" t="s">
        <v>348</v>
      </c>
      <c r="Z307" t="s">
        <v>350</v>
      </c>
      <c r="AC307" t="s">
        <v>352</v>
      </c>
      <c r="AE307" t="s">
        <v>357</v>
      </c>
      <c r="AF307">
        <v>2019</v>
      </c>
      <c r="AG307">
        <v>0</v>
      </c>
      <c r="AH307">
        <v>0</v>
      </c>
      <c r="AI307">
        <v>30.4</v>
      </c>
      <c r="AJ307" t="s">
        <v>2797</v>
      </c>
      <c r="AL307" t="s">
        <v>3221</v>
      </c>
      <c r="AM307">
        <v>16</v>
      </c>
      <c r="AO307">
        <v>2</v>
      </c>
      <c r="AP307">
        <v>0</v>
      </c>
      <c r="AQ307">
        <v>67.7</v>
      </c>
      <c r="AV307" t="s">
        <v>508</v>
      </c>
      <c r="AW307">
        <v>11448</v>
      </c>
      <c r="BA307" t="s">
        <v>3341</v>
      </c>
      <c r="BD307" t="s">
        <v>545</v>
      </c>
      <c r="BE307" t="s">
        <v>3462</v>
      </c>
      <c r="BF307" t="s">
        <v>600</v>
      </c>
    </row>
    <row r="308" spans="1:58">
      <c r="A308" s="1">
        <f>HYPERLINK("https://lsnyc.legalserver.org/matter/dynamic-profile/view/1898892","19-1898892")</f>
        <v>0</v>
      </c>
      <c r="E308" t="s">
        <v>381</v>
      </c>
      <c r="F308" t="s">
        <v>67</v>
      </c>
      <c r="G308" t="s">
        <v>80</v>
      </c>
      <c r="H308" t="s">
        <v>781</v>
      </c>
      <c r="J308" t="s">
        <v>1073</v>
      </c>
      <c r="K308" t="s">
        <v>1400</v>
      </c>
      <c r="L308" t="s">
        <v>1753</v>
      </c>
      <c r="M308" t="s">
        <v>1985</v>
      </c>
      <c r="N308" t="s">
        <v>288</v>
      </c>
      <c r="O308" t="s">
        <v>289</v>
      </c>
      <c r="P308">
        <v>11226</v>
      </c>
      <c r="Q308" t="s">
        <v>290</v>
      </c>
      <c r="R308" t="s">
        <v>290</v>
      </c>
      <c r="S308" t="s">
        <v>295</v>
      </c>
      <c r="T308" t="s">
        <v>2329</v>
      </c>
      <c r="U308">
        <v>21</v>
      </c>
      <c r="V308" t="s">
        <v>339</v>
      </c>
      <c r="W308" t="s">
        <v>346</v>
      </c>
      <c r="Y308" t="s">
        <v>348</v>
      </c>
      <c r="Z308" t="s">
        <v>350</v>
      </c>
      <c r="AC308" t="s">
        <v>352</v>
      </c>
      <c r="AE308" t="s">
        <v>357</v>
      </c>
      <c r="AF308">
        <v>2019</v>
      </c>
      <c r="AG308">
        <v>0</v>
      </c>
      <c r="AH308">
        <v>1028</v>
      </c>
      <c r="AI308">
        <v>28.9</v>
      </c>
      <c r="AJ308" t="s">
        <v>2798</v>
      </c>
      <c r="AL308" t="s">
        <v>3222</v>
      </c>
      <c r="AM308">
        <v>95</v>
      </c>
      <c r="AO308">
        <v>4</v>
      </c>
      <c r="AP308">
        <v>1</v>
      </c>
      <c r="AQ308">
        <v>165.73</v>
      </c>
      <c r="AU308" t="s">
        <v>503</v>
      </c>
      <c r="AV308" t="s">
        <v>508</v>
      </c>
      <c r="AW308">
        <v>50000</v>
      </c>
      <c r="BA308" t="s">
        <v>3341</v>
      </c>
      <c r="BD308" t="s">
        <v>537</v>
      </c>
      <c r="BE308" t="s">
        <v>3463</v>
      </c>
      <c r="BF308" t="s">
        <v>600</v>
      </c>
    </row>
    <row r="309" spans="1:58">
      <c r="A309" s="1">
        <f>HYPERLINK("https://lsnyc.legalserver.org/matter/dynamic-profile/view/1896166","19-1896166")</f>
        <v>0</v>
      </c>
      <c r="E309" t="s">
        <v>381</v>
      </c>
      <c r="F309" t="s">
        <v>67</v>
      </c>
      <c r="G309" t="s">
        <v>80</v>
      </c>
      <c r="H309" t="s">
        <v>674</v>
      </c>
      <c r="J309" t="s">
        <v>1074</v>
      </c>
      <c r="K309" t="s">
        <v>1401</v>
      </c>
      <c r="L309" t="s">
        <v>1754</v>
      </c>
      <c r="M309" t="s">
        <v>281</v>
      </c>
      <c r="N309" t="s">
        <v>288</v>
      </c>
      <c r="O309" t="s">
        <v>289</v>
      </c>
      <c r="P309">
        <v>11225</v>
      </c>
      <c r="Q309" t="s">
        <v>290</v>
      </c>
      <c r="R309" t="s">
        <v>290</v>
      </c>
      <c r="S309" t="s">
        <v>292</v>
      </c>
      <c r="T309" t="s">
        <v>2330</v>
      </c>
      <c r="U309">
        <v>0</v>
      </c>
      <c r="V309" t="s">
        <v>340</v>
      </c>
      <c r="W309" t="s">
        <v>346</v>
      </c>
      <c r="Y309" t="s">
        <v>348</v>
      </c>
      <c r="Z309" t="s">
        <v>350</v>
      </c>
      <c r="AA309" t="s">
        <v>350</v>
      </c>
      <c r="AC309" t="s">
        <v>352</v>
      </c>
      <c r="AE309" t="s">
        <v>357</v>
      </c>
      <c r="AF309">
        <v>2019</v>
      </c>
      <c r="AG309">
        <v>0</v>
      </c>
      <c r="AH309">
        <v>0</v>
      </c>
      <c r="AI309">
        <v>57</v>
      </c>
      <c r="AJ309" t="s">
        <v>2799</v>
      </c>
      <c r="AL309" t="s">
        <v>3223</v>
      </c>
      <c r="AM309">
        <v>0</v>
      </c>
      <c r="AO309">
        <v>1</v>
      </c>
      <c r="AP309">
        <v>3</v>
      </c>
      <c r="AQ309">
        <v>39.66</v>
      </c>
      <c r="AT309" t="s">
        <v>501</v>
      </c>
      <c r="AV309" t="s">
        <v>508</v>
      </c>
      <c r="AW309">
        <v>10212</v>
      </c>
      <c r="BA309" t="s">
        <v>522</v>
      </c>
      <c r="BD309" t="s">
        <v>548</v>
      </c>
      <c r="BE309" t="s">
        <v>817</v>
      </c>
      <c r="BF309" t="s">
        <v>600</v>
      </c>
    </row>
    <row r="310" spans="1:58">
      <c r="A310" s="1">
        <f>HYPERLINK("https://lsnyc.legalserver.org/matter/dynamic-profile/view/1897733","19-1897733")</f>
        <v>0</v>
      </c>
      <c r="E310" t="s">
        <v>381</v>
      </c>
      <c r="F310" t="s">
        <v>76</v>
      </c>
      <c r="G310" t="s">
        <v>80</v>
      </c>
      <c r="H310" t="s">
        <v>785</v>
      </c>
      <c r="J310" t="s">
        <v>915</v>
      </c>
      <c r="K310" t="s">
        <v>1402</v>
      </c>
      <c r="L310" t="s">
        <v>1483</v>
      </c>
      <c r="M310" t="s">
        <v>1986</v>
      </c>
      <c r="N310" t="s">
        <v>288</v>
      </c>
      <c r="O310" t="s">
        <v>289</v>
      </c>
      <c r="P310">
        <v>11225</v>
      </c>
      <c r="Q310" t="s">
        <v>290</v>
      </c>
      <c r="R310" t="s">
        <v>290</v>
      </c>
      <c r="S310" t="s">
        <v>292</v>
      </c>
      <c r="T310" t="s">
        <v>2331</v>
      </c>
      <c r="U310">
        <v>8</v>
      </c>
      <c r="V310" t="s">
        <v>340</v>
      </c>
      <c r="W310" t="s">
        <v>346</v>
      </c>
      <c r="Y310" t="s">
        <v>348</v>
      </c>
      <c r="Z310" t="s">
        <v>350</v>
      </c>
      <c r="AC310" t="s">
        <v>352</v>
      </c>
      <c r="AE310" t="s">
        <v>357</v>
      </c>
      <c r="AF310">
        <v>2019</v>
      </c>
      <c r="AG310">
        <v>0</v>
      </c>
      <c r="AH310">
        <v>855.72</v>
      </c>
      <c r="AI310">
        <v>6.5</v>
      </c>
      <c r="AJ310" t="s">
        <v>2800</v>
      </c>
      <c r="AL310" t="s">
        <v>3224</v>
      </c>
      <c r="AM310">
        <v>124</v>
      </c>
      <c r="AO310">
        <v>2</v>
      </c>
      <c r="AP310">
        <v>0</v>
      </c>
      <c r="AQ310">
        <v>290.95</v>
      </c>
      <c r="AR310" t="s">
        <v>781</v>
      </c>
      <c r="AS310" t="s">
        <v>3328</v>
      </c>
      <c r="AU310" t="s">
        <v>503</v>
      </c>
      <c r="AV310" t="s">
        <v>508</v>
      </c>
      <c r="AW310">
        <v>49200</v>
      </c>
      <c r="BA310" t="s">
        <v>3341</v>
      </c>
      <c r="BD310" t="s">
        <v>3369</v>
      </c>
      <c r="BE310" t="s">
        <v>3464</v>
      </c>
      <c r="BF310" t="s">
        <v>600</v>
      </c>
    </row>
    <row r="311" spans="1:58">
      <c r="A311" s="1">
        <f>HYPERLINK("https://lsnyc.legalserver.org/matter/dynamic-profile/view/1898485","19-1898485")</f>
        <v>0</v>
      </c>
      <c r="E311" t="s">
        <v>381</v>
      </c>
      <c r="F311" t="s">
        <v>632</v>
      </c>
      <c r="G311" t="s">
        <v>80</v>
      </c>
      <c r="H311" t="s">
        <v>786</v>
      </c>
      <c r="J311" t="s">
        <v>1075</v>
      </c>
      <c r="K311" t="s">
        <v>1403</v>
      </c>
      <c r="L311" t="s">
        <v>1755</v>
      </c>
      <c r="M311" t="s">
        <v>1987</v>
      </c>
      <c r="N311" t="s">
        <v>288</v>
      </c>
      <c r="O311" t="s">
        <v>289</v>
      </c>
      <c r="P311">
        <v>11225</v>
      </c>
      <c r="Q311" t="s">
        <v>290</v>
      </c>
      <c r="R311" t="s">
        <v>290</v>
      </c>
      <c r="S311" t="s">
        <v>292</v>
      </c>
      <c r="T311" t="s">
        <v>2332</v>
      </c>
      <c r="U311">
        <v>7</v>
      </c>
      <c r="V311" t="s">
        <v>340</v>
      </c>
      <c r="W311" t="s">
        <v>346</v>
      </c>
      <c r="Y311" t="s">
        <v>348</v>
      </c>
      <c r="Z311" t="s">
        <v>350</v>
      </c>
      <c r="AC311" t="s">
        <v>352</v>
      </c>
      <c r="AE311" t="s">
        <v>357</v>
      </c>
      <c r="AF311">
        <v>2019</v>
      </c>
      <c r="AG311">
        <v>0</v>
      </c>
      <c r="AH311">
        <v>1259.72</v>
      </c>
      <c r="AI311">
        <v>14.15</v>
      </c>
      <c r="AJ311" t="s">
        <v>2801</v>
      </c>
      <c r="AL311" t="s">
        <v>3225</v>
      </c>
      <c r="AM311">
        <v>123</v>
      </c>
      <c r="AO311">
        <v>3</v>
      </c>
      <c r="AP311">
        <v>2</v>
      </c>
      <c r="AQ311">
        <v>16.98</v>
      </c>
      <c r="AV311" t="s">
        <v>508</v>
      </c>
      <c r="AW311">
        <v>5122</v>
      </c>
      <c r="BA311" t="s">
        <v>3341</v>
      </c>
      <c r="BD311" t="s">
        <v>538</v>
      </c>
      <c r="BE311" t="s">
        <v>3465</v>
      </c>
      <c r="BF311" t="s">
        <v>600</v>
      </c>
    </row>
    <row r="312" spans="1:58">
      <c r="A312" s="1">
        <f>HYPERLINK("https://lsnyc.legalserver.org/matter/dynamic-profile/view/1895327","19-1895327")</f>
        <v>0</v>
      </c>
      <c r="E312" t="s">
        <v>381</v>
      </c>
      <c r="F312" t="s">
        <v>65</v>
      </c>
      <c r="G312" t="s">
        <v>80</v>
      </c>
      <c r="H312" t="s">
        <v>667</v>
      </c>
      <c r="J312" t="s">
        <v>1076</v>
      </c>
      <c r="K312" t="s">
        <v>1404</v>
      </c>
      <c r="L312" t="s">
        <v>1756</v>
      </c>
      <c r="M312" t="s">
        <v>1988</v>
      </c>
      <c r="N312" t="s">
        <v>288</v>
      </c>
      <c r="O312" t="s">
        <v>289</v>
      </c>
      <c r="P312">
        <v>11225</v>
      </c>
      <c r="Q312" t="s">
        <v>290</v>
      </c>
      <c r="R312" t="s">
        <v>290</v>
      </c>
      <c r="S312" t="s">
        <v>292</v>
      </c>
      <c r="T312" t="s">
        <v>2333</v>
      </c>
      <c r="U312">
        <v>30</v>
      </c>
      <c r="V312" t="s">
        <v>339</v>
      </c>
      <c r="W312" t="s">
        <v>346</v>
      </c>
      <c r="Y312" t="s">
        <v>348</v>
      </c>
      <c r="Z312" t="s">
        <v>350</v>
      </c>
      <c r="AA312" t="s">
        <v>350</v>
      </c>
      <c r="AC312" t="s">
        <v>352</v>
      </c>
      <c r="AD312" t="s">
        <v>356</v>
      </c>
      <c r="AE312" t="s">
        <v>357</v>
      </c>
      <c r="AF312">
        <v>2019</v>
      </c>
      <c r="AG312">
        <v>0</v>
      </c>
      <c r="AH312">
        <v>862</v>
      </c>
      <c r="AI312">
        <v>11</v>
      </c>
      <c r="AJ312" t="s">
        <v>2802</v>
      </c>
      <c r="AL312" t="s">
        <v>3226</v>
      </c>
      <c r="AM312">
        <v>96</v>
      </c>
      <c r="AN312" t="s">
        <v>493</v>
      </c>
      <c r="AO312">
        <v>2</v>
      </c>
      <c r="AP312">
        <v>0</v>
      </c>
      <c r="AQ312">
        <v>161.8</v>
      </c>
      <c r="AT312" t="s">
        <v>500</v>
      </c>
      <c r="AU312" t="s">
        <v>503</v>
      </c>
      <c r="AV312" t="s">
        <v>508</v>
      </c>
      <c r="AW312">
        <v>27360</v>
      </c>
      <c r="BA312" t="s">
        <v>522</v>
      </c>
      <c r="BB312" t="s">
        <v>3350</v>
      </c>
      <c r="BD312" t="s">
        <v>3411</v>
      </c>
      <c r="BE312" t="s">
        <v>576</v>
      </c>
      <c r="BF312" t="s">
        <v>600</v>
      </c>
    </row>
    <row r="313" spans="1:58">
      <c r="A313" s="1">
        <f>HYPERLINK("https://lsnyc.legalserver.org/matter/dynamic-profile/view/1895499","19-1895499")</f>
        <v>0</v>
      </c>
      <c r="E313" t="s">
        <v>381</v>
      </c>
      <c r="F313" t="s">
        <v>68</v>
      </c>
      <c r="G313" t="s">
        <v>80</v>
      </c>
      <c r="H313" t="s">
        <v>583</v>
      </c>
      <c r="J313" t="s">
        <v>1077</v>
      </c>
      <c r="K313" t="s">
        <v>1174</v>
      </c>
      <c r="L313" t="s">
        <v>1554</v>
      </c>
      <c r="M313" t="s">
        <v>1989</v>
      </c>
      <c r="N313" t="s">
        <v>288</v>
      </c>
      <c r="O313" t="s">
        <v>289</v>
      </c>
      <c r="P313">
        <v>11225</v>
      </c>
      <c r="Q313" t="s">
        <v>290</v>
      </c>
      <c r="R313" t="s">
        <v>290</v>
      </c>
      <c r="S313" t="s">
        <v>292</v>
      </c>
      <c r="T313" t="s">
        <v>2334</v>
      </c>
      <c r="U313">
        <v>40</v>
      </c>
      <c r="V313" t="s">
        <v>339</v>
      </c>
      <c r="W313" t="s">
        <v>346</v>
      </c>
      <c r="Y313" t="s">
        <v>348</v>
      </c>
      <c r="Z313" t="s">
        <v>350</v>
      </c>
      <c r="AA313" t="s">
        <v>350</v>
      </c>
      <c r="AC313" t="s">
        <v>352</v>
      </c>
      <c r="AD313" t="s">
        <v>356</v>
      </c>
      <c r="AE313" t="s">
        <v>357</v>
      </c>
      <c r="AF313">
        <v>2019</v>
      </c>
      <c r="AG313">
        <v>0</v>
      </c>
      <c r="AH313">
        <v>868</v>
      </c>
      <c r="AI313">
        <v>15.7</v>
      </c>
      <c r="AJ313" t="s">
        <v>2803</v>
      </c>
      <c r="AM313">
        <v>73</v>
      </c>
      <c r="AN313" t="s">
        <v>493</v>
      </c>
      <c r="AO313">
        <v>3</v>
      </c>
      <c r="AP313">
        <v>0</v>
      </c>
      <c r="AQ313">
        <v>88.09999999999999</v>
      </c>
      <c r="AT313" t="s">
        <v>501</v>
      </c>
      <c r="AU313" t="s">
        <v>507</v>
      </c>
      <c r="AV313" t="s">
        <v>508</v>
      </c>
      <c r="AW313">
        <v>18792</v>
      </c>
      <c r="BA313" t="s">
        <v>3341</v>
      </c>
      <c r="BB313" t="s">
        <v>3350</v>
      </c>
      <c r="BC313" t="s">
        <v>299</v>
      </c>
      <c r="BD313" t="s">
        <v>3388</v>
      </c>
      <c r="BE313" t="s">
        <v>807</v>
      </c>
      <c r="BF313" t="s">
        <v>600</v>
      </c>
    </row>
    <row r="314" spans="1:58">
      <c r="A314" s="1">
        <f>HYPERLINK("https://lsnyc.legalserver.org/matter/dynamic-profile/view/1897547","19-1897547")</f>
        <v>0</v>
      </c>
      <c r="E314" t="s">
        <v>381</v>
      </c>
      <c r="F314" t="s">
        <v>626</v>
      </c>
      <c r="G314" t="s">
        <v>80</v>
      </c>
      <c r="H314" t="s">
        <v>639</v>
      </c>
      <c r="J314" t="s">
        <v>1078</v>
      </c>
      <c r="K314" t="s">
        <v>1405</v>
      </c>
      <c r="L314" t="s">
        <v>1757</v>
      </c>
      <c r="M314" t="s">
        <v>1846</v>
      </c>
      <c r="N314" t="s">
        <v>288</v>
      </c>
      <c r="O314" t="s">
        <v>289</v>
      </c>
      <c r="P314">
        <v>11225</v>
      </c>
      <c r="Q314" t="s">
        <v>290</v>
      </c>
      <c r="R314" t="s">
        <v>290</v>
      </c>
      <c r="S314" t="s">
        <v>292</v>
      </c>
      <c r="T314" t="s">
        <v>2335</v>
      </c>
      <c r="U314">
        <v>5</v>
      </c>
      <c r="V314" t="s">
        <v>339</v>
      </c>
      <c r="W314" t="s">
        <v>346</v>
      </c>
      <c r="Y314" t="s">
        <v>348</v>
      </c>
      <c r="Z314" t="s">
        <v>350</v>
      </c>
      <c r="AA314" t="s">
        <v>350</v>
      </c>
      <c r="AC314" t="s">
        <v>352</v>
      </c>
      <c r="AD314" t="s">
        <v>356</v>
      </c>
      <c r="AE314" t="s">
        <v>357</v>
      </c>
      <c r="AF314">
        <v>2019</v>
      </c>
      <c r="AG314">
        <v>0</v>
      </c>
      <c r="AH314">
        <v>250</v>
      </c>
      <c r="AI314">
        <v>10.5</v>
      </c>
      <c r="AJ314" t="s">
        <v>2804</v>
      </c>
      <c r="AL314" t="s">
        <v>3227</v>
      </c>
      <c r="AM314">
        <v>9</v>
      </c>
      <c r="AN314" t="s">
        <v>497</v>
      </c>
      <c r="AO314">
        <v>1</v>
      </c>
      <c r="AP314">
        <v>0</v>
      </c>
      <c r="AQ314">
        <v>104.08</v>
      </c>
      <c r="AV314" t="s">
        <v>508</v>
      </c>
      <c r="AW314">
        <v>13000</v>
      </c>
      <c r="BA314" t="s">
        <v>522</v>
      </c>
      <c r="BD314" t="s">
        <v>550</v>
      </c>
      <c r="BE314" t="s">
        <v>585</v>
      </c>
      <c r="BF314" t="s">
        <v>600</v>
      </c>
    </row>
    <row r="315" spans="1:58">
      <c r="A315" s="1">
        <f>HYPERLINK("https://lsnyc.legalserver.org/matter/dynamic-profile/view/1897567","19-1897567")</f>
        <v>0</v>
      </c>
      <c r="E315" t="s">
        <v>381</v>
      </c>
      <c r="F315" t="s">
        <v>632</v>
      </c>
      <c r="G315" t="s">
        <v>80</v>
      </c>
      <c r="H315" t="s">
        <v>639</v>
      </c>
      <c r="J315" t="s">
        <v>1079</v>
      </c>
      <c r="K315" t="s">
        <v>1406</v>
      </c>
      <c r="L315" t="s">
        <v>1758</v>
      </c>
      <c r="M315" t="s">
        <v>1990</v>
      </c>
      <c r="N315" t="s">
        <v>288</v>
      </c>
      <c r="O315" t="s">
        <v>289</v>
      </c>
      <c r="P315">
        <v>11225</v>
      </c>
      <c r="Q315" t="s">
        <v>290</v>
      </c>
      <c r="R315" t="s">
        <v>290</v>
      </c>
      <c r="S315" t="s">
        <v>292</v>
      </c>
      <c r="T315" t="s">
        <v>2336</v>
      </c>
      <c r="U315">
        <v>12</v>
      </c>
      <c r="V315" t="s">
        <v>339</v>
      </c>
      <c r="W315" t="s">
        <v>346</v>
      </c>
      <c r="Y315" t="s">
        <v>348</v>
      </c>
      <c r="Z315" t="s">
        <v>350</v>
      </c>
      <c r="AA315" t="s">
        <v>350</v>
      </c>
      <c r="AC315" t="s">
        <v>352</v>
      </c>
      <c r="AE315" t="s">
        <v>357</v>
      </c>
      <c r="AF315">
        <v>2019</v>
      </c>
      <c r="AG315">
        <v>0</v>
      </c>
      <c r="AH315">
        <v>1300</v>
      </c>
      <c r="AI315">
        <v>25.4</v>
      </c>
      <c r="AJ315" t="s">
        <v>2805</v>
      </c>
      <c r="AL315" t="s">
        <v>3228</v>
      </c>
      <c r="AM315">
        <v>0</v>
      </c>
      <c r="AO315">
        <v>2</v>
      </c>
      <c r="AP315">
        <v>0</v>
      </c>
      <c r="AQ315">
        <v>253.6</v>
      </c>
      <c r="AR315" t="s">
        <v>781</v>
      </c>
      <c r="AS315" t="s">
        <v>3328</v>
      </c>
      <c r="AV315" t="s">
        <v>508</v>
      </c>
      <c r="AW315">
        <v>42884</v>
      </c>
      <c r="BA315" t="s">
        <v>522</v>
      </c>
      <c r="BD315" t="s">
        <v>3369</v>
      </c>
      <c r="BE315" t="s">
        <v>3451</v>
      </c>
      <c r="BF315" t="s">
        <v>600</v>
      </c>
    </row>
    <row r="316" spans="1:58">
      <c r="A316" s="1">
        <f>HYPERLINK("https://lsnyc.legalserver.org/matter/dynamic-profile/view/1898367","19-1898367")</f>
        <v>0</v>
      </c>
      <c r="E316" t="s">
        <v>381</v>
      </c>
      <c r="F316" t="s">
        <v>76</v>
      </c>
      <c r="G316" t="s">
        <v>80</v>
      </c>
      <c r="H316" t="s">
        <v>786</v>
      </c>
      <c r="J316" t="s">
        <v>1080</v>
      </c>
      <c r="K316" t="s">
        <v>1407</v>
      </c>
      <c r="L316" t="s">
        <v>1518</v>
      </c>
      <c r="M316" t="s">
        <v>1991</v>
      </c>
      <c r="N316" t="s">
        <v>288</v>
      </c>
      <c r="O316" t="s">
        <v>289</v>
      </c>
      <c r="P316">
        <v>11225</v>
      </c>
      <c r="Q316" t="s">
        <v>290</v>
      </c>
      <c r="R316" t="s">
        <v>290</v>
      </c>
      <c r="S316" t="s">
        <v>292</v>
      </c>
      <c r="T316" t="s">
        <v>2337</v>
      </c>
      <c r="U316">
        <v>2</v>
      </c>
      <c r="V316" t="s">
        <v>339</v>
      </c>
      <c r="W316" t="s">
        <v>346</v>
      </c>
      <c r="Y316" t="s">
        <v>348</v>
      </c>
      <c r="Z316" t="s">
        <v>350</v>
      </c>
      <c r="AC316" t="s">
        <v>352</v>
      </c>
      <c r="AE316" t="s">
        <v>357</v>
      </c>
      <c r="AF316">
        <v>2019</v>
      </c>
      <c r="AG316">
        <v>0</v>
      </c>
      <c r="AH316">
        <v>1696</v>
      </c>
      <c r="AI316">
        <v>0.9</v>
      </c>
      <c r="AJ316" t="s">
        <v>2806</v>
      </c>
      <c r="AL316" t="s">
        <v>3229</v>
      </c>
      <c r="AM316">
        <v>2</v>
      </c>
      <c r="AO316">
        <v>2</v>
      </c>
      <c r="AP316">
        <v>2</v>
      </c>
      <c r="AQ316">
        <v>60.58</v>
      </c>
      <c r="AU316" t="s">
        <v>503</v>
      </c>
      <c r="AV316" t="s">
        <v>508</v>
      </c>
      <c r="AW316">
        <v>15600</v>
      </c>
      <c r="BA316" t="s">
        <v>3341</v>
      </c>
      <c r="BD316" t="s">
        <v>3397</v>
      </c>
      <c r="BE316" t="s">
        <v>786</v>
      </c>
      <c r="BF316" t="s">
        <v>600</v>
      </c>
    </row>
    <row r="317" spans="1:58">
      <c r="A317" s="1">
        <f>HYPERLINK("https://lsnyc.legalserver.org/matter/dynamic-profile/view/1898545","19-1898545")</f>
        <v>0</v>
      </c>
      <c r="E317" t="s">
        <v>381</v>
      </c>
      <c r="F317" t="s">
        <v>628</v>
      </c>
      <c r="G317" t="s">
        <v>80</v>
      </c>
      <c r="H317" t="s">
        <v>676</v>
      </c>
      <c r="J317" t="s">
        <v>1081</v>
      </c>
      <c r="K317" t="s">
        <v>1408</v>
      </c>
      <c r="L317" t="s">
        <v>1759</v>
      </c>
      <c r="M317" t="s">
        <v>1845</v>
      </c>
      <c r="N317" t="s">
        <v>288</v>
      </c>
      <c r="O317" t="s">
        <v>289</v>
      </c>
      <c r="P317">
        <v>11225</v>
      </c>
      <c r="Q317" t="s">
        <v>290</v>
      </c>
      <c r="R317" t="s">
        <v>290</v>
      </c>
      <c r="S317" t="s">
        <v>292</v>
      </c>
      <c r="T317" t="s">
        <v>2338</v>
      </c>
      <c r="U317">
        <v>0</v>
      </c>
      <c r="V317" t="s">
        <v>339</v>
      </c>
      <c r="W317" t="s">
        <v>346</v>
      </c>
      <c r="Y317" t="s">
        <v>348</v>
      </c>
      <c r="Z317" t="s">
        <v>350</v>
      </c>
      <c r="AA317" t="s">
        <v>350</v>
      </c>
      <c r="AC317" t="s">
        <v>352</v>
      </c>
      <c r="AD317" t="s">
        <v>356</v>
      </c>
      <c r="AE317" t="s">
        <v>357</v>
      </c>
      <c r="AF317">
        <v>2019</v>
      </c>
      <c r="AG317">
        <v>0</v>
      </c>
      <c r="AH317">
        <v>3246.68</v>
      </c>
      <c r="AI317">
        <v>8.15</v>
      </c>
      <c r="AJ317" t="s">
        <v>2807</v>
      </c>
      <c r="AL317" t="s">
        <v>3230</v>
      </c>
      <c r="AM317">
        <v>0</v>
      </c>
      <c r="AN317" t="s">
        <v>493</v>
      </c>
      <c r="AO317">
        <v>1</v>
      </c>
      <c r="AP317">
        <v>0</v>
      </c>
      <c r="AQ317">
        <v>192.15</v>
      </c>
      <c r="AV317" t="s">
        <v>508</v>
      </c>
      <c r="AW317">
        <v>24000</v>
      </c>
      <c r="BA317" t="s">
        <v>522</v>
      </c>
      <c r="BD317" t="s">
        <v>550</v>
      </c>
      <c r="BE317" t="s">
        <v>560</v>
      </c>
      <c r="BF317" t="s">
        <v>600</v>
      </c>
    </row>
    <row r="318" spans="1:58">
      <c r="A318" s="1">
        <f>HYPERLINK("https://lsnyc.legalserver.org/matter/dynamic-profile/view/1898872","19-1898872")</f>
        <v>0</v>
      </c>
      <c r="E318" t="s">
        <v>381</v>
      </c>
      <c r="F318" t="s">
        <v>65</v>
      </c>
      <c r="G318" t="s">
        <v>80</v>
      </c>
      <c r="H318" t="s">
        <v>781</v>
      </c>
      <c r="J318" t="s">
        <v>1082</v>
      </c>
      <c r="K318" t="s">
        <v>1409</v>
      </c>
      <c r="L318" t="s">
        <v>1760</v>
      </c>
      <c r="M318" t="s">
        <v>1992</v>
      </c>
      <c r="N318" t="s">
        <v>288</v>
      </c>
      <c r="O318" t="s">
        <v>289</v>
      </c>
      <c r="P318">
        <v>11225</v>
      </c>
      <c r="Q318" t="s">
        <v>290</v>
      </c>
      <c r="R318" t="s">
        <v>290</v>
      </c>
      <c r="S318" t="s">
        <v>292</v>
      </c>
      <c r="T318" t="s">
        <v>2339</v>
      </c>
      <c r="U318">
        <v>0</v>
      </c>
      <c r="V318" t="s">
        <v>339</v>
      </c>
      <c r="W318" t="s">
        <v>346</v>
      </c>
      <c r="Y318" t="s">
        <v>348</v>
      </c>
      <c r="Z318" t="s">
        <v>350</v>
      </c>
      <c r="AA318" t="s">
        <v>350</v>
      </c>
      <c r="AC318" t="s">
        <v>352</v>
      </c>
      <c r="AE318" t="s">
        <v>357</v>
      </c>
      <c r="AF318">
        <v>2019</v>
      </c>
      <c r="AG318">
        <v>0</v>
      </c>
      <c r="AH318">
        <v>841.1900000000001</v>
      </c>
      <c r="AI318">
        <v>8.5</v>
      </c>
      <c r="AJ318" t="s">
        <v>2808</v>
      </c>
      <c r="AM318">
        <v>0</v>
      </c>
      <c r="AO318">
        <v>1</v>
      </c>
      <c r="AP318">
        <v>0</v>
      </c>
      <c r="AQ318">
        <v>57.65</v>
      </c>
      <c r="AV318" t="s">
        <v>508</v>
      </c>
      <c r="AW318">
        <v>7200</v>
      </c>
      <c r="BA318" t="s">
        <v>522</v>
      </c>
      <c r="BD318" t="s">
        <v>543</v>
      </c>
      <c r="BE318" t="s">
        <v>817</v>
      </c>
      <c r="BF318" t="s">
        <v>600</v>
      </c>
    </row>
    <row r="319" spans="1:58">
      <c r="A319" s="1">
        <f>HYPERLINK("https://lsnyc.legalserver.org/matter/dynamic-profile/view/1897551","19-1897551")</f>
        <v>0</v>
      </c>
      <c r="E319" t="s">
        <v>381</v>
      </c>
      <c r="F319" t="s">
        <v>632</v>
      </c>
      <c r="G319" t="s">
        <v>80</v>
      </c>
      <c r="H319" t="s">
        <v>639</v>
      </c>
      <c r="J319" t="s">
        <v>858</v>
      </c>
      <c r="K319" t="s">
        <v>1347</v>
      </c>
      <c r="L319" t="s">
        <v>1761</v>
      </c>
      <c r="M319">
        <v>4</v>
      </c>
      <c r="N319" t="s">
        <v>288</v>
      </c>
      <c r="O319" t="s">
        <v>289</v>
      </c>
      <c r="P319">
        <v>11221</v>
      </c>
      <c r="Q319" t="s">
        <v>290</v>
      </c>
      <c r="R319" t="s">
        <v>290</v>
      </c>
      <c r="S319" t="s">
        <v>292</v>
      </c>
      <c r="T319" t="s">
        <v>2340</v>
      </c>
      <c r="U319">
        <v>0</v>
      </c>
      <c r="V319" t="s">
        <v>340</v>
      </c>
      <c r="W319" t="s">
        <v>346</v>
      </c>
      <c r="Y319" t="s">
        <v>348</v>
      </c>
      <c r="Z319" t="s">
        <v>350</v>
      </c>
      <c r="AA319" t="s">
        <v>350</v>
      </c>
      <c r="AC319" t="s">
        <v>352</v>
      </c>
      <c r="AE319" t="s">
        <v>357</v>
      </c>
      <c r="AF319">
        <v>2019</v>
      </c>
      <c r="AG319">
        <v>0</v>
      </c>
      <c r="AH319">
        <v>0</v>
      </c>
      <c r="AI319">
        <v>11.1</v>
      </c>
      <c r="AJ319" t="s">
        <v>2809</v>
      </c>
      <c r="AL319" t="s">
        <v>3231</v>
      </c>
      <c r="AM319">
        <v>0</v>
      </c>
      <c r="AO319">
        <v>1</v>
      </c>
      <c r="AP319">
        <v>0</v>
      </c>
      <c r="AQ319">
        <v>39.34</v>
      </c>
      <c r="AV319" t="s">
        <v>508</v>
      </c>
      <c r="AW319">
        <v>4914</v>
      </c>
      <c r="BA319" t="s">
        <v>522</v>
      </c>
      <c r="BD319" t="s">
        <v>538</v>
      </c>
      <c r="BE319" t="s">
        <v>3462</v>
      </c>
      <c r="BF319" t="s">
        <v>600</v>
      </c>
    </row>
    <row r="320" spans="1:58">
      <c r="A320" s="1">
        <f>HYPERLINK("https://lsnyc.legalserver.org/matter/dynamic-profile/view/1898878","19-1898878")</f>
        <v>0</v>
      </c>
      <c r="E320" t="s">
        <v>381</v>
      </c>
      <c r="F320" t="s">
        <v>74</v>
      </c>
      <c r="G320" t="s">
        <v>80</v>
      </c>
      <c r="H320" t="s">
        <v>781</v>
      </c>
      <c r="J320" t="s">
        <v>981</v>
      </c>
      <c r="K320" t="s">
        <v>1410</v>
      </c>
      <c r="L320" t="s">
        <v>1762</v>
      </c>
      <c r="M320" t="s">
        <v>1993</v>
      </c>
      <c r="N320" t="s">
        <v>288</v>
      </c>
      <c r="O320" t="s">
        <v>289</v>
      </c>
      <c r="P320">
        <v>11221</v>
      </c>
      <c r="Q320" t="s">
        <v>290</v>
      </c>
      <c r="R320" t="s">
        <v>290</v>
      </c>
      <c r="S320" t="s">
        <v>292</v>
      </c>
      <c r="T320" t="s">
        <v>2341</v>
      </c>
      <c r="U320">
        <v>0</v>
      </c>
      <c r="V320" t="s">
        <v>340</v>
      </c>
      <c r="W320" t="s">
        <v>346</v>
      </c>
      <c r="Y320" t="s">
        <v>348</v>
      </c>
      <c r="Z320" t="s">
        <v>350</v>
      </c>
      <c r="AC320" t="s">
        <v>352</v>
      </c>
      <c r="AE320" t="s">
        <v>357</v>
      </c>
      <c r="AF320">
        <v>2019</v>
      </c>
      <c r="AG320">
        <v>0</v>
      </c>
      <c r="AH320">
        <v>0</v>
      </c>
      <c r="AI320">
        <v>19.7</v>
      </c>
      <c r="AJ320" t="s">
        <v>2810</v>
      </c>
      <c r="AL320" t="s">
        <v>3232</v>
      </c>
      <c r="AM320">
        <v>0</v>
      </c>
      <c r="AO320">
        <v>2</v>
      </c>
      <c r="AP320">
        <v>3</v>
      </c>
      <c r="AQ320">
        <v>50.94</v>
      </c>
      <c r="AV320" t="s">
        <v>508</v>
      </c>
      <c r="AW320">
        <v>15370</v>
      </c>
      <c r="BA320" t="s">
        <v>3342</v>
      </c>
      <c r="BD320" t="s">
        <v>541</v>
      </c>
      <c r="BE320" t="s">
        <v>586</v>
      </c>
      <c r="BF320" t="s">
        <v>600</v>
      </c>
    </row>
    <row r="321" spans="1:58">
      <c r="A321" s="1">
        <f>HYPERLINK("https://lsnyc.legalserver.org/matter/dynamic-profile/view/1897418","19-1897418")</f>
        <v>0</v>
      </c>
      <c r="E321" t="s">
        <v>381</v>
      </c>
      <c r="F321" t="s">
        <v>626</v>
      </c>
      <c r="G321" t="s">
        <v>80</v>
      </c>
      <c r="H321" t="s">
        <v>787</v>
      </c>
      <c r="J321" t="s">
        <v>1083</v>
      </c>
      <c r="K321" t="s">
        <v>1411</v>
      </c>
      <c r="L321" t="s">
        <v>1763</v>
      </c>
      <c r="M321" t="s">
        <v>1994</v>
      </c>
      <c r="N321" t="s">
        <v>288</v>
      </c>
      <c r="O321" t="s">
        <v>289</v>
      </c>
      <c r="P321">
        <v>11221</v>
      </c>
      <c r="Q321" t="s">
        <v>290</v>
      </c>
      <c r="R321" t="s">
        <v>290</v>
      </c>
      <c r="S321" t="s">
        <v>292</v>
      </c>
      <c r="T321" t="s">
        <v>2342</v>
      </c>
      <c r="U321">
        <v>5</v>
      </c>
      <c r="V321" t="s">
        <v>339</v>
      </c>
      <c r="W321" t="s">
        <v>346</v>
      </c>
      <c r="Y321" t="s">
        <v>348</v>
      </c>
      <c r="Z321" t="s">
        <v>350</v>
      </c>
      <c r="AA321" t="s">
        <v>350</v>
      </c>
      <c r="AC321" t="s">
        <v>352</v>
      </c>
      <c r="AD321" t="s">
        <v>356</v>
      </c>
      <c r="AE321" t="s">
        <v>357</v>
      </c>
      <c r="AF321">
        <v>2019</v>
      </c>
      <c r="AG321">
        <v>0</v>
      </c>
      <c r="AH321">
        <v>1716.72</v>
      </c>
      <c r="AI321">
        <v>15.6</v>
      </c>
      <c r="AJ321" t="s">
        <v>2811</v>
      </c>
      <c r="AL321" t="s">
        <v>3233</v>
      </c>
      <c r="AM321">
        <v>97</v>
      </c>
      <c r="AN321" t="s">
        <v>493</v>
      </c>
      <c r="AO321">
        <v>1</v>
      </c>
      <c r="AP321">
        <v>1</v>
      </c>
      <c r="AQ321">
        <v>212.89</v>
      </c>
      <c r="AR321" t="s">
        <v>781</v>
      </c>
      <c r="AS321" t="s">
        <v>3328</v>
      </c>
      <c r="AU321" t="s">
        <v>507</v>
      </c>
      <c r="AV321" t="s">
        <v>508</v>
      </c>
      <c r="AW321">
        <v>36000</v>
      </c>
      <c r="BA321" t="s">
        <v>522</v>
      </c>
      <c r="BC321" t="s">
        <v>536</v>
      </c>
      <c r="BD321" t="s">
        <v>537</v>
      </c>
      <c r="BE321" t="s">
        <v>817</v>
      </c>
      <c r="BF321" t="s">
        <v>600</v>
      </c>
    </row>
    <row r="322" spans="1:58">
      <c r="A322" s="1">
        <f>HYPERLINK("https://lsnyc.legalserver.org/matter/dynamic-profile/view/1897555","19-1897555")</f>
        <v>0</v>
      </c>
      <c r="E322" t="s">
        <v>381</v>
      </c>
      <c r="F322" t="s">
        <v>62</v>
      </c>
      <c r="G322" t="s">
        <v>80</v>
      </c>
      <c r="H322" t="s">
        <v>639</v>
      </c>
      <c r="J322" t="s">
        <v>1084</v>
      </c>
      <c r="K322" t="s">
        <v>1412</v>
      </c>
      <c r="L322" t="s">
        <v>1764</v>
      </c>
      <c r="M322">
        <v>207</v>
      </c>
      <c r="N322" t="s">
        <v>288</v>
      </c>
      <c r="O322" t="s">
        <v>289</v>
      </c>
      <c r="P322">
        <v>11221</v>
      </c>
      <c r="Q322" t="s">
        <v>290</v>
      </c>
      <c r="R322" t="s">
        <v>290</v>
      </c>
      <c r="S322" t="s">
        <v>292</v>
      </c>
      <c r="T322" t="s">
        <v>2343</v>
      </c>
      <c r="U322">
        <v>0</v>
      </c>
      <c r="V322" t="s">
        <v>339</v>
      </c>
      <c r="W322" t="s">
        <v>346</v>
      </c>
      <c r="Y322" t="s">
        <v>348</v>
      </c>
      <c r="Z322" t="s">
        <v>350</v>
      </c>
      <c r="AA322" t="s">
        <v>350</v>
      </c>
      <c r="AC322" t="s">
        <v>352</v>
      </c>
      <c r="AD322" t="s">
        <v>356</v>
      </c>
      <c r="AE322" t="s">
        <v>357</v>
      </c>
      <c r="AF322">
        <v>2019</v>
      </c>
      <c r="AG322">
        <v>0</v>
      </c>
      <c r="AH322">
        <v>0</v>
      </c>
      <c r="AI322">
        <v>10</v>
      </c>
      <c r="AJ322" t="s">
        <v>2812</v>
      </c>
      <c r="AL322" t="s">
        <v>3234</v>
      </c>
      <c r="AM322">
        <v>0</v>
      </c>
      <c r="AN322" t="s">
        <v>497</v>
      </c>
      <c r="AO322">
        <v>3</v>
      </c>
      <c r="AP322">
        <v>1</v>
      </c>
      <c r="AQ322">
        <v>160.54</v>
      </c>
      <c r="AV322" t="s">
        <v>508</v>
      </c>
      <c r="AW322">
        <v>41340</v>
      </c>
      <c r="BA322" t="s">
        <v>522</v>
      </c>
      <c r="BD322" t="s">
        <v>537</v>
      </c>
      <c r="BE322" t="s">
        <v>3434</v>
      </c>
      <c r="BF322" t="s">
        <v>600</v>
      </c>
    </row>
    <row r="323" spans="1:58">
      <c r="A323" s="1">
        <f>HYPERLINK("https://lsnyc.legalserver.org/matter/dynamic-profile/view/1898157","19-1898157")</f>
        <v>0</v>
      </c>
      <c r="E323" t="s">
        <v>381</v>
      </c>
      <c r="F323" t="s">
        <v>628</v>
      </c>
      <c r="G323" t="s">
        <v>80</v>
      </c>
      <c r="H323" t="s">
        <v>673</v>
      </c>
      <c r="J323" t="s">
        <v>1085</v>
      </c>
      <c r="K323" t="s">
        <v>1413</v>
      </c>
      <c r="L323" t="s">
        <v>1765</v>
      </c>
      <c r="M323" t="s">
        <v>1932</v>
      </c>
      <c r="N323" t="s">
        <v>288</v>
      </c>
      <c r="O323" t="s">
        <v>289</v>
      </c>
      <c r="P323">
        <v>11221</v>
      </c>
      <c r="Q323" t="s">
        <v>290</v>
      </c>
      <c r="R323" t="s">
        <v>290</v>
      </c>
      <c r="S323" t="s">
        <v>292</v>
      </c>
      <c r="T323" t="s">
        <v>2344</v>
      </c>
      <c r="U323">
        <v>7</v>
      </c>
      <c r="V323" t="s">
        <v>339</v>
      </c>
      <c r="W323" t="s">
        <v>346</v>
      </c>
      <c r="Y323" t="s">
        <v>348</v>
      </c>
      <c r="Z323" t="s">
        <v>350</v>
      </c>
      <c r="AA323" t="s">
        <v>350</v>
      </c>
      <c r="AC323" t="s">
        <v>352</v>
      </c>
      <c r="AD323" t="s">
        <v>2445</v>
      </c>
      <c r="AE323" t="s">
        <v>357</v>
      </c>
      <c r="AF323">
        <v>2019</v>
      </c>
      <c r="AG323">
        <v>0</v>
      </c>
      <c r="AH323">
        <v>1757.69</v>
      </c>
      <c r="AI323">
        <v>32.8</v>
      </c>
      <c r="AJ323" t="s">
        <v>2813</v>
      </c>
      <c r="AL323" t="s">
        <v>3235</v>
      </c>
      <c r="AM323">
        <v>0</v>
      </c>
      <c r="AN323" t="s">
        <v>493</v>
      </c>
      <c r="AO323">
        <v>2</v>
      </c>
      <c r="AP323">
        <v>2</v>
      </c>
      <c r="AQ323">
        <v>177.71</v>
      </c>
      <c r="AV323" t="s">
        <v>508</v>
      </c>
      <c r="AW323">
        <v>45760</v>
      </c>
      <c r="BA323" t="s">
        <v>522</v>
      </c>
      <c r="BB323" t="s">
        <v>534</v>
      </c>
      <c r="BD323" t="s">
        <v>537</v>
      </c>
      <c r="BE323" t="s">
        <v>806</v>
      </c>
      <c r="BF323" t="s">
        <v>600</v>
      </c>
    </row>
    <row r="324" spans="1:58">
      <c r="A324" s="1">
        <f>HYPERLINK("https://lsnyc.legalserver.org/matter/dynamic-profile/view/1898512","19-1898512")</f>
        <v>0</v>
      </c>
      <c r="E324" t="s">
        <v>381</v>
      </c>
      <c r="F324" t="s">
        <v>67</v>
      </c>
      <c r="G324" t="s">
        <v>80</v>
      </c>
      <c r="H324" t="s">
        <v>676</v>
      </c>
      <c r="J324" t="s">
        <v>163</v>
      </c>
      <c r="K324" t="s">
        <v>1218</v>
      </c>
      <c r="L324" t="s">
        <v>1766</v>
      </c>
      <c r="M324" t="s">
        <v>270</v>
      </c>
      <c r="N324" t="s">
        <v>288</v>
      </c>
      <c r="O324" t="s">
        <v>289</v>
      </c>
      <c r="P324">
        <v>11221</v>
      </c>
      <c r="Q324" t="s">
        <v>290</v>
      </c>
      <c r="R324" t="s">
        <v>290</v>
      </c>
      <c r="S324" t="s">
        <v>292</v>
      </c>
      <c r="T324" t="s">
        <v>2345</v>
      </c>
      <c r="U324">
        <v>12</v>
      </c>
      <c r="V324" t="s">
        <v>339</v>
      </c>
      <c r="W324" t="s">
        <v>346</v>
      </c>
      <c r="Y324" t="s">
        <v>348</v>
      </c>
      <c r="Z324" t="s">
        <v>350</v>
      </c>
      <c r="AA324" t="s">
        <v>350</v>
      </c>
      <c r="AC324" t="s">
        <v>352</v>
      </c>
      <c r="AE324" t="s">
        <v>357</v>
      </c>
      <c r="AF324">
        <v>2019</v>
      </c>
      <c r="AG324">
        <v>0</v>
      </c>
      <c r="AH324">
        <v>465</v>
      </c>
      <c r="AI324">
        <v>62.8</v>
      </c>
      <c r="AJ324" t="s">
        <v>2814</v>
      </c>
      <c r="AL324" t="s">
        <v>3236</v>
      </c>
      <c r="AM324">
        <v>0</v>
      </c>
      <c r="AO324">
        <v>2</v>
      </c>
      <c r="AP324">
        <v>4</v>
      </c>
      <c r="AQ324">
        <v>25.98</v>
      </c>
      <c r="AV324" t="s">
        <v>509</v>
      </c>
      <c r="AW324">
        <v>8988</v>
      </c>
      <c r="BA324" t="s">
        <v>522</v>
      </c>
      <c r="BD324" t="s">
        <v>3412</v>
      </c>
      <c r="BE324" t="s">
        <v>560</v>
      </c>
      <c r="BF324" t="s">
        <v>600</v>
      </c>
    </row>
    <row r="325" spans="1:58">
      <c r="A325" s="1">
        <f>HYPERLINK("https://lsnyc.legalserver.org/matter/dynamic-profile/view/1898584","19-1898584")</f>
        <v>0</v>
      </c>
      <c r="E325" t="s">
        <v>381</v>
      </c>
      <c r="F325" t="s">
        <v>59</v>
      </c>
      <c r="G325" t="s">
        <v>80</v>
      </c>
      <c r="H325" t="s">
        <v>676</v>
      </c>
      <c r="J325" t="s">
        <v>1086</v>
      </c>
      <c r="K325" t="s">
        <v>1414</v>
      </c>
      <c r="L325" t="s">
        <v>1767</v>
      </c>
      <c r="M325" t="s">
        <v>1995</v>
      </c>
      <c r="N325" t="s">
        <v>288</v>
      </c>
      <c r="O325" t="s">
        <v>289</v>
      </c>
      <c r="P325">
        <v>11221</v>
      </c>
      <c r="Q325" t="s">
        <v>290</v>
      </c>
      <c r="R325" t="s">
        <v>290</v>
      </c>
      <c r="S325" t="s">
        <v>292</v>
      </c>
      <c r="T325" t="s">
        <v>2346</v>
      </c>
      <c r="U325">
        <v>0</v>
      </c>
      <c r="V325" t="s">
        <v>339</v>
      </c>
      <c r="W325" t="s">
        <v>346</v>
      </c>
      <c r="Y325" t="s">
        <v>348</v>
      </c>
      <c r="Z325" t="s">
        <v>350</v>
      </c>
      <c r="AC325" t="s">
        <v>352</v>
      </c>
      <c r="AD325" t="s">
        <v>2445</v>
      </c>
      <c r="AE325" t="s">
        <v>357</v>
      </c>
      <c r="AF325">
        <v>2019</v>
      </c>
      <c r="AG325">
        <v>0</v>
      </c>
      <c r="AH325">
        <v>0</v>
      </c>
      <c r="AI325">
        <v>10.6</v>
      </c>
      <c r="AJ325" t="s">
        <v>2815</v>
      </c>
      <c r="AL325" t="s">
        <v>3237</v>
      </c>
      <c r="AM325">
        <v>0</v>
      </c>
      <c r="AN325" t="s">
        <v>493</v>
      </c>
      <c r="AO325">
        <v>1</v>
      </c>
      <c r="AP325">
        <v>0</v>
      </c>
      <c r="AQ325">
        <v>14.99</v>
      </c>
      <c r="AU325" t="s">
        <v>507</v>
      </c>
      <c r="AV325" t="s">
        <v>508</v>
      </c>
      <c r="AW325">
        <v>1872</v>
      </c>
      <c r="BA325" t="s">
        <v>3341</v>
      </c>
      <c r="BD325" t="s">
        <v>538</v>
      </c>
      <c r="BE325" t="s">
        <v>3466</v>
      </c>
      <c r="BF325" t="s">
        <v>600</v>
      </c>
    </row>
    <row r="326" spans="1:58">
      <c r="A326" s="1">
        <f>HYPERLINK("https://lsnyc.legalserver.org/matter/dynamic-profile/view/1898664","19-1898664")</f>
        <v>0</v>
      </c>
      <c r="E326" t="s">
        <v>381</v>
      </c>
      <c r="F326" t="s">
        <v>65</v>
      </c>
      <c r="G326" t="s">
        <v>80</v>
      </c>
      <c r="H326" t="s">
        <v>678</v>
      </c>
      <c r="J326" t="s">
        <v>1087</v>
      </c>
      <c r="K326" t="s">
        <v>1415</v>
      </c>
      <c r="L326" t="s">
        <v>1768</v>
      </c>
      <c r="M326" t="s">
        <v>1872</v>
      </c>
      <c r="N326" t="s">
        <v>288</v>
      </c>
      <c r="O326" t="s">
        <v>289</v>
      </c>
      <c r="P326">
        <v>11221</v>
      </c>
      <c r="Q326" t="s">
        <v>290</v>
      </c>
      <c r="R326" t="s">
        <v>290</v>
      </c>
      <c r="S326" t="s">
        <v>292</v>
      </c>
      <c r="T326" t="s">
        <v>2347</v>
      </c>
      <c r="U326">
        <v>3</v>
      </c>
      <c r="V326" t="s">
        <v>339</v>
      </c>
      <c r="W326" t="s">
        <v>346</v>
      </c>
      <c r="Y326" t="s">
        <v>348</v>
      </c>
      <c r="Z326" t="s">
        <v>350</v>
      </c>
      <c r="AA326" t="s">
        <v>350</v>
      </c>
      <c r="AC326" t="s">
        <v>352</v>
      </c>
      <c r="AE326" t="s">
        <v>357</v>
      </c>
      <c r="AF326">
        <v>2019</v>
      </c>
      <c r="AG326">
        <v>0</v>
      </c>
      <c r="AH326">
        <v>0</v>
      </c>
      <c r="AI326">
        <v>0.8</v>
      </c>
      <c r="AJ326" t="s">
        <v>2816</v>
      </c>
      <c r="AL326" t="s">
        <v>3238</v>
      </c>
      <c r="AM326">
        <v>0</v>
      </c>
      <c r="AO326">
        <v>2</v>
      </c>
      <c r="AP326">
        <v>0</v>
      </c>
      <c r="AQ326">
        <v>331.16</v>
      </c>
      <c r="AV326" t="s">
        <v>508</v>
      </c>
      <c r="AW326">
        <v>56000</v>
      </c>
      <c r="BA326" t="s">
        <v>522</v>
      </c>
      <c r="BD326" t="s">
        <v>537</v>
      </c>
      <c r="BE326" t="s">
        <v>599</v>
      </c>
      <c r="BF326" t="s">
        <v>600</v>
      </c>
    </row>
    <row r="327" spans="1:58">
      <c r="A327" s="1">
        <f>HYPERLINK("https://lsnyc.legalserver.org/matter/dynamic-profile/view/1896409","19-1896409")</f>
        <v>0</v>
      </c>
      <c r="E327" t="s">
        <v>381</v>
      </c>
      <c r="F327" t="s">
        <v>76</v>
      </c>
      <c r="G327" t="s">
        <v>80</v>
      </c>
      <c r="H327" t="s">
        <v>671</v>
      </c>
      <c r="J327" t="s">
        <v>1088</v>
      </c>
      <c r="K327" t="s">
        <v>1416</v>
      </c>
      <c r="L327" t="s">
        <v>1769</v>
      </c>
      <c r="M327" t="s">
        <v>1996</v>
      </c>
      <c r="N327" t="s">
        <v>288</v>
      </c>
      <c r="O327" t="s">
        <v>289</v>
      </c>
      <c r="P327">
        <v>11220</v>
      </c>
      <c r="Q327" t="s">
        <v>290</v>
      </c>
      <c r="R327" t="s">
        <v>290</v>
      </c>
      <c r="S327" t="s">
        <v>293</v>
      </c>
      <c r="T327" t="s">
        <v>2348</v>
      </c>
      <c r="U327">
        <v>10</v>
      </c>
      <c r="V327" t="s">
        <v>2434</v>
      </c>
      <c r="W327" t="s">
        <v>346</v>
      </c>
      <c r="Y327" t="s">
        <v>349</v>
      </c>
      <c r="Z327" t="s">
        <v>350</v>
      </c>
      <c r="AC327" t="s">
        <v>352</v>
      </c>
      <c r="AE327" t="s">
        <v>357</v>
      </c>
      <c r="AF327">
        <v>2019</v>
      </c>
      <c r="AG327">
        <v>0</v>
      </c>
      <c r="AH327">
        <v>0</v>
      </c>
      <c r="AI327">
        <v>8.699999999999999</v>
      </c>
      <c r="AJ327" t="s">
        <v>2817</v>
      </c>
      <c r="AL327" t="s">
        <v>3239</v>
      </c>
      <c r="AM327">
        <v>391</v>
      </c>
      <c r="AN327" t="s">
        <v>3324</v>
      </c>
      <c r="AO327">
        <v>1</v>
      </c>
      <c r="AP327">
        <v>0</v>
      </c>
      <c r="AQ327">
        <v>76.56999999999999</v>
      </c>
      <c r="AV327" t="s">
        <v>3335</v>
      </c>
      <c r="AW327">
        <v>9564</v>
      </c>
      <c r="BA327" t="s">
        <v>3341</v>
      </c>
      <c r="BD327" t="s">
        <v>554</v>
      </c>
      <c r="BE327" t="s">
        <v>3446</v>
      </c>
      <c r="BF327" t="s">
        <v>600</v>
      </c>
    </row>
    <row r="328" spans="1:58">
      <c r="A328" s="1">
        <f>HYPERLINK("https://lsnyc.legalserver.org/matter/dynamic-profile/view/1901337","19-1901337")</f>
        <v>0</v>
      </c>
      <c r="E328" t="s">
        <v>381</v>
      </c>
      <c r="F328" t="s">
        <v>65</v>
      </c>
      <c r="G328" t="s">
        <v>80</v>
      </c>
      <c r="H328" t="s">
        <v>788</v>
      </c>
      <c r="J328" t="s">
        <v>153</v>
      </c>
      <c r="K328" t="s">
        <v>1417</v>
      </c>
      <c r="L328" t="s">
        <v>1770</v>
      </c>
      <c r="M328" t="s">
        <v>1997</v>
      </c>
      <c r="N328" t="s">
        <v>288</v>
      </c>
      <c r="O328" t="s">
        <v>289</v>
      </c>
      <c r="P328">
        <v>11220</v>
      </c>
      <c r="Q328" t="s">
        <v>290</v>
      </c>
      <c r="R328" t="s">
        <v>291</v>
      </c>
      <c r="S328" t="s">
        <v>293</v>
      </c>
      <c r="U328">
        <v>9</v>
      </c>
      <c r="V328" t="s">
        <v>339</v>
      </c>
      <c r="W328" t="s">
        <v>346</v>
      </c>
      <c r="Y328" t="s">
        <v>349</v>
      </c>
      <c r="Z328" t="s">
        <v>350</v>
      </c>
      <c r="AA328" t="s">
        <v>350</v>
      </c>
      <c r="AC328" t="s">
        <v>352</v>
      </c>
      <c r="AE328" t="s">
        <v>357</v>
      </c>
      <c r="AF328">
        <v>2019</v>
      </c>
      <c r="AG328">
        <v>0</v>
      </c>
      <c r="AH328">
        <v>1344</v>
      </c>
      <c r="AI328">
        <v>34.8</v>
      </c>
      <c r="AJ328" t="s">
        <v>2818</v>
      </c>
      <c r="AK328" t="s">
        <v>2937</v>
      </c>
      <c r="AL328" t="s">
        <v>3240</v>
      </c>
      <c r="AM328">
        <v>6</v>
      </c>
      <c r="AN328" t="s">
        <v>493</v>
      </c>
      <c r="AO328">
        <v>1</v>
      </c>
      <c r="AP328">
        <v>0</v>
      </c>
      <c r="AQ328">
        <v>81.86</v>
      </c>
      <c r="AU328" t="s">
        <v>507</v>
      </c>
      <c r="AV328" t="s">
        <v>508</v>
      </c>
      <c r="AW328">
        <v>10224</v>
      </c>
      <c r="BA328" t="s">
        <v>3341</v>
      </c>
      <c r="BD328" t="s">
        <v>543</v>
      </c>
      <c r="BE328" t="s">
        <v>572</v>
      </c>
      <c r="BF328" t="s">
        <v>600</v>
      </c>
    </row>
    <row r="329" spans="1:58">
      <c r="A329" s="1">
        <f>HYPERLINK("https://lsnyc.legalserver.org/matter/dynamic-profile/view/1897040","19-1897040")</f>
        <v>0</v>
      </c>
      <c r="E329" t="s">
        <v>381</v>
      </c>
      <c r="F329" t="s">
        <v>62</v>
      </c>
      <c r="G329" t="s">
        <v>80</v>
      </c>
      <c r="H329" t="s">
        <v>675</v>
      </c>
      <c r="J329" t="s">
        <v>1089</v>
      </c>
      <c r="K329" t="s">
        <v>1418</v>
      </c>
      <c r="L329" t="s">
        <v>1771</v>
      </c>
      <c r="M329" t="s">
        <v>1998</v>
      </c>
      <c r="N329" t="s">
        <v>288</v>
      </c>
      <c r="O329" t="s">
        <v>289</v>
      </c>
      <c r="P329">
        <v>11219</v>
      </c>
      <c r="Q329" t="s">
        <v>290</v>
      </c>
      <c r="R329" t="s">
        <v>290</v>
      </c>
      <c r="S329" t="s">
        <v>295</v>
      </c>
      <c r="T329" t="s">
        <v>2349</v>
      </c>
      <c r="U329">
        <v>0</v>
      </c>
      <c r="V329" t="s">
        <v>339</v>
      </c>
      <c r="W329" t="s">
        <v>346</v>
      </c>
      <c r="Y329" t="s">
        <v>349</v>
      </c>
      <c r="Z329" t="s">
        <v>350</v>
      </c>
      <c r="AC329" t="s">
        <v>352</v>
      </c>
      <c r="AE329" t="s">
        <v>357</v>
      </c>
      <c r="AF329">
        <v>2019</v>
      </c>
      <c r="AG329">
        <v>0</v>
      </c>
      <c r="AH329">
        <v>1254</v>
      </c>
      <c r="AI329">
        <v>0.8</v>
      </c>
      <c r="AJ329" t="s">
        <v>2819</v>
      </c>
      <c r="AK329" t="s">
        <v>2938</v>
      </c>
      <c r="AL329" t="s">
        <v>3241</v>
      </c>
      <c r="AM329">
        <v>0</v>
      </c>
      <c r="AO329">
        <v>2</v>
      </c>
      <c r="AP329">
        <v>2</v>
      </c>
      <c r="AQ329">
        <v>61.36</v>
      </c>
      <c r="AV329" t="s">
        <v>508</v>
      </c>
      <c r="AW329">
        <v>15800</v>
      </c>
      <c r="BA329" t="s">
        <v>3342</v>
      </c>
      <c r="BD329" t="s">
        <v>537</v>
      </c>
      <c r="BE329" t="s">
        <v>790</v>
      </c>
      <c r="BF329" t="s">
        <v>600</v>
      </c>
    </row>
    <row r="330" spans="1:58">
      <c r="A330" s="1">
        <f>HYPERLINK("https://lsnyc.legalserver.org/matter/dynamic-profile/view/1898887","19-1898887")</f>
        <v>0</v>
      </c>
      <c r="E330" t="s">
        <v>381</v>
      </c>
      <c r="F330" t="s">
        <v>65</v>
      </c>
      <c r="G330" t="s">
        <v>80</v>
      </c>
      <c r="H330" t="s">
        <v>781</v>
      </c>
      <c r="J330" t="s">
        <v>928</v>
      </c>
      <c r="K330" t="s">
        <v>1419</v>
      </c>
      <c r="L330" t="s">
        <v>1772</v>
      </c>
      <c r="M330" t="s">
        <v>1861</v>
      </c>
      <c r="N330" t="s">
        <v>288</v>
      </c>
      <c r="O330" t="s">
        <v>289</v>
      </c>
      <c r="P330">
        <v>11218</v>
      </c>
      <c r="Q330" t="s">
        <v>290</v>
      </c>
      <c r="R330" t="s">
        <v>290</v>
      </c>
      <c r="S330" t="s">
        <v>295</v>
      </c>
      <c r="T330" t="s">
        <v>2350</v>
      </c>
      <c r="U330">
        <v>0</v>
      </c>
      <c r="V330" t="s">
        <v>339</v>
      </c>
      <c r="W330" t="s">
        <v>346</v>
      </c>
      <c r="Y330" t="s">
        <v>349</v>
      </c>
      <c r="Z330" t="s">
        <v>350</v>
      </c>
      <c r="AA330" t="s">
        <v>350</v>
      </c>
      <c r="AC330" t="s">
        <v>352</v>
      </c>
      <c r="AE330" t="s">
        <v>357</v>
      </c>
      <c r="AF330">
        <v>2019</v>
      </c>
      <c r="AG330">
        <v>0</v>
      </c>
      <c r="AH330">
        <v>1070</v>
      </c>
      <c r="AI330">
        <v>33.2</v>
      </c>
      <c r="AJ330" t="s">
        <v>2820</v>
      </c>
      <c r="AK330" t="s">
        <v>2939</v>
      </c>
      <c r="AL330" t="s">
        <v>3242</v>
      </c>
      <c r="AM330">
        <v>0</v>
      </c>
      <c r="AO330">
        <v>2</v>
      </c>
      <c r="AP330">
        <v>0</v>
      </c>
      <c r="AQ330">
        <v>83.95</v>
      </c>
      <c r="AU330" t="s">
        <v>503</v>
      </c>
      <c r="AV330" t="s">
        <v>508</v>
      </c>
      <c r="AW330">
        <v>14196</v>
      </c>
      <c r="BA330" t="s">
        <v>522</v>
      </c>
      <c r="BD330" t="s">
        <v>3413</v>
      </c>
      <c r="BE330" t="s">
        <v>3460</v>
      </c>
      <c r="BF330" t="s">
        <v>600</v>
      </c>
    </row>
    <row r="331" spans="1:58">
      <c r="A331" s="1">
        <f>HYPERLINK("https://lsnyc.legalserver.org/matter/dynamic-profile/view/1896187","19-1896187")</f>
        <v>0</v>
      </c>
      <c r="E331" t="s">
        <v>381</v>
      </c>
      <c r="F331" t="s">
        <v>59</v>
      </c>
      <c r="G331" t="s">
        <v>80</v>
      </c>
      <c r="H331" t="s">
        <v>674</v>
      </c>
      <c r="J331" t="s">
        <v>1090</v>
      </c>
      <c r="K331" t="s">
        <v>1148</v>
      </c>
      <c r="L331" t="s">
        <v>1773</v>
      </c>
      <c r="M331" t="s">
        <v>1999</v>
      </c>
      <c r="N331" t="s">
        <v>288</v>
      </c>
      <c r="O331" t="s">
        <v>289</v>
      </c>
      <c r="P331">
        <v>11217</v>
      </c>
      <c r="Q331" t="s">
        <v>290</v>
      </c>
      <c r="R331" t="s">
        <v>290</v>
      </c>
      <c r="S331" t="s">
        <v>295</v>
      </c>
      <c r="T331" t="s">
        <v>2351</v>
      </c>
      <c r="U331">
        <v>0</v>
      </c>
      <c r="V331" t="s">
        <v>340</v>
      </c>
      <c r="W331" t="s">
        <v>346</v>
      </c>
      <c r="Y331" t="s">
        <v>349</v>
      </c>
      <c r="Z331" t="s">
        <v>350</v>
      </c>
      <c r="AC331" t="s">
        <v>352</v>
      </c>
      <c r="AD331" t="s">
        <v>356</v>
      </c>
      <c r="AE331" t="s">
        <v>357</v>
      </c>
      <c r="AF331">
        <v>2019</v>
      </c>
      <c r="AG331">
        <v>0</v>
      </c>
      <c r="AH331">
        <v>0</v>
      </c>
      <c r="AI331">
        <v>91.7</v>
      </c>
      <c r="AJ331" t="s">
        <v>2821</v>
      </c>
      <c r="AK331" t="s">
        <v>2940</v>
      </c>
      <c r="AL331" t="s">
        <v>3243</v>
      </c>
      <c r="AM331">
        <v>750</v>
      </c>
      <c r="AN331" t="s">
        <v>493</v>
      </c>
      <c r="AO331">
        <v>1</v>
      </c>
      <c r="AP331">
        <v>2</v>
      </c>
      <c r="AQ331">
        <v>0</v>
      </c>
      <c r="AT331" t="s">
        <v>502</v>
      </c>
      <c r="AU331" t="s">
        <v>505</v>
      </c>
      <c r="AV331" t="s">
        <v>508</v>
      </c>
      <c r="AW331">
        <v>0</v>
      </c>
      <c r="BA331" t="s">
        <v>3341</v>
      </c>
      <c r="BD331" t="s">
        <v>544</v>
      </c>
      <c r="BE331" t="s">
        <v>3437</v>
      </c>
      <c r="BF331" t="s">
        <v>600</v>
      </c>
    </row>
    <row r="332" spans="1:58">
      <c r="A332" s="1">
        <f>HYPERLINK("https://lsnyc.legalserver.org/matter/dynamic-profile/view/1895885","19-1895885")</f>
        <v>0</v>
      </c>
      <c r="E332" t="s">
        <v>381</v>
      </c>
      <c r="F332" t="s">
        <v>74</v>
      </c>
      <c r="G332" t="s">
        <v>80</v>
      </c>
      <c r="H332" t="s">
        <v>670</v>
      </c>
      <c r="J332" t="s">
        <v>1091</v>
      </c>
      <c r="K332" t="s">
        <v>1220</v>
      </c>
      <c r="L332" t="s">
        <v>1774</v>
      </c>
      <c r="M332" t="s">
        <v>1888</v>
      </c>
      <c r="N332" t="s">
        <v>288</v>
      </c>
      <c r="O332" t="s">
        <v>289</v>
      </c>
      <c r="P332">
        <v>11216</v>
      </c>
      <c r="Q332" t="s">
        <v>290</v>
      </c>
      <c r="R332" t="s">
        <v>290</v>
      </c>
      <c r="S332" t="s">
        <v>292</v>
      </c>
      <c r="T332" t="s">
        <v>2352</v>
      </c>
      <c r="U332">
        <v>14</v>
      </c>
      <c r="V332" t="s">
        <v>339</v>
      </c>
      <c r="W332" t="s">
        <v>346</v>
      </c>
      <c r="Y332" t="s">
        <v>348</v>
      </c>
      <c r="Z332" t="s">
        <v>350</v>
      </c>
      <c r="AC332" t="s">
        <v>352</v>
      </c>
      <c r="AE332" t="s">
        <v>357</v>
      </c>
      <c r="AF332">
        <v>2019</v>
      </c>
      <c r="AG332">
        <v>0</v>
      </c>
      <c r="AH332">
        <v>989</v>
      </c>
      <c r="AI332">
        <v>16.5</v>
      </c>
      <c r="AJ332" t="s">
        <v>2822</v>
      </c>
      <c r="AL332" t="s">
        <v>3244</v>
      </c>
      <c r="AM332">
        <v>10</v>
      </c>
      <c r="AO332">
        <v>1</v>
      </c>
      <c r="AP332">
        <v>0</v>
      </c>
      <c r="AQ332">
        <v>72.15000000000001</v>
      </c>
      <c r="AT332" t="s">
        <v>500</v>
      </c>
      <c r="AU332" t="s">
        <v>503</v>
      </c>
      <c r="AV332" t="s">
        <v>509</v>
      </c>
      <c r="AW332">
        <v>9012</v>
      </c>
      <c r="BA332" t="s">
        <v>3342</v>
      </c>
      <c r="BD332" t="s">
        <v>543</v>
      </c>
      <c r="BE332" t="s">
        <v>586</v>
      </c>
      <c r="BF332" t="s">
        <v>600</v>
      </c>
    </row>
    <row r="333" spans="1:58">
      <c r="A333" s="1">
        <f>HYPERLINK("https://lsnyc.legalserver.org/matter/dynamic-profile/view/1896082","19-1896082")</f>
        <v>0</v>
      </c>
      <c r="E333" t="s">
        <v>381</v>
      </c>
      <c r="F333" t="s">
        <v>628</v>
      </c>
      <c r="G333" t="s">
        <v>80</v>
      </c>
      <c r="H333" t="s">
        <v>693</v>
      </c>
      <c r="J333" t="s">
        <v>1092</v>
      </c>
      <c r="K333" t="s">
        <v>870</v>
      </c>
      <c r="L333" t="s">
        <v>1775</v>
      </c>
      <c r="M333">
        <v>3</v>
      </c>
      <c r="N333" t="s">
        <v>288</v>
      </c>
      <c r="O333" t="s">
        <v>289</v>
      </c>
      <c r="P333">
        <v>11216</v>
      </c>
      <c r="Q333" t="s">
        <v>290</v>
      </c>
      <c r="R333" t="s">
        <v>290</v>
      </c>
      <c r="S333" t="s">
        <v>292</v>
      </c>
      <c r="T333" t="s">
        <v>2353</v>
      </c>
      <c r="U333">
        <v>0</v>
      </c>
      <c r="V333" t="s">
        <v>339</v>
      </c>
      <c r="W333" t="s">
        <v>346</v>
      </c>
      <c r="Y333" t="s">
        <v>348</v>
      </c>
      <c r="Z333" t="s">
        <v>350</v>
      </c>
      <c r="AC333" t="s">
        <v>352</v>
      </c>
      <c r="AE333" t="s">
        <v>357</v>
      </c>
      <c r="AF333">
        <v>2019</v>
      </c>
      <c r="AG333">
        <v>0</v>
      </c>
      <c r="AH333">
        <v>0</v>
      </c>
      <c r="AI333">
        <v>23.95</v>
      </c>
      <c r="AJ333" t="s">
        <v>2823</v>
      </c>
      <c r="AL333" t="s">
        <v>3245</v>
      </c>
      <c r="AM333">
        <v>4</v>
      </c>
      <c r="AO333">
        <v>3</v>
      </c>
      <c r="AP333">
        <v>0</v>
      </c>
      <c r="AQ333">
        <v>16.88</v>
      </c>
      <c r="AT333" t="s">
        <v>500</v>
      </c>
      <c r="AV333" t="s">
        <v>508</v>
      </c>
      <c r="AW333">
        <v>3600</v>
      </c>
      <c r="BA333" t="s">
        <v>3341</v>
      </c>
      <c r="BD333" t="s">
        <v>3388</v>
      </c>
      <c r="BE333" t="s">
        <v>567</v>
      </c>
      <c r="BF333" t="s">
        <v>600</v>
      </c>
    </row>
    <row r="334" spans="1:58">
      <c r="A334" s="1">
        <f>HYPERLINK("https://lsnyc.legalserver.org/matter/dynamic-profile/view/1897433","19-1897433")</f>
        <v>0</v>
      </c>
      <c r="E334" t="s">
        <v>381</v>
      </c>
      <c r="F334" t="s">
        <v>632</v>
      </c>
      <c r="G334" t="s">
        <v>80</v>
      </c>
      <c r="H334" t="s">
        <v>787</v>
      </c>
      <c r="J334" t="s">
        <v>1093</v>
      </c>
      <c r="K334" t="s">
        <v>1420</v>
      </c>
      <c r="L334" t="s">
        <v>1605</v>
      </c>
      <c r="M334" t="s">
        <v>276</v>
      </c>
      <c r="N334" t="s">
        <v>288</v>
      </c>
      <c r="O334" t="s">
        <v>289</v>
      </c>
      <c r="P334">
        <v>11216</v>
      </c>
      <c r="Q334" t="s">
        <v>290</v>
      </c>
      <c r="R334" t="s">
        <v>290</v>
      </c>
      <c r="S334" t="s">
        <v>292</v>
      </c>
      <c r="T334" t="s">
        <v>2354</v>
      </c>
      <c r="U334">
        <v>2</v>
      </c>
      <c r="V334" t="s">
        <v>339</v>
      </c>
      <c r="W334" t="s">
        <v>346</v>
      </c>
      <c r="Y334" t="s">
        <v>348</v>
      </c>
      <c r="Z334" t="s">
        <v>350</v>
      </c>
      <c r="AA334" t="s">
        <v>350</v>
      </c>
      <c r="AC334" t="s">
        <v>352</v>
      </c>
      <c r="AD334" t="s">
        <v>356</v>
      </c>
      <c r="AE334" t="s">
        <v>357</v>
      </c>
      <c r="AF334">
        <v>2019</v>
      </c>
      <c r="AG334">
        <v>0</v>
      </c>
      <c r="AH334">
        <v>0</v>
      </c>
      <c r="AI334">
        <v>12.4</v>
      </c>
      <c r="AJ334" t="s">
        <v>2824</v>
      </c>
      <c r="AL334" t="s">
        <v>3246</v>
      </c>
      <c r="AM334">
        <v>0</v>
      </c>
      <c r="AO334">
        <v>1</v>
      </c>
      <c r="AP334">
        <v>2</v>
      </c>
      <c r="AQ334">
        <v>55.3</v>
      </c>
      <c r="AV334" t="s">
        <v>508</v>
      </c>
      <c r="AW334">
        <v>11795</v>
      </c>
      <c r="BA334" t="s">
        <v>522</v>
      </c>
      <c r="BD334" t="s">
        <v>3374</v>
      </c>
      <c r="BE334" t="s">
        <v>818</v>
      </c>
      <c r="BF334" t="s">
        <v>600</v>
      </c>
    </row>
    <row r="335" spans="1:58">
      <c r="A335" s="1">
        <f>HYPERLINK("https://lsnyc.legalserver.org/matter/dynamic-profile/view/1898454","19-1898454")</f>
        <v>0</v>
      </c>
      <c r="E335" t="s">
        <v>381</v>
      </c>
      <c r="F335" t="s">
        <v>628</v>
      </c>
      <c r="G335" t="s">
        <v>80</v>
      </c>
      <c r="H335" t="s">
        <v>786</v>
      </c>
      <c r="J335" t="s">
        <v>1001</v>
      </c>
      <c r="K335" t="s">
        <v>1421</v>
      </c>
      <c r="L335" t="s">
        <v>1776</v>
      </c>
      <c r="M335" t="s">
        <v>1872</v>
      </c>
      <c r="N335" t="s">
        <v>288</v>
      </c>
      <c r="O335" t="s">
        <v>289</v>
      </c>
      <c r="P335">
        <v>11216</v>
      </c>
      <c r="Q335" t="s">
        <v>290</v>
      </c>
      <c r="R335" t="s">
        <v>290</v>
      </c>
      <c r="S335" t="s">
        <v>292</v>
      </c>
      <c r="T335" t="s">
        <v>2355</v>
      </c>
      <c r="U335">
        <v>3</v>
      </c>
      <c r="V335" t="s">
        <v>339</v>
      </c>
      <c r="W335" t="s">
        <v>346</v>
      </c>
      <c r="Y335" t="s">
        <v>348</v>
      </c>
      <c r="Z335" t="s">
        <v>350</v>
      </c>
      <c r="AC335" t="s">
        <v>352</v>
      </c>
      <c r="AE335" t="s">
        <v>357</v>
      </c>
      <c r="AF335">
        <v>2019</v>
      </c>
      <c r="AG335">
        <v>0</v>
      </c>
      <c r="AH335">
        <v>1280</v>
      </c>
      <c r="AI335">
        <v>25.85</v>
      </c>
      <c r="AJ335" t="s">
        <v>2825</v>
      </c>
      <c r="AL335" t="s">
        <v>3247</v>
      </c>
      <c r="AM335">
        <v>23</v>
      </c>
      <c r="AO335">
        <v>2</v>
      </c>
      <c r="AP335">
        <v>0</v>
      </c>
      <c r="AQ335">
        <v>60.1</v>
      </c>
      <c r="AV335" t="s">
        <v>508</v>
      </c>
      <c r="AW335">
        <v>10163.18</v>
      </c>
      <c r="BA335" t="s">
        <v>3341</v>
      </c>
      <c r="BD335" t="s">
        <v>541</v>
      </c>
      <c r="BE335" t="s">
        <v>590</v>
      </c>
      <c r="BF335" t="s">
        <v>600</v>
      </c>
    </row>
    <row r="336" spans="1:58">
      <c r="A336" s="1">
        <f>HYPERLINK("https://lsnyc.legalserver.org/matter/dynamic-profile/view/1898540","19-1898540")</f>
        <v>0</v>
      </c>
      <c r="E336" t="s">
        <v>381</v>
      </c>
      <c r="F336" t="s">
        <v>59</v>
      </c>
      <c r="G336" t="s">
        <v>80</v>
      </c>
      <c r="H336" t="s">
        <v>676</v>
      </c>
      <c r="J336" t="s">
        <v>1094</v>
      </c>
      <c r="K336" t="s">
        <v>183</v>
      </c>
      <c r="L336" t="s">
        <v>1777</v>
      </c>
      <c r="M336" t="s">
        <v>280</v>
      </c>
      <c r="N336" t="s">
        <v>288</v>
      </c>
      <c r="O336" t="s">
        <v>289</v>
      </c>
      <c r="P336">
        <v>11216</v>
      </c>
      <c r="Q336" t="s">
        <v>290</v>
      </c>
      <c r="R336" t="s">
        <v>290</v>
      </c>
      <c r="S336" t="s">
        <v>292</v>
      </c>
      <c r="T336" t="s">
        <v>2356</v>
      </c>
      <c r="U336">
        <v>30</v>
      </c>
      <c r="V336" t="s">
        <v>339</v>
      </c>
      <c r="W336" t="s">
        <v>346</v>
      </c>
      <c r="Y336" t="s">
        <v>348</v>
      </c>
      <c r="Z336" t="s">
        <v>350</v>
      </c>
      <c r="AC336" t="s">
        <v>352</v>
      </c>
      <c r="AD336" t="s">
        <v>356</v>
      </c>
      <c r="AE336" t="s">
        <v>357</v>
      </c>
      <c r="AF336">
        <v>2019</v>
      </c>
      <c r="AG336">
        <v>0</v>
      </c>
      <c r="AH336">
        <v>1014</v>
      </c>
      <c r="AI336">
        <v>17.9</v>
      </c>
      <c r="AJ336" t="s">
        <v>2826</v>
      </c>
      <c r="AL336" t="s">
        <v>3248</v>
      </c>
      <c r="AM336">
        <v>21</v>
      </c>
      <c r="AN336" t="s">
        <v>497</v>
      </c>
      <c r="AO336">
        <v>3</v>
      </c>
      <c r="AP336">
        <v>3</v>
      </c>
      <c r="AQ336">
        <v>116.06</v>
      </c>
      <c r="AV336" t="s">
        <v>508</v>
      </c>
      <c r="AW336">
        <v>40144</v>
      </c>
      <c r="BA336" t="s">
        <v>3341</v>
      </c>
      <c r="BD336" t="s">
        <v>540</v>
      </c>
      <c r="BE336" t="s">
        <v>816</v>
      </c>
      <c r="BF336" t="s">
        <v>600</v>
      </c>
    </row>
    <row r="337" spans="1:58">
      <c r="A337" s="1">
        <f>HYPERLINK("https://lsnyc.legalserver.org/matter/dynamic-profile/view/1895504","19-1895504")</f>
        <v>0</v>
      </c>
      <c r="E337" t="s">
        <v>381</v>
      </c>
      <c r="F337" t="s">
        <v>62</v>
      </c>
      <c r="G337" t="s">
        <v>80</v>
      </c>
      <c r="H337" t="s">
        <v>583</v>
      </c>
      <c r="J337" t="s">
        <v>1095</v>
      </c>
      <c r="K337" t="s">
        <v>1422</v>
      </c>
      <c r="L337" t="s">
        <v>1778</v>
      </c>
      <c r="M337" t="s">
        <v>2000</v>
      </c>
      <c r="N337" t="s">
        <v>288</v>
      </c>
      <c r="O337" t="s">
        <v>289</v>
      </c>
      <c r="P337">
        <v>11213</v>
      </c>
      <c r="Q337" t="s">
        <v>290</v>
      </c>
      <c r="R337" t="s">
        <v>290</v>
      </c>
      <c r="S337" t="s">
        <v>295</v>
      </c>
      <c r="T337" t="s">
        <v>2357</v>
      </c>
      <c r="U337">
        <v>-1</v>
      </c>
      <c r="V337" t="s">
        <v>339</v>
      </c>
      <c r="W337" t="s">
        <v>346</v>
      </c>
      <c r="Y337" t="s">
        <v>349</v>
      </c>
      <c r="Z337" t="s">
        <v>350</v>
      </c>
      <c r="AC337" t="s">
        <v>352</v>
      </c>
      <c r="AE337" t="s">
        <v>357</v>
      </c>
      <c r="AF337">
        <v>2019</v>
      </c>
      <c r="AG337">
        <v>0</v>
      </c>
      <c r="AH337">
        <v>1123</v>
      </c>
      <c r="AI337">
        <v>0</v>
      </c>
      <c r="AJ337" t="s">
        <v>2827</v>
      </c>
      <c r="AL337" t="s">
        <v>3249</v>
      </c>
      <c r="AM337">
        <v>8</v>
      </c>
      <c r="AO337">
        <v>1</v>
      </c>
      <c r="AP337">
        <v>0</v>
      </c>
      <c r="AQ337">
        <v>96.08</v>
      </c>
      <c r="AT337" t="s">
        <v>500</v>
      </c>
      <c r="AU337" t="s">
        <v>503</v>
      </c>
      <c r="AV337" t="s">
        <v>508</v>
      </c>
      <c r="AW337">
        <v>12000</v>
      </c>
      <c r="BA337" t="s">
        <v>3342</v>
      </c>
      <c r="BD337" t="s">
        <v>537</v>
      </c>
      <c r="BF337" t="s">
        <v>600</v>
      </c>
    </row>
    <row r="338" spans="1:58">
      <c r="A338" s="1">
        <f>HYPERLINK("https://lsnyc.legalserver.org/matter/dynamic-profile/view/1895487","19-1895487")</f>
        <v>0</v>
      </c>
      <c r="E338" t="s">
        <v>381</v>
      </c>
      <c r="F338" t="s">
        <v>62</v>
      </c>
      <c r="G338" t="s">
        <v>80</v>
      </c>
      <c r="H338" t="s">
        <v>583</v>
      </c>
      <c r="J338" t="s">
        <v>1096</v>
      </c>
      <c r="K338" t="s">
        <v>1330</v>
      </c>
      <c r="L338" t="s">
        <v>1779</v>
      </c>
      <c r="M338">
        <v>2</v>
      </c>
      <c r="N338" t="s">
        <v>288</v>
      </c>
      <c r="O338" t="s">
        <v>289</v>
      </c>
      <c r="P338">
        <v>11212</v>
      </c>
      <c r="Q338" t="s">
        <v>290</v>
      </c>
      <c r="R338" t="s">
        <v>290</v>
      </c>
      <c r="S338" t="s">
        <v>295</v>
      </c>
      <c r="T338" t="s">
        <v>2358</v>
      </c>
      <c r="U338">
        <v>-1</v>
      </c>
      <c r="V338" t="s">
        <v>339</v>
      </c>
      <c r="W338" t="s">
        <v>346</v>
      </c>
      <c r="Y338" t="s">
        <v>349</v>
      </c>
      <c r="Z338" t="s">
        <v>350</v>
      </c>
      <c r="AC338" t="s">
        <v>352</v>
      </c>
      <c r="AE338" t="s">
        <v>357</v>
      </c>
      <c r="AF338">
        <v>2019</v>
      </c>
      <c r="AG338">
        <v>0</v>
      </c>
      <c r="AH338">
        <v>22002</v>
      </c>
      <c r="AI338">
        <v>0</v>
      </c>
      <c r="AJ338" t="s">
        <v>2828</v>
      </c>
      <c r="AK338" t="s">
        <v>2941</v>
      </c>
      <c r="AL338" t="s">
        <v>3250</v>
      </c>
      <c r="AM338">
        <v>2</v>
      </c>
      <c r="AO338">
        <v>1</v>
      </c>
      <c r="AP338">
        <v>0</v>
      </c>
      <c r="AQ338">
        <v>0</v>
      </c>
      <c r="AT338" t="s">
        <v>500</v>
      </c>
      <c r="AV338" t="s">
        <v>508</v>
      </c>
      <c r="AW338">
        <v>0</v>
      </c>
      <c r="BA338" t="s">
        <v>3342</v>
      </c>
      <c r="BD338" t="s">
        <v>544</v>
      </c>
      <c r="BF338" t="s">
        <v>600</v>
      </c>
    </row>
    <row r="339" spans="1:58">
      <c r="A339" s="1">
        <f>HYPERLINK("https://lsnyc.legalserver.org/matter/dynamic-profile/view/1897748","19-1897748")</f>
        <v>0</v>
      </c>
      <c r="E339" t="s">
        <v>381</v>
      </c>
      <c r="F339" t="s">
        <v>74</v>
      </c>
      <c r="G339" t="s">
        <v>80</v>
      </c>
      <c r="H339" t="s">
        <v>785</v>
      </c>
      <c r="J339" t="s">
        <v>945</v>
      </c>
      <c r="K339" t="s">
        <v>1423</v>
      </c>
      <c r="L339" t="s">
        <v>1780</v>
      </c>
      <c r="M339" t="s">
        <v>2001</v>
      </c>
      <c r="N339" t="s">
        <v>288</v>
      </c>
      <c r="O339" t="s">
        <v>289</v>
      </c>
      <c r="P339">
        <v>11210</v>
      </c>
      <c r="Q339" t="s">
        <v>290</v>
      </c>
      <c r="R339" t="s">
        <v>290</v>
      </c>
      <c r="S339" t="s">
        <v>295</v>
      </c>
      <c r="T339" t="s">
        <v>2359</v>
      </c>
      <c r="U339">
        <v>0</v>
      </c>
      <c r="V339" t="s">
        <v>339</v>
      </c>
      <c r="W339" t="s">
        <v>346</v>
      </c>
      <c r="Y339" t="s">
        <v>349</v>
      </c>
      <c r="Z339" t="s">
        <v>350</v>
      </c>
      <c r="AC339" t="s">
        <v>352</v>
      </c>
      <c r="AE339" t="s">
        <v>357</v>
      </c>
      <c r="AF339">
        <v>2019</v>
      </c>
      <c r="AG339">
        <v>0</v>
      </c>
      <c r="AH339">
        <v>0</v>
      </c>
      <c r="AI339">
        <v>8.75</v>
      </c>
      <c r="AJ339" t="s">
        <v>2829</v>
      </c>
      <c r="AL339" t="s">
        <v>3251</v>
      </c>
      <c r="AM339">
        <v>0</v>
      </c>
      <c r="AO339">
        <v>1</v>
      </c>
      <c r="AP339">
        <v>0</v>
      </c>
      <c r="AQ339">
        <v>160.13</v>
      </c>
      <c r="AV339" t="s">
        <v>508</v>
      </c>
      <c r="AW339">
        <v>20000</v>
      </c>
      <c r="BA339" t="s">
        <v>3342</v>
      </c>
      <c r="BD339" t="s">
        <v>537</v>
      </c>
      <c r="BE339" t="s">
        <v>586</v>
      </c>
      <c r="BF339" t="s">
        <v>600</v>
      </c>
    </row>
    <row r="340" spans="1:58">
      <c r="A340" s="1">
        <f>HYPERLINK("https://lsnyc.legalserver.org/matter/dynamic-profile/view/1898893","19-1898893")</f>
        <v>0</v>
      </c>
      <c r="E340" t="s">
        <v>381</v>
      </c>
      <c r="F340" t="s">
        <v>65</v>
      </c>
      <c r="G340" t="s">
        <v>80</v>
      </c>
      <c r="H340" t="s">
        <v>781</v>
      </c>
      <c r="J340" t="s">
        <v>1097</v>
      </c>
      <c r="K340" t="s">
        <v>887</v>
      </c>
      <c r="L340" t="s">
        <v>1781</v>
      </c>
      <c r="M340" t="s">
        <v>1950</v>
      </c>
      <c r="N340" t="s">
        <v>288</v>
      </c>
      <c r="O340" t="s">
        <v>289</v>
      </c>
      <c r="P340">
        <v>11207</v>
      </c>
      <c r="Q340" t="s">
        <v>290</v>
      </c>
      <c r="R340" t="s">
        <v>290</v>
      </c>
      <c r="S340" t="s">
        <v>295</v>
      </c>
      <c r="T340" t="s">
        <v>2360</v>
      </c>
      <c r="U340">
        <v>0</v>
      </c>
      <c r="V340" t="s">
        <v>339</v>
      </c>
      <c r="W340" t="s">
        <v>346</v>
      </c>
      <c r="Y340" t="s">
        <v>349</v>
      </c>
      <c r="Z340" t="s">
        <v>350</v>
      </c>
      <c r="AA340" t="s">
        <v>350</v>
      </c>
      <c r="AC340" t="s">
        <v>353</v>
      </c>
      <c r="AD340" t="s">
        <v>356</v>
      </c>
      <c r="AE340" t="s">
        <v>357</v>
      </c>
      <c r="AF340">
        <v>2019</v>
      </c>
      <c r="AG340">
        <v>0</v>
      </c>
      <c r="AH340">
        <v>581</v>
      </c>
      <c r="AI340">
        <v>8.300000000000001</v>
      </c>
      <c r="AJ340" t="s">
        <v>2830</v>
      </c>
      <c r="AL340" t="s">
        <v>3252</v>
      </c>
      <c r="AM340">
        <v>0</v>
      </c>
      <c r="AN340" t="s">
        <v>495</v>
      </c>
      <c r="AO340">
        <v>2</v>
      </c>
      <c r="AP340">
        <v>0</v>
      </c>
      <c r="AQ340">
        <v>184.51</v>
      </c>
      <c r="AU340" t="s">
        <v>503</v>
      </c>
      <c r="AV340" t="s">
        <v>508</v>
      </c>
      <c r="AW340">
        <v>31200</v>
      </c>
      <c r="BA340" t="s">
        <v>522</v>
      </c>
      <c r="BD340" t="s">
        <v>537</v>
      </c>
      <c r="BE340" t="s">
        <v>814</v>
      </c>
      <c r="BF340" t="s">
        <v>600</v>
      </c>
    </row>
    <row r="341" spans="1:58">
      <c r="A341" s="1">
        <f>HYPERLINK("https://lsnyc.legalserver.org/matter/dynamic-profile/view/1896244","19-1896244")</f>
        <v>0</v>
      </c>
      <c r="E341" t="s">
        <v>381</v>
      </c>
      <c r="F341" t="s">
        <v>60</v>
      </c>
      <c r="G341" t="s">
        <v>80</v>
      </c>
      <c r="H341" t="s">
        <v>674</v>
      </c>
      <c r="J341" t="s">
        <v>1098</v>
      </c>
      <c r="K341" t="s">
        <v>1424</v>
      </c>
      <c r="L341" t="s">
        <v>1782</v>
      </c>
      <c r="M341" t="s">
        <v>2002</v>
      </c>
      <c r="N341" t="s">
        <v>288</v>
      </c>
      <c r="O341" t="s">
        <v>289</v>
      </c>
      <c r="P341">
        <v>11206</v>
      </c>
      <c r="Q341" t="s">
        <v>290</v>
      </c>
      <c r="R341" t="s">
        <v>291</v>
      </c>
      <c r="S341" t="s">
        <v>295</v>
      </c>
      <c r="T341" t="s">
        <v>2361</v>
      </c>
      <c r="U341">
        <v>0</v>
      </c>
      <c r="V341" t="s">
        <v>339</v>
      </c>
      <c r="W341" t="s">
        <v>346</v>
      </c>
      <c r="Y341" t="s">
        <v>349</v>
      </c>
      <c r="Z341" t="s">
        <v>350</v>
      </c>
      <c r="AC341" t="s">
        <v>352</v>
      </c>
      <c r="AE341" t="s">
        <v>357</v>
      </c>
      <c r="AF341">
        <v>2019</v>
      </c>
      <c r="AG341">
        <v>0</v>
      </c>
      <c r="AH341">
        <v>1534</v>
      </c>
      <c r="AI341">
        <v>8.199999999999999</v>
      </c>
      <c r="AJ341" t="s">
        <v>2831</v>
      </c>
      <c r="AL341" t="s">
        <v>3253</v>
      </c>
      <c r="AM341">
        <v>0</v>
      </c>
      <c r="AO341">
        <v>2</v>
      </c>
      <c r="AP341">
        <v>2</v>
      </c>
      <c r="AQ341">
        <v>89.31999999999999</v>
      </c>
      <c r="AT341" t="s">
        <v>502</v>
      </c>
      <c r="AU341" t="s">
        <v>505</v>
      </c>
      <c r="AV341" t="s">
        <v>508</v>
      </c>
      <c r="AW341">
        <v>23000</v>
      </c>
      <c r="BA341" t="s">
        <v>3342</v>
      </c>
      <c r="BD341" t="s">
        <v>537</v>
      </c>
      <c r="BE341" t="s">
        <v>810</v>
      </c>
      <c r="BF341" t="s">
        <v>600</v>
      </c>
    </row>
    <row r="342" spans="1:58">
      <c r="A342" s="1">
        <f>HYPERLINK("https://lsnyc.legalserver.org/matter/dynamic-profile/view/1895493","19-1895493")</f>
        <v>0</v>
      </c>
      <c r="E342" t="s">
        <v>381</v>
      </c>
      <c r="F342" t="s">
        <v>62</v>
      </c>
      <c r="G342" t="s">
        <v>80</v>
      </c>
      <c r="H342" t="s">
        <v>583</v>
      </c>
      <c r="J342" t="s">
        <v>1099</v>
      </c>
      <c r="K342" t="s">
        <v>1425</v>
      </c>
      <c r="L342" t="s">
        <v>1783</v>
      </c>
      <c r="M342" t="s">
        <v>2003</v>
      </c>
      <c r="N342" t="s">
        <v>288</v>
      </c>
      <c r="O342" t="s">
        <v>289</v>
      </c>
      <c r="P342">
        <v>11205</v>
      </c>
      <c r="Q342" t="s">
        <v>290</v>
      </c>
      <c r="R342" t="s">
        <v>290</v>
      </c>
      <c r="S342" t="s">
        <v>295</v>
      </c>
      <c r="T342" t="s">
        <v>2362</v>
      </c>
      <c r="U342">
        <v>15</v>
      </c>
      <c r="V342" t="s">
        <v>340</v>
      </c>
      <c r="W342" t="s">
        <v>346</v>
      </c>
      <c r="Y342" t="s">
        <v>349</v>
      </c>
      <c r="Z342" t="s">
        <v>350</v>
      </c>
      <c r="AC342" t="s">
        <v>353</v>
      </c>
      <c r="AE342" t="s">
        <v>357</v>
      </c>
      <c r="AF342">
        <v>2019</v>
      </c>
      <c r="AG342">
        <v>0</v>
      </c>
      <c r="AH342">
        <v>250</v>
      </c>
      <c r="AI342">
        <v>0</v>
      </c>
      <c r="AJ342" t="s">
        <v>2832</v>
      </c>
      <c r="AL342" t="s">
        <v>3254</v>
      </c>
      <c r="AM342">
        <v>2</v>
      </c>
      <c r="AO342">
        <v>1</v>
      </c>
      <c r="AP342">
        <v>0</v>
      </c>
      <c r="AQ342">
        <v>256.2</v>
      </c>
      <c r="AR342" t="s">
        <v>781</v>
      </c>
      <c r="AS342" t="s">
        <v>3328</v>
      </c>
      <c r="AT342" t="s">
        <v>500</v>
      </c>
      <c r="AV342" t="s">
        <v>508</v>
      </c>
      <c r="AW342">
        <v>32000</v>
      </c>
      <c r="BA342" t="s">
        <v>3342</v>
      </c>
      <c r="BD342" t="s">
        <v>537</v>
      </c>
      <c r="BF342" t="s">
        <v>600</v>
      </c>
    </row>
    <row r="343" spans="1:58">
      <c r="A343" s="1">
        <f>HYPERLINK("https://lsnyc.legalserver.org/matter/dynamic-profile/view/1895510","19-1895510")</f>
        <v>0</v>
      </c>
      <c r="E343" t="s">
        <v>381</v>
      </c>
      <c r="F343" t="s">
        <v>62</v>
      </c>
      <c r="G343" t="s">
        <v>80</v>
      </c>
      <c r="H343" t="s">
        <v>583</v>
      </c>
      <c r="J343" t="s">
        <v>148</v>
      </c>
      <c r="K343" t="s">
        <v>177</v>
      </c>
      <c r="L343" t="s">
        <v>1784</v>
      </c>
      <c r="N343" t="s">
        <v>288</v>
      </c>
      <c r="O343" t="s">
        <v>289</v>
      </c>
      <c r="P343">
        <v>11204</v>
      </c>
      <c r="Q343" t="s">
        <v>290</v>
      </c>
      <c r="R343" t="s">
        <v>290</v>
      </c>
      <c r="S343" t="s">
        <v>295</v>
      </c>
      <c r="T343" t="s">
        <v>2363</v>
      </c>
      <c r="U343">
        <v>2</v>
      </c>
      <c r="V343" t="s">
        <v>2436</v>
      </c>
      <c r="W343" t="s">
        <v>346</v>
      </c>
      <c r="Y343" t="s">
        <v>349</v>
      </c>
      <c r="Z343" t="s">
        <v>350</v>
      </c>
      <c r="AC343" t="s">
        <v>2442</v>
      </c>
      <c r="AE343" t="s">
        <v>357</v>
      </c>
      <c r="AF343">
        <v>2019</v>
      </c>
      <c r="AG343">
        <v>0</v>
      </c>
      <c r="AH343">
        <v>1350</v>
      </c>
      <c r="AI343">
        <v>0</v>
      </c>
      <c r="AJ343" t="s">
        <v>2833</v>
      </c>
      <c r="AL343" t="s">
        <v>3255</v>
      </c>
      <c r="AM343">
        <v>3</v>
      </c>
      <c r="AO343">
        <v>2</v>
      </c>
      <c r="AP343">
        <v>0</v>
      </c>
      <c r="AQ343">
        <v>56.84</v>
      </c>
      <c r="AT343" t="s">
        <v>500</v>
      </c>
      <c r="AU343" t="s">
        <v>503</v>
      </c>
      <c r="AV343" t="s">
        <v>508</v>
      </c>
      <c r="AW343">
        <v>9612</v>
      </c>
      <c r="BA343" t="s">
        <v>3342</v>
      </c>
      <c r="BD343" t="s">
        <v>554</v>
      </c>
      <c r="BF343" t="s">
        <v>600</v>
      </c>
    </row>
    <row r="344" spans="1:58">
      <c r="A344" s="1">
        <f>HYPERLINK("https://lsnyc.legalserver.org/matter/dynamic-profile/view/1896789","19-1896789")</f>
        <v>0</v>
      </c>
      <c r="E344" t="s">
        <v>381</v>
      </c>
      <c r="F344" t="s">
        <v>74</v>
      </c>
      <c r="G344" t="s">
        <v>80</v>
      </c>
      <c r="H344" t="s">
        <v>783</v>
      </c>
      <c r="J344" t="s">
        <v>1100</v>
      </c>
      <c r="K344" t="s">
        <v>1039</v>
      </c>
      <c r="L344" t="s">
        <v>1785</v>
      </c>
      <c r="M344" t="s">
        <v>2004</v>
      </c>
      <c r="N344" t="s">
        <v>288</v>
      </c>
      <c r="O344" t="s">
        <v>289</v>
      </c>
      <c r="P344">
        <v>11203</v>
      </c>
      <c r="Q344" t="s">
        <v>290</v>
      </c>
      <c r="R344" t="s">
        <v>290</v>
      </c>
      <c r="S344" t="s">
        <v>295</v>
      </c>
      <c r="T344" t="s">
        <v>2364</v>
      </c>
      <c r="U344">
        <v>0</v>
      </c>
      <c r="V344" t="s">
        <v>340</v>
      </c>
      <c r="W344" t="s">
        <v>346</v>
      </c>
      <c r="Y344" t="s">
        <v>349</v>
      </c>
      <c r="Z344" t="s">
        <v>350</v>
      </c>
      <c r="AC344" t="s">
        <v>352</v>
      </c>
      <c r="AE344" t="s">
        <v>357</v>
      </c>
      <c r="AF344">
        <v>2019</v>
      </c>
      <c r="AG344">
        <v>0</v>
      </c>
      <c r="AH344">
        <v>0</v>
      </c>
      <c r="AI344">
        <v>24.2</v>
      </c>
      <c r="AJ344" t="s">
        <v>2834</v>
      </c>
      <c r="AL344" t="s">
        <v>3256</v>
      </c>
      <c r="AM344">
        <v>0</v>
      </c>
      <c r="AO344">
        <v>2</v>
      </c>
      <c r="AP344">
        <v>2</v>
      </c>
      <c r="AQ344">
        <v>37.28</v>
      </c>
      <c r="AV344" t="s">
        <v>508</v>
      </c>
      <c r="AW344">
        <v>9600</v>
      </c>
      <c r="BA344" t="s">
        <v>3342</v>
      </c>
      <c r="BD344" t="s">
        <v>540</v>
      </c>
      <c r="BE344" t="s">
        <v>586</v>
      </c>
      <c r="BF344" t="s">
        <v>600</v>
      </c>
    </row>
    <row r="345" spans="1:58">
      <c r="A345" s="1">
        <f>HYPERLINK("https://lsnyc.legalserver.org/matter/dynamic-profile/view/1898862","19-1898862")</f>
        <v>0</v>
      </c>
      <c r="E345" t="s">
        <v>381</v>
      </c>
      <c r="F345" t="s">
        <v>623</v>
      </c>
      <c r="G345" t="s">
        <v>80</v>
      </c>
      <c r="H345" t="s">
        <v>781</v>
      </c>
      <c r="J345" t="s">
        <v>1101</v>
      </c>
      <c r="K345" t="s">
        <v>1426</v>
      </c>
      <c r="L345" t="s">
        <v>1548</v>
      </c>
      <c r="M345" t="s">
        <v>2005</v>
      </c>
      <c r="N345" t="s">
        <v>288</v>
      </c>
      <c r="O345" t="s">
        <v>289</v>
      </c>
      <c r="P345">
        <v>11203</v>
      </c>
      <c r="Q345" t="s">
        <v>290</v>
      </c>
      <c r="R345" t="s">
        <v>290</v>
      </c>
      <c r="S345" t="s">
        <v>295</v>
      </c>
      <c r="T345" t="s">
        <v>2365</v>
      </c>
      <c r="U345">
        <v>0</v>
      </c>
      <c r="V345" t="s">
        <v>340</v>
      </c>
      <c r="W345" t="s">
        <v>346</v>
      </c>
      <c r="Y345" t="s">
        <v>349</v>
      </c>
      <c r="Z345" t="s">
        <v>350</v>
      </c>
      <c r="AC345" t="s">
        <v>352</v>
      </c>
      <c r="AE345" t="s">
        <v>357</v>
      </c>
      <c r="AF345">
        <v>2019</v>
      </c>
      <c r="AG345">
        <v>0</v>
      </c>
      <c r="AH345">
        <v>215</v>
      </c>
      <c r="AI345">
        <v>27.4</v>
      </c>
      <c r="AJ345" t="s">
        <v>2601</v>
      </c>
      <c r="AK345" t="s">
        <v>2942</v>
      </c>
      <c r="AL345" t="s">
        <v>3257</v>
      </c>
      <c r="AM345">
        <v>0</v>
      </c>
      <c r="AO345">
        <v>1</v>
      </c>
      <c r="AP345">
        <v>2</v>
      </c>
      <c r="AQ345">
        <v>19.69</v>
      </c>
      <c r="AV345" t="s">
        <v>508</v>
      </c>
      <c r="AW345">
        <v>4200</v>
      </c>
      <c r="BA345" t="s">
        <v>3342</v>
      </c>
      <c r="BD345" t="s">
        <v>554</v>
      </c>
      <c r="BE345" t="s">
        <v>820</v>
      </c>
      <c r="BF345" t="s">
        <v>600</v>
      </c>
    </row>
    <row r="346" spans="1:58">
      <c r="A346" s="1">
        <f>HYPERLINK("https://lsnyc.legalserver.org/matter/dynamic-profile/view/1896219","19-1896219")</f>
        <v>0</v>
      </c>
      <c r="E346" t="s">
        <v>381</v>
      </c>
      <c r="F346" t="s">
        <v>59</v>
      </c>
      <c r="G346" t="s">
        <v>80</v>
      </c>
      <c r="H346" t="s">
        <v>674</v>
      </c>
      <c r="J346" t="s">
        <v>1102</v>
      </c>
      <c r="K346" t="s">
        <v>1427</v>
      </c>
      <c r="L346" t="s">
        <v>1786</v>
      </c>
      <c r="M346" t="s">
        <v>1916</v>
      </c>
      <c r="N346" t="s">
        <v>288</v>
      </c>
      <c r="O346" t="s">
        <v>289</v>
      </c>
      <c r="P346">
        <v>11209</v>
      </c>
      <c r="Q346" t="s">
        <v>290</v>
      </c>
      <c r="R346" t="s">
        <v>290</v>
      </c>
      <c r="S346" t="s">
        <v>295</v>
      </c>
      <c r="T346" t="s">
        <v>2366</v>
      </c>
      <c r="U346">
        <v>6</v>
      </c>
      <c r="V346" t="s">
        <v>339</v>
      </c>
      <c r="W346" t="s">
        <v>346</v>
      </c>
      <c r="Y346" t="s">
        <v>349</v>
      </c>
      <c r="Z346" t="s">
        <v>350</v>
      </c>
      <c r="AC346" t="s">
        <v>352</v>
      </c>
      <c r="AD346" t="s">
        <v>356</v>
      </c>
      <c r="AE346" t="s">
        <v>2499</v>
      </c>
      <c r="AF346">
        <v>2019</v>
      </c>
      <c r="AG346">
        <v>0</v>
      </c>
      <c r="AH346">
        <v>1170</v>
      </c>
      <c r="AI346">
        <v>25.05</v>
      </c>
      <c r="AJ346" t="s">
        <v>2835</v>
      </c>
      <c r="AK346" t="s">
        <v>2943</v>
      </c>
      <c r="AL346" t="s">
        <v>3258</v>
      </c>
      <c r="AM346">
        <v>62</v>
      </c>
      <c r="AN346" t="s">
        <v>493</v>
      </c>
      <c r="AO346">
        <v>1</v>
      </c>
      <c r="AP346">
        <v>1</v>
      </c>
      <c r="AQ346">
        <v>70.95999999999999</v>
      </c>
      <c r="AT346" t="s">
        <v>502</v>
      </c>
      <c r="AW346">
        <v>12000</v>
      </c>
      <c r="BA346" t="s">
        <v>3341</v>
      </c>
      <c r="BD346" t="s">
        <v>550</v>
      </c>
      <c r="BE346" t="s">
        <v>3467</v>
      </c>
    </row>
    <row r="347" spans="1:58">
      <c r="A347" s="1">
        <f>HYPERLINK("https://lsnyc.legalserver.org/matter/dynamic-profile/view/1898927","19-1898927")</f>
        <v>0</v>
      </c>
      <c r="E347" t="s">
        <v>381</v>
      </c>
      <c r="F347" t="s">
        <v>68</v>
      </c>
      <c r="G347" t="s">
        <v>80</v>
      </c>
      <c r="H347" t="s">
        <v>789</v>
      </c>
      <c r="J347" t="s">
        <v>910</v>
      </c>
      <c r="K347" t="s">
        <v>1428</v>
      </c>
      <c r="L347" t="s">
        <v>1482</v>
      </c>
      <c r="M347" t="s">
        <v>1848</v>
      </c>
      <c r="N347" t="s">
        <v>288</v>
      </c>
      <c r="O347" t="s">
        <v>289</v>
      </c>
      <c r="P347">
        <v>11221</v>
      </c>
      <c r="Q347" t="s">
        <v>290</v>
      </c>
      <c r="R347" t="s">
        <v>290</v>
      </c>
      <c r="S347" t="s">
        <v>2031</v>
      </c>
      <c r="T347" t="s">
        <v>2043</v>
      </c>
      <c r="U347">
        <v>8</v>
      </c>
      <c r="V347" t="s">
        <v>339</v>
      </c>
      <c r="W347" t="s">
        <v>346</v>
      </c>
      <c r="Y347" t="s">
        <v>348</v>
      </c>
      <c r="Z347" t="s">
        <v>350</v>
      </c>
      <c r="AC347" t="s">
        <v>352</v>
      </c>
      <c r="AE347" t="s">
        <v>2500</v>
      </c>
      <c r="AF347">
        <v>2019</v>
      </c>
      <c r="AG347">
        <v>0</v>
      </c>
      <c r="AH347">
        <v>1293</v>
      </c>
      <c r="AI347">
        <v>19.1</v>
      </c>
      <c r="AJ347" t="s">
        <v>2836</v>
      </c>
      <c r="AK347" t="s">
        <v>2944</v>
      </c>
      <c r="AL347" t="s">
        <v>3259</v>
      </c>
      <c r="AM347">
        <v>6</v>
      </c>
      <c r="AN347" t="s">
        <v>493</v>
      </c>
      <c r="AO347">
        <v>1</v>
      </c>
      <c r="AP347">
        <v>0</v>
      </c>
      <c r="AQ347">
        <v>124.9</v>
      </c>
      <c r="AV347" t="s">
        <v>508</v>
      </c>
      <c r="AW347">
        <v>15600</v>
      </c>
      <c r="BA347" t="s">
        <v>530</v>
      </c>
      <c r="BD347" t="s">
        <v>537</v>
      </c>
      <c r="BE347" t="s">
        <v>582</v>
      </c>
    </row>
    <row r="348" spans="1:58">
      <c r="A348" s="1">
        <f>HYPERLINK("https://lsnyc.legalserver.org/matter/dynamic-profile/view/1900548","19-1900548")</f>
        <v>0</v>
      </c>
      <c r="E348" t="s">
        <v>381</v>
      </c>
      <c r="F348" t="s">
        <v>629</v>
      </c>
      <c r="G348" t="s">
        <v>80</v>
      </c>
      <c r="H348" t="s">
        <v>565</v>
      </c>
      <c r="J348" t="s">
        <v>1103</v>
      </c>
      <c r="K348" t="s">
        <v>1236</v>
      </c>
      <c r="L348" t="s">
        <v>1787</v>
      </c>
      <c r="M348" t="s">
        <v>2006</v>
      </c>
      <c r="N348" t="s">
        <v>288</v>
      </c>
      <c r="O348" t="s">
        <v>289</v>
      </c>
      <c r="P348">
        <v>11226</v>
      </c>
      <c r="Q348" t="s">
        <v>290</v>
      </c>
      <c r="R348" t="s">
        <v>291</v>
      </c>
      <c r="S348" t="s">
        <v>295</v>
      </c>
      <c r="T348" t="s">
        <v>2367</v>
      </c>
      <c r="U348">
        <v>11</v>
      </c>
      <c r="V348" t="s">
        <v>340</v>
      </c>
      <c r="W348" t="s">
        <v>346</v>
      </c>
      <c r="Y348" t="s">
        <v>348</v>
      </c>
      <c r="Z348" t="s">
        <v>350</v>
      </c>
      <c r="AA348" t="s">
        <v>350</v>
      </c>
      <c r="AC348" t="s">
        <v>352</v>
      </c>
      <c r="AD348" t="s">
        <v>356</v>
      </c>
      <c r="AE348" t="s">
        <v>2501</v>
      </c>
      <c r="AF348">
        <v>2019</v>
      </c>
      <c r="AG348">
        <v>0</v>
      </c>
      <c r="AH348">
        <v>1290.59</v>
      </c>
      <c r="AI348">
        <v>12.3</v>
      </c>
      <c r="AJ348" t="s">
        <v>2837</v>
      </c>
      <c r="AK348" t="s">
        <v>503</v>
      </c>
      <c r="AM348">
        <v>0</v>
      </c>
      <c r="AN348" t="s">
        <v>493</v>
      </c>
      <c r="AO348">
        <v>1</v>
      </c>
      <c r="AP348">
        <v>2</v>
      </c>
      <c r="AQ348">
        <v>179.18</v>
      </c>
      <c r="AU348" t="s">
        <v>503</v>
      </c>
      <c r="AV348" t="s">
        <v>508</v>
      </c>
      <c r="AW348">
        <v>38220</v>
      </c>
      <c r="BA348" t="s">
        <v>3342</v>
      </c>
      <c r="BD348" t="s">
        <v>537</v>
      </c>
      <c r="BE348" t="s">
        <v>813</v>
      </c>
      <c r="BF348" t="s">
        <v>600</v>
      </c>
    </row>
    <row r="349" spans="1:58">
      <c r="A349" s="1">
        <f>HYPERLINK("https://lsnyc.legalserver.org/matter/dynamic-profile/view/1900568","19-1900568")</f>
        <v>0</v>
      </c>
      <c r="E349" t="s">
        <v>381</v>
      </c>
      <c r="F349" t="s">
        <v>63</v>
      </c>
      <c r="G349" t="s">
        <v>80</v>
      </c>
      <c r="H349" t="s">
        <v>565</v>
      </c>
      <c r="J349" t="s">
        <v>1104</v>
      </c>
      <c r="K349" t="s">
        <v>1429</v>
      </c>
      <c r="L349" t="s">
        <v>1788</v>
      </c>
      <c r="M349" t="s">
        <v>2007</v>
      </c>
      <c r="N349" t="s">
        <v>288</v>
      </c>
      <c r="O349" t="s">
        <v>289</v>
      </c>
      <c r="P349">
        <v>11221</v>
      </c>
      <c r="Q349" t="s">
        <v>290</v>
      </c>
      <c r="R349" t="s">
        <v>291</v>
      </c>
      <c r="S349" t="s">
        <v>292</v>
      </c>
      <c r="T349" t="s">
        <v>2368</v>
      </c>
      <c r="U349">
        <v>1</v>
      </c>
      <c r="V349" t="s">
        <v>340</v>
      </c>
      <c r="W349" t="s">
        <v>346</v>
      </c>
      <c r="Y349" t="s">
        <v>348</v>
      </c>
      <c r="Z349" t="s">
        <v>350</v>
      </c>
      <c r="AA349" t="s">
        <v>350</v>
      </c>
      <c r="AC349" t="s">
        <v>352</v>
      </c>
      <c r="AD349" t="s">
        <v>356</v>
      </c>
      <c r="AE349" t="s">
        <v>2501</v>
      </c>
      <c r="AF349">
        <v>2019</v>
      </c>
      <c r="AG349">
        <v>0</v>
      </c>
      <c r="AH349">
        <v>675</v>
      </c>
      <c r="AI349">
        <v>10.15</v>
      </c>
      <c r="AJ349" t="s">
        <v>2838</v>
      </c>
      <c r="AL349" t="s">
        <v>3260</v>
      </c>
      <c r="AM349">
        <v>2</v>
      </c>
      <c r="AN349" t="s">
        <v>496</v>
      </c>
      <c r="AO349">
        <v>1</v>
      </c>
      <c r="AP349">
        <v>0</v>
      </c>
      <c r="AQ349">
        <v>18.73</v>
      </c>
      <c r="AU349" t="s">
        <v>503</v>
      </c>
      <c r="AV349" t="s">
        <v>508</v>
      </c>
      <c r="AW349">
        <v>2340</v>
      </c>
      <c r="BA349" t="s">
        <v>524</v>
      </c>
      <c r="BC349" t="s">
        <v>3355</v>
      </c>
      <c r="BD349" t="s">
        <v>3368</v>
      </c>
      <c r="BE349" t="s">
        <v>3468</v>
      </c>
      <c r="BF349" t="s">
        <v>600</v>
      </c>
    </row>
    <row r="350" spans="1:58">
      <c r="A350" s="1">
        <f>HYPERLINK("https://lsnyc.legalserver.org/matter/dynamic-profile/view/1901076","19-1901076")</f>
        <v>0</v>
      </c>
      <c r="E350" t="s">
        <v>381</v>
      </c>
      <c r="F350" t="s">
        <v>629</v>
      </c>
      <c r="G350" t="s">
        <v>80</v>
      </c>
      <c r="H350" t="s">
        <v>790</v>
      </c>
      <c r="J350" t="s">
        <v>1105</v>
      </c>
      <c r="K350" t="s">
        <v>1330</v>
      </c>
      <c r="L350" t="s">
        <v>1789</v>
      </c>
      <c r="M350" t="s">
        <v>2008</v>
      </c>
      <c r="N350" t="s">
        <v>288</v>
      </c>
      <c r="O350" t="s">
        <v>289</v>
      </c>
      <c r="P350">
        <v>11226</v>
      </c>
      <c r="Q350" t="s">
        <v>290</v>
      </c>
      <c r="R350" t="s">
        <v>291</v>
      </c>
      <c r="S350" t="s">
        <v>295</v>
      </c>
      <c r="T350" t="s">
        <v>2369</v>
      </c>
      <c r="U350">
        <v>1</v>
      </c>
      <c r="V350" t="s">
        <v>339</v>
      </c>
      <c r="W350" t="s">
        <v>346</v>
      </c>
      <c r="Y350" t="s">
        <v>348</v>
      </c>
      <c r="Z350" t="s">
        <v>350</v>
      </c>
      <c r="AA350" t="s">
        <v>350</v>
      </c>
      <c r="AC350" t="s">
        <v>352</v>
      </c>
      <c r="AE350" t="s">
        <v>2502</v>
      </c>
      <c r="AF350">
        <v>2019</v>
      </c>
      <c r="AG350">
        <v>0</v>
      </c>
      <c r="AH350">
        <v>1475</v>
      </c>
      <c r="AI350">
        <v>13.2</v>
      </c>
      <c r="AJ350" t="s">
        <v>2839</v>
      </c>
      <c r="AL350" t="s">
        <v>3261</v>
      </c>
      <c r="AM350">
        <v>0</v>
      </c>
      <c r="AN350" t="s">
        <v>493</v>
      </c>
      <c r="AO350">
        <v>1</v>
      </c>
      <c r="AP350">
        <v>2</v>
      </c>
      <c r="AQ350">
        <v>37.69</v>
      </c>
      <c r="AU350" t="s">
        <v>503</v>
      </c>
      <c r="AV350" t="s">
        <v>508</v>
      </c>
      <c r="AW350">
        <v>8040</v>
      </c>
      <c r="BA350" t="s">
        <v>3347</v>
      </c>
      <c r="BD350" t="s">
        <v>3414</v>
      </c>
      <c r="BE350" t="s">
        <v>813</v>
      </c>
      <c r="BF350" t="s">
        <v>600</v>
      </c>
    </row>
    <row r="351" spans="1:58">
      <c r="A351" s="1">
        <f>HYPERLINK("https://lsnyc.legalserver.org/matter/dynamic-profile/view/1901082","19-1901082")</f>
        <v>0</v>
      </c>
      <c r="E351" t="s">
        <v>381</v>
      </c>
      <c r="F351" t="s">
        <v>59</v>
      </c>
      <c r="G351" t="s">
        <v>80</v>
      </c>
      <c r="H351" t="s">
        <v>790</v>
      </c>
      <c r="J351" t="s">
        <v>832</v>
      </c>
      <c r="K351" t="s">
        <v>1430</v>
      </c>
      <c r="L351" t="s">
        <v>1790</v>
      </c>
      <c r="M351" t="s">
        <v>2009</v>
      </c>
      <c r="N351" t="s">
        <v>288</v>
      </c>
      <c r="O351" t="s">
        <v>289</v>
      </c>
      <c r="P351">
        <v>11225</v>
      </c>
      <c r="Q351" t="s">
        <v>290</v>
      </c>
      <c r="R351" t="s">
        <v>291</v>
      </c>
      <c r="S351" t="s">
        <v>292</v>
      </c>
      <c r="T351" t="s">
        <v>2370</v>
      </c>
      <c r="U351">
        <v>10</v>
      </c>
      <c r="V351" t="s">
        <v>340</v>
      </c>
      <c r="W351" t="s">
        <v>346</v>
      </c>
      <c r="Y351" t="s">
        <v>348</v>
      </c>
      <c r="Z351" t="s">
        <v>350</v>
      </c>
      <c r="AA351" t="s">
        <v>350</v>
      </c>
      <c r="AC351" t="s">
        <v>352</v>
      </c>
      <c r="AE351" t="s">
        <v>2502</v>
      </c>
      <c r="AF351">
        <v>2019</v>
      </c>
      <c r="AG351">
        <v>0</v>
      </c>
      <c r="AH351">
        <v>930.26</v>
      </c>
      <c r="AI351">
        <v>33.6</v>
      </c>
      <c r="AJ351" t="s">
        <v>2840</v>
      </c>
      <c r="AL351" t="s">
        <v>3262</v>
      </c>
      <c r="AM351">
        <v>60</v>
      </c>
      <c r="AN351" t="s">
        <v>493</v>
      </c>
      <c r="AO351">
        <v>1</v>
      </c>
      <c r="AP351">
        <v>0</v>
      </c>
      <c r="AQ351">
        <v>299.76</v>
      </c>
      <c r="AV351" t="s">
        <v>508</v>
      </c>
      <c r="AW351">
        <v>37440</v>
      </c>
      <c r="BA351" t="s">
        <v>3348</v>
      </c>
      <c r="BD351" t="s">
        <v>537</v>
      </c>
      <c r="BE351" t="s">
        <v>595</v>
      </c>
    </row>
    <row r="352" spans="1:58">
      <c r="A352" s="1">
        <f>HYPERLINK("https://lsnyc.legalserver.org/matter/dynamic-profile/view/1901071","19-1901071")</f>
        <v>0</v>
      </c>
      <c r="E352" t="s">
        <v>381</v>
      </c>
      <c r="F352" t="s">
        <v>67</v>
      </c>
      <c r="G352" t="s">
        <v>80</v>
      </c>
      <c r="H352" t="s">
        <v>790</v>
      </c>
      <c r="J352" t="s">
        <v>1106</v>
      </c>
      <c r="K352" t="s">
        <v>1431</v>
      </c>
      <c r="L352" t="s">
        <v>1791</v>
      </c>
      <c r="M352" t="s">
        <v>2010</v>
      </c>
      <c r="N352" t="s">
        <v>288</v>
      </c>
      <c r="O352" t="s">
        <v>289</v>
      </c>
      <c r="P352">
        <v>11203</v>
      </c>
      <c r="Q352" t="s">
        <v>290</v>
      </c>
      <c r="R352" t="s">
        <v>291</v>
      </c>
      <c r="S352" t="s">
        <v>295</v>
      </c>
      <c r="T352" t="s">
        <v>2371</v>
      </c>
      <c r="U352">
        <v>3</v>
      </c>
      <c r="V352" t="s">
        <v>339</v>
      </c>
      <c r="W352" t="s">
        <v>346</v>
      </c>
      <c r="Y352" t="s">
        <v>349</v>
      </c>
      <c r="Z352" t="s">
        <v>350</v>
      </c>
      <c r="AC352" t="s">
        <v>352</v>
      </c>
      <c r="AE352" t="s">
        <v>2502</v>
      </c>
      <c r="AF352">
        <v>2019</v>
      </c>
      <c r="AG352">
        <v>0</v>
      </c>
      <c r="AH352">
        <v>1071</v>
      </c>
      <c r="AI352">
        <v>17.7</v>
      </c>
      <c r="AJ352" t="s">
        <v>2841</v>
      </c>
      <c r="AK352" t="s">
        <v>2945</v>
      </c>
      <c r="AL352" t="s">
        <v>3263</v>
      </c>
      <c r="AM352">
        <v>20</v>
      </c>
      <c r="AN352" t="s">
        <v>493</v>
      </c>
      <c r="AO352">
        <v>1</v>
      </c>
      <c r="AP352">
        <v>2</v>
      </c>
      <c r="AQ352">
        <v>17.67</v>
      </c>
      <c r="AU352" t="s">
        <v>503</v>
      </c>
      <c r="AV352" t="s">
        <v>508</v>
      </c>
      <c r="AW352">
        <v>3770</v>
      </c>
      <c r="BA352" t="s">
        <v>3349</v>
      </c>
      <c r="BD352" t="s">
        <v>540</v>
      </c>
      <c r="BE352" t="s">
        <v>3436</v>
      </c>
      <c r="BF352" t="s">
        <v>600</v>
      </c>
    </row>
    <row r="353" spans="1:58">
      <c r="A353" s="1">
        <f>HYPERLINK("https://lsnyc.legalserver.org/matter/dynamic-profile/view/1901253","19-1901253")</f>
        <v>0</v>
      </c>
      <c r="E353" t="s">
        <v>381</v>
      </c>
      <c r="F353" t="s">
        <v>620</v>
      </c>
      <c r="G353" t="s">
        <v>80</v>
      </c>
      <c r="H353" t="s">
        <v>592</v>
      </c>
      <c r="J353" t="s">
        <v>992</v>
      </c>
      <c r="K353" t="s">
        <v>950</v>
      </c>
      <c r="L353" t="s">
        <v>1792</v>
      </c>
      <c r="M353" t="s">
        <v>278</v>
      </c>
      <c r="N353" t="s">
        <v>288</v>
      </c>
      <c r="O353" t="s">
        <v>289</v>
      </c>
      <c r="P353">
        <v>11226</v>
      </c>
      <c r="Q353" t="s">
        <v>290</v>
      </c>
      <c r="R353" t="s">
        <v>291</v>
      </c>
      <c r="S353" t="s">
        <v>2031</v>
      </c>
      <c r="T353" t="s">
        <v>2372</v>
      </c>
      <c r="U353">
        <v>33</v>
      </c>
      <c r="V353" t="s">
        <v>340</v>
      </c>
      <c r="W353" t="s">
        <v>346</v>
      </c>
      <c r="Y353" t="s">
        <v>348</v>
      </c>
      <c r="Z353" t="s">
        <v>350</v>
      </c>
      <c r="AA353" t="s">
        <v>350</v>
      </c>
      <c r="AC353" t="s">
        <v>352</v>
      </c>
      <c r="AD353" t="s">
        <v>356</v>
      </c>
      <c r="AE353" t="s">
        <v>2503</v>
      </c>
      <c r="AF353">
        <v>2019</v>
      </c>
      <c r="AG353">
        <v>0</v>
      </c>
      <c r="AH353">
        <v>875</v>
      </c>
      <c r="AI353">
        <v>37.65</v>
      </c>
      <c r="AJ353" t="s">
        <v>2842</v>
      </c>
      <c r="AL353" t="s">
        <v>3264</v>
      </c>
      <c r="AM353">
        <v>40</v>
      </c>
      <c r="AN353" t="s">
        <v>3320</v>
      </c>
      <c r="AO353">
        <v>2</v>
      </c>
      <c r="AP353">
        <v>0</v>
      </c>
      <c r="AQ353">
        <v>241.28</v>
      </c>
      <c r="AR353" t="s">
        <v>822</v>
      </c>
      <c r="AS353" t="s">
        <v>3328</v>
      </c>
      <c r="AU353" t="s">
        <v>503</v>
      </c>
      <c r="AV353" t="s">
        <v>508</v>
      </c>
      <c r="AW353">
        <v>40800</v>
      </c>
      <c r="BA353" t="s">
        <v>625</v>
      </c>
      <c r="BD353" t="s">
        <v>3362</v>
      </c>
      <c r="BE353" t="s">
        <v>572</v>
      </c>
      <c r="BF353" t="s">
        <v>600</v>
      </c>
    </row>
    <row r="354" spans="1:58">
      <c r="A354" s="1">
        <f>HYPERLINK("https://lsnyc.legalserver.org/matter/dynamic-profile/view/1897289","19-1897289")</f>
        <v>0</v>
      </c>
      <c r="E354" t="s">
        <v>381</v>
      </c>
      <c r="F354" t="s">
        <v>64</v>
      </c>
      <c r="G354" t="s">
        <v>80</v>
      </c>
      <c r="H354" t="s">
        <v>588</v>
      </c>
      <c r="J354" t="s">
        <v>1107</v>
      </c>
      <c r="K354" t="s">
        <v>1217</v>
      </c>
      <c r="L354" t="s">
        <v>1793</v>
      </c>
      <c r="N354" t="s">
        <v>288</v>
      </c>
      <c r="O354" t="s">
        <v>289</v>
      </c>
      <c r="P354">
        <v>11236</v>
      </c>
      <c r="Q354" t="s">
        <v>290</v>
      </c>
      <c r="R354" t="s">
        <v>290</v>
      </c>
      <c r="S354" t="s">
        <v>295</v>
      </c>
      <c r="T354" t="s">
        <v>2373</v>
      </c>
      <c r="U354">
        <v>0</v>
      </c>
      <c r="V354" t="s">
        <v>340</v>
      </c>
      <c r="W354" t="s">
        <v>346</v>
      </c>
      <c r="Y354" t="s">
        <v>349</v>
      </c>
      <c r="Z354" t="s">
        <v>350</v>
      </c>
      <c r="AC354" t="s">
        <v>352</v>
      </c>
      <c r="AE354" t="s">
        <v>359</v>
      </c>
      <c r="AF354">
        <v>2019</v>
      </c>
      <c r="AG354">
        <v>0</v>
      </c>
      <c r="AH354">
        <v>0</v>
      </c>
      <c r="AI354">
        <v>48.8</v>
      </c>
      <c r="AJ354" t="s">
        <v>2843</v>
      </c>
      <c r="AK354" t="s">
        <v>2946</v>
      </c>
      <c r="AL354" t="s">
        <v>3091</v>
      </c>
      <c r="AM354">
        <v>4</v>
      </c>
      <c r="AO354">
        <v>2</v>
      </c>
      <c r="AP354">
        <v>2</v>
      </c>
      <c r="AQ354">
        <v>0</v>
      </c>
      <c r="AV354" t="s">
        <v>508</v>
      </c>
      <c r="AW354">
        <v>0</v>
      </c>
      <c r="BA354" t="s">
        <v>3348</v>
      </c>
      <c r="BD354" t="s">
        <v>3368</v>
      </c>
      <c r="BE354" t="s">
        <v>3446</v>
      </c>
      <c r="BF354" t="s">
        <v>600</v>
      </c>
    </row>
    <row r="355" spans="1:58">
      <c r="A355" s="1">
        <f>HYPERLINK("https://lsnyc.legalserver.org/matter/dynamic-profile/view/1900612","19-1900612")</f>
        <v>0</v>
      </c>
      <c r="E355" t="s">
        <v>381</v>
      </c>
      <c r="F355" t="s">
        <v>63</v>
      </c>
      <c r="G355" t="s">
        <v>80</v>
      </c>
      <c r="H355" t="s">
        <v>565</v>
      </c>
      <c r="J355" t="s">
        <v>1108</v>
      </c>
      <c r="K355" t="s">
        <v>1432</v>
      </c>
      <c r="L355" t="s">
        <v>1794</v>
      </c>
      <c r="M355" t="s">
        <v>2011</v>
      </c>
      <c r="N355" t="s">
        <v>288</v>
      </c>
      <c r="O355" t="s">
        <v>289</v>
      </c>
      <c r="P355">
        <v>11235</v>
      </c>
      <c r="Q355" t="s">
        <v>290</v>
      </c>
      <c r="R355" t="s">
        <v>291</v>
      </c>
      <c r="S355" t="s">
        <v>295</v>
      </c>
      <c r="T355" t="s">
        <v>2374</v>
      </c>
      <c r="U355">
        <v>0</v>
      </c>
      <c r="V355" t="s">
        <v>340</v>
      </c>
      <c r="W355" t="s">
        <v>346</v>
      </c>
      <c r="Y355" t="s">
        <v>349</v>
      </c>
      <c r="Z355" t="s">
        <v>350</v>
      </c>
      <c r="AC355" t="s">
        <v>352</v>
      </c>
      <c r="AE355" t="s">
        <v>359</v>
      </c>
      <c r="AF355">
        <v>2019</v>
      </c>
      <c r="AG355">
        <v>0</v>
      </c>
      <c r="AH355">
        <v>1332</v>
      </c>
      <c r="AI355">
        <v>9.6</v>
      </c>
      <c r="AJ355" t="s">
        <v>2844</v>
      </c>
      <c r="AL355" t="s">
        <v>3265</v>
      </c>
      <c r="AM355">
        <v>0</v>
      </c>
      <c r="AO355">
        <v>3</v>
      </c>
      <c r="AP355">
        <v>0</v>
      </c>
      <c r="AQ355">
        <v>103.14</v>
      </c>
      <c r="AV355" t="s">
        <v>508</v>
      </c>
      <c r="AW355">
        <v>22000</v>
      </c>
      <c r="BA355" t="s">
        <v>3342</v>
      </c>
      <c r="BD355" t="s">
        <v>537</v>
      </c>
      <c r="BE355" t="s">
        <v>817</v>
      </c>
      <c r="BF355" t="s">
        <v>600</v>
      </c>
    </row>
    <row r="356" spans="1:58">
      <c r="A356" s="1">
        <f>HYPERLINK("https://lsnyc.legalserver.org/matter/dynamic-profile/view/1900312","19-1900312")</f>
        <v>0</v>
      </c>
      <c r="E356" t="s">
        <v>381</v>
      </c>
      <c r="F356" t="s">
        <v>72</v>
      </c>
      <c r="G356" t="s">
        <v>80</v>
      </c>
      <c r="H356" t="s">
        <v>791</v>
      </c>
      <c r="J356" t="s">
        <v>1109</v>
      </c>
      <c r="K356" t="s">
        <v>1433</v>
      </c>
      <c r="L356" t="s">
        <v>1795</v>
      </c>
      <c r="M356" t="s">
        <v>1858</v>
      </c>
      <c r="N356" t="s">
        <v>288</v>
      </c>
      <c r="O356" t="s">
        <v>289</v>
      </c>
      <c r="P356">
        <v>11226</v>
      </c>
      <c r="Q356" t="s">
        <v>290</v>
      </c>
      <c r="R356" t="s">
        <v>291</v>
      </c>
      <c r="S356" t="s">
        <v>295</v>
      </c>
      <c r="T356" t="s">
        <v>2375</v>
      </c>
      <c r="U356">
        <v>28</v>
      </c>
      <c r="V356" t="s">
        <v>340</v>
      </c>
      <c r="W356" t="s">
        <v>346</v>
      </c>
      <c r="Y356" t="s">
        <v>348</v>
      </c>
      <c r="Z356" t="s">
        <v>350</v>
      </c>
      <c r="AA356" t="s">
        <v>350</v>
      </c>
      <c r="AC356" t="s">
        <v>352</v>
      </c>
      <c r="AE356" t="s">
        <v>359</v>
      </c>
      <c r="AF356">
        <v>2019</v>
      </c>
      <c r="AG356">
        <v>0</v>
      </c>
      <c r="AH356">
        <v>1604</v>
      </c>
      <c r="AI356">
        <v>19.3</v>
      </c>
      <c r="AJ356" t="s">
        <v>2845</v>
      </c>
      <c r="AL356" t="s">
        <v>3266</v>
      </c>
      <c r="AM356">
        <v>54</v>
      </c>
      <c r="AO356">
        <v>4</v>
      </c>
      <c r="AP356">
        <v>1</v>
      </c>
      <c r="AQ356">
        <v>151.14</v>
      </c>
      <c r="AU356" t="s">
        <v>503</v>
      </c>
      <c r="AV356" t="s">
        <v>508</v>
      </c>
      <c r="AW356">
        <v>45600</v>
      </c>
      <c r="BA356" t="s">
        <v>3341</v>
      </c>
      <c r="BD356" t="s">
        <v>537</v>
      </c>
      <c r="BE356" t="s">
        <v>3469</v>
      </c>
      <c r="BF356" t="s">
        <v>600</v>
      </c>
    </row>
    <row r="357" spans="1:58">
      <c r="A357" s="1">
        <f>HYPERLINK("https://lsnyc.legalserver.org/matter/dynamic-profile/view/1902400","19-1902400")</f>
        <v>0</v>
      </c>
      <c r="E357" t="s">
        <v>381</v>
      </c>
      <c r="F357" t="s">
        <v>72</v>
      </c>
      <c r="G357" t="s">
        <v>80</v>
      </c>
      <c r="H357" t="s">
        <v>792</v>
      </c>
      <c r="J357" t="s">
        <v>146</v>
      </c>
      <c r="K357" t="s">
        <v>1434</v>
      </c>
      <c r="L357" t="s">
        <v>1796</v>
      </c>
      <c r="M357" t="s">
        <v>1937</v>
      </c>
      <c r="N357" t="s">
        <v>288</v>
      </c>
      <c r="O357" t="s">
        <v>289</v>
      </c>
      <c r="P357">
        <v>11226</v>
      </c>
      <c r="Q357" t="s">
        <v>290</v>
      </c>
      <c r="R357" t="s">
        <v>291</v>
      </c>
      <c r="S357" t="s">
        <v>295</v>
      </c>
      <c r="T357" t="s">
        <v>2376</v>
      </c>
      <c r="U357">
        <v>15</v>
      </c>
      <c r="V357" t="s">
        <v>340</v>
      </c>
      <c r="W357" t="s">
        <v>346</v>
      </c>
      <c r="Y357" t="s">
        <v>348</v>
      </c>
      <c r="Z357" t="s">
        <v>350</v>
      </c>
      <c r="AC357" t="s">
        <v>352</v>
      </c>
      <c r="AE357" t="s">
        <v>359</v>
      </c>
      <c r="AF357">
        <v>2019</v>
      </c>
      <c r="AG357">
        <v>0</v>
      </c>
      <c r="AH357">
        <v>1300.5</v>
      </c>
      <c r="AI357">
        <v>11.5</v>
      </c>
      <c r="AJ357" t="s">
        <v>2846</v>
      </c>
      <c r="AL357" t="s">
        <v>3267</v>
      </c>
      <c r="AM357">
        <v>53</v>
      </c>
      <c r="AO357">
        <v>3</v>
      </c>
      <c r="AP357">
        <v>2</v>
      </c>
      <c r="AQ357">
        <v>94.8</v>
      </c>
      <c r="AU357" t="s">
        <v>503</v>
      </c>
      <c r="AV357" t="s">
        <v>508</v>
      </c>
      <c r="AW357">
        <v>28600</v>
      </c>
      <c r="BA357" t="s">
        <v>3341</v>
      </c>
      <c r="BD357" t="s">
        <v>540</v>
      </c>
      <c r="BE357" t="s">
        <v>3469</v>
      </c>
      <c r="BF357" t="s">
        <v>600</v>
      </c>
    </row>
    <row r="358" spans="1:58">
      <c r="A358" s="1">
        <f>HYPERLINK("https://lsnyc.legalserver.org/matter/dynamic-profile/view/1902462","19-1902462")</f>
        <v>0</v>
      </c>
      <c r="E358" t="s">
        <v>381</v>
      </c>
      <c r="F358" t="s">
        <v>72</v>
      </c>
      <c r="G358" t="s">
        <v>80</v>
      </c>
      <c r="H358" t="s">
        <v>792</v>
      </c>
      <c r="J358" t="s">
        <v>1110</v>
      </c>
      <c r="K358" t="s">
        <v>1435</v>
      </c>
      <c r="L358" t="s">
        <v>1797</v>
      </c>
      <c r="M358" t="s">
        <v>2010</v>
      </c>
      <c r="N358" t="s">
        <v>288</v>
      </c>
      <c r="O358" t="s">
        <v>289</v>
      </c>
      <c r="P358">
        <v>11226</v>
      </c>
      <c r="Q358" t="s">
        <v>290</v>
      </c>
      <c r="R358" t="s">
        <v>291</v>
      </c>
      <c r="T358" t="s">
        <v>2377</v>
      </c>
      <c r="U358">
        <v>14</v>
      </c>
      <c r="V358" t="s">
        <v>340</v>
      </c>
      <c r="W358" t="s">
        <v>346</v>
      </c>
      <c r="Y358" t="s">
        <v>348</v>
      </c>
      <c r="Z358" t="s">
        <v>350</v>
      </c>
      <c r="AC358" t="s">
        <v>352</v>
      </c>
      <c r="AE358" t="s">
        <v>359</v>
      </c>
      <c r="AF358">
        <v>2019</v>
      </c>
      <c r="AG358">
        <v>0</v>
      </c>
      <c r="AH358">
        <v>1019</v>
      </c>
      <c r="AI358">
        <v>3.2</v>
      </c>
      <c r="AJ358" t="s">
        <v>2847</v>
      </c>
      <c r="AL358" t="s">
        <v>3268</v>
      </c>
      <c r="AM358">
        <v>41</v>
      </c>
      <c r="AO358">
        <v>3</v>
      </c>
      <c r="AP358">
        <v>2</v>
      </c>
      <c r="AQ358">
        <v>103.41</v>
      </c>
      <c r="AU358" t="s">
        <v>503</v>
      </c>
      <c r="AV358" t="s">
        <v>510</v>
      </c>
      <c r="AW358">
        <v>31200</v>
      </c>
      <c r="BA358" t="s">
        <v>3341</v>
      </c>
      <c r="BD358" t="s">
        <v>537</v>
      </c>
      <c r="BE358" t="s">
        <v>805</v>
      </c>
      <c r="BF358" t="s">
        <v>600</v>
      </c>
    </row>
    <row r="359" spans="1:58">
      <c r="A359" s="1">
        <f>HYPERLINK("https://lsnyc.legalserver.org/matter/dynamic-profile/view/1898988","19-1898988")</f>
        <v>0</v>
      </c>
      <c r="E359" t="s">
        <v>381</v>
      </c>
      <c r="F359" t="s">
        <v>67</v>
      </c>
      <c r="G359" t="s">
        <v>80</v>
      </c>
      <c r="H359" t="s">
        <v>789</v>
      </c>
      <c r="J359" t="s">
        <v>1111</v>
      </c>
      <c r="K359" t="s">
        <v>1436</v>
      </c>
      <c r="L359" t="s">
        <v>1798</v>
      </c>
      <c r="M359" t="s">
        <v>270</v>
      </c>
      <c r="N359" t="s">
        <v>288</v>
      </c>
      <c r="O359" t="s">
        <v>289</v>
      </c>
      <c r="P359">
        <v>11226</v>
      </c>
      <c r="Q359" t="s">
        <v>290</v>
      </c>
      <c r="R359" t="s">
        <v>291</v>
      </c>
      <c r="S359" t="s">
        <v>295</v>
      </c>
      <c r="T359" t="s">
        <v>2378</v>
      </c>
      <c r="U359">
        <v>12</v>
      </c>
      <c r="V359" t="s">
        <v>339</v>
      </c>
      <c r="W359" t="s">
        <v>346</v>
      </c>
      <c r="Y359" t="s">
        <v>348</v>
      </c>
      <c r="Z359" t="s">
        <v>350</v>
      </c>
      <c r="AC359" t="s">
        <v>352</v>
      </c>
      <c r="AE359" t="s">
        <v>359</v>
      </c>
      <c r="AF359">
        <v>2019</v>
      </c>
      <c r="AG359">
        <v>0</v>
      </c>
      <c r="AH359">
        <v>751.25</v>
      </c>
      <c r="AI359">
        <v>19.9</v>
      </c>
      <c r="AJ359" t="s">
        <v>2848</v>
      </c>
      <c r="AL359" t="s">
        <v>3269</v>
      </c>
      <c r="AM359">
        <v>23</v>
      </c>
      <c r="AO359">
        <v>1</v>
      </c>
      <c r="AP359">
        <v>1</v>
      </c>
      <c r="AQ359">
        <v>115.01</v>
      </c>
      <c r="AV359" t="s">
        <v>508</v>
      </c>
      <c r="AW359">
        <v>19448</v>
      </c>
      <c r="BA359" t="s">
        <v>3341</v>
      </c>
      <c r="BD359" t="s">
        <v>540</v>
      </c>
      <c r="BE359" t="s">
        <v>3466</v>
      </c>
      <c r="BF359" t="s">
        <v>600</v>
      </c>
    </row>
    <row r="360" spans="1:58">
      <c r="A360" s="1">
        <f>HYPERLINK("https://lsnyc.legalserver.org/matter/dynamic-profile/view/1899418","19-1899418")</f>
        <v>0</v>
      </c>
      <c r="E360" t="s">
        <v>381</v>
      </c>
      <c r="F360" t="s">
        <v>623</v>
      </c>
      <c r="G360" t="s">
        <v>80</v>
      </c>
      <c r="H360" t="s">
        <v>793</v>
      </c>
      <c r="J360" t="s">
        <v>1112</v>
      </c>
      <c r="K360" t="s">
        <v>1437</v>
      </c>
      <c r="L360" t="s">
        <v>1799</v>
      </c>
      <c r="M360" t="s">
        <v>273</v>
      </c>
      <c r="N360" t="s">
        <v>288</v>
      </c>
      <c r="O360" t="s">
        <v>289</v>
      </c>
      <c r="P360">
        <v>11226</v>
      </c>
      <c r="Q360" t="s">
        <v>290</v>
      </c>
      <c r="R360" t="s">
        <v>291</v>
      </c>
      <c r="S360" t="s">
        <v>292</v>
      </c>
      <c r="T360" t="s">
        <v>2379</v>
      </c>
      <c r="U360">
        <v>0</v>
      </c>
      <c r="V360" t="s">
        <v>339</v>
      </c>
      <c r="W360" t="s">
        <v>346</v>
      </c>
      <c r="Y360" t="s">
        <v>348</v>
      </c>
      <c r="Z360" t="s">
        <v>350</v>
      </c>
      <c r="AA360" t="s">
        <v>350</v>
      </c>
      <c r="AC360" t="s">
        <v>352</v>
      </c>
      <c r="AE360" t="s">
        <v>359</v>
      </c>
      <c r="AF360">
        <v>2019</v>
      </c>
      <c r="AG360">
        <v>0</v>
      </c>
      <c r="AH360">
        <v>0</v>
      </c>
      <c r="AI360">
        <v>14.45</v>
      </c>
      <c r="AJ360" t="s">
        <v>2849</v>
      </c>
      <c r="AL360" t="s">
        <v>3270</v>
      </c>
      <c r="AM360">
        <v>0</v>
      </c>
      <c r="AO360">
        <v>1</v>
      </c>
      <c r="AP360">
        <v>1</v>
      </c>
      <c r="AQ360">
        <v>212.89</v>
      </c>
      <c r="AR360" t="s">
        <v>822</v>
      </c>
      <c r="AS360" t="s">
        <v>3328</v>
      </c>
      <c r="AV360" t="s">
        <v>508</v>
      </c>
      <c r="AW360">
        <v>36000</v>
      </c>
      <c r="BA360" t="s">
        <v>522</v>
      </c>
      <c r="BD360" t="s">
        <v>540</v>
      </c>
      <c r="BE360" t="s">
        <v>581</v>
      </c>
      <c r="BF360" t="s">
        <v>600</v>
      </c>
    </row>
    <row r="361" spans="1:58">
      <c r="A361" s="1">
        <f>HYPERLINK("https://lsnyc.legalserver.org/matter/dynamic-profile/view/1900911","19-1900911")</f>
        <v>0</v>
      </c>
      <c r="E361" t="s">
        <v>381</v>
      </c>
      <c r="F361" t="s">
        <v>72</v>
      </c>
      <c r="G361" t="s">
        <v>80</v>
      </c>
      <c r="H361" t="s">
        <v>794</v>
      </c>
      <c r="J361" t="s">
        <v>1113</v>
      </c>
      <c r="K361" t="s">
        <v>1438</v>
      </c>
      <c r="L361" t="s">
        <v>1800</v>
      </c>
      <c r="M361" t="s">
        <v>2012</v>
      </c>
      <c r="N361" t="s">
        <v>288</v>
      </c>
      <c r="O361" t="s">
        <v>289</v>
      </c>
      <c r="P361">
        <v>11226</v>
      </c>
      <c r="Q361" t="s">
        <v>290</v>
      </c>
      <c r="R361" t="s">
        <v>291</v>
      </c>
      <c r="S361" t="s">
        <v>295</v>
      </c>
      <c r="T361" t="s">
        <v>2380</v>
      </c>
      <c r="U361">
        <v>10</v>
      </c>
      <c r="V361" t="s">
        <v>339</v>
      </c>
      <c r="W361" t="s">
        <v>346</v>
      </c>
      <c r="Y361" t="s">
        <v>348</v>
      </c>
      <c r="Z361" t="s">
        <v>350</v>
      </c>
      <c r="AC361" t="s">
        <v>352</v>
      </c>
      <c r="AE361" t="s">
        <v>359</v>
      </c>
      <c r="AF361">
        <v>2019</v>
      </c>
      <c r="AG361">
        <v>0</v>
      </c>
      <c r="AH361">
        <v>1890</v>
      </c>
      <c r="AI361">
        <v>13.8</v>
      </c>
      <c r="AJ361" t="s">
        <v>2850</v>
      </c>
      <c r="AL361" t="s">
        <v>3271</v>
      </c>
      <c r="AM361">
        <v>49</v>
      </c>
      <c r="AO361">
        <v>4</v>
      </c>
      <c r="AP361">
        <v>2</v>
      </c>
      <c r="AQ361">
        <v>159.01</v>
      </c>
      <c r="AU361" t="s">
        <v>503</v>
      </c>
      <c r="AV361" t="s">
        <v>508</v>
      </c>
      <c r="AW361">
        <v>55000</v>
      </c>
      <c r="BA361" t="s">
        <v>3341</v>
      </c>
      <c r="BD361" t="s">
        <v>537</v>
      </c>
      <c r="BE361" t="s">
        <v>3457</v>
      </c>
      <c r="BF361" t="s">
        <v>600</v>
      </c>
    </row>
    <row r="362" spans="1:58">
      <c r="A362" s="1">
        <f>HYPERLINK("https://lsnyc.legalserver.org/matter/dynamic-profile/view/1900970","19-1900970")</f>
        <v>0</v>
      </c>
      <c r="E362" t="s">
        <v>381</v>
      </c>
      <c r="F362" t="s">
        <v>65</v>
      </c>
      <c r="G362" t="s">
        <v>80</v>
      </c>
      <c r="H362" t="s">
        <v>795</v>
      </c>
      <c r="J362" t="s">
        <v>1114</v>
      </c>
      <c r="K362" t="s">
        <v>1439</v>
      </c>
      <c r="L362" t="s">
        <v>1801</v>
      </c>
      <c r="M362" t="s">
        <v>2013</v>
      </c>
      <c r="N362" t="s">
        <v>288</v>
      </c>
      <c r="O362" t="s">
        <v>289</v>
      </c>
      <c r="P362">
        <v>11226</v>
      </c>
      <c r="Q362" t="s">
        <v>290</v>
      </c>
      <c r="R362" t="s">
        <v>291</v>
      </c>
      <c r="S362" t="s">
        <v>295</v>
      </c>
      <c r="T362" t="s">
        <v>2381</v>
      </c>
      <c r="U362">
        <v>18</v>
      </c>
      <c r="V362" t="s">
        <v>339</v>
      </c>
      <c r="W362" t="s">
        <v>346</v>
      </c>
      <c r="Y362" t="s">
        <v>348</v>
      </c>
      <c r="Z362" t="s">
        <v>350</v>
      </c>
      <c r="AC362" t="s">
        <v>352</v>
      </c>
      <c r="AE362" t="s">
        <v>359</v>
      </c>
      <c r="AF362">
        <v>2019</v>
      </c>
      <c r="AG362">
        <v>0</v>
      </c>
      <c r="AH362">
        <v>1161.49</v>
      </c>
      <c r="AI362">
        <v>18.85</v>
      </c>
      <c r="AJ362" t="s">
        <v>2851</v>
      </c>
      <c r="AL362" t="s">
        <v>3272</v>
      </c>
      <c r="AM362">
        <v>0</v>
      </c>
      <c r="AO362">
        <v>1</v>
      </c>
      <c r="AP362">
        <v>0</v>
      </c>
      <c r="AQ362">
        <v>108.04</v>
      </c>
      <c r="AU362" t="s">
        <v>503</v>
      </c>
      <c r="AV362" t="s">
        <v>508</v>
      </c>
      <c r="AW362">
        <v>13494</v>
      </c>
      <c r="BA362" t="s">
        <v>3341</v>
      </c>
      <c r="BD362" t="s">
        <v>537</v>
      </c>
      <c r="BE362" t="s">
        <v>572</v>
      </c>
    </row>
    <row r="363" spans="1:58">
      <c r="A363" s="1">
        <f>HYPERLINK("https://lsnyc.legalserver.org/matter/dynamic-profile/view/1900976","19-1900976")</f>
        <v>0</v>
      </c>
      <c r="E363" t="s">
        <v>381</v>
      </c>
      <c r="F363" t="s">
        <v>67</v>
      </c>
      <c r="G363" t="s">
        <v>80</v>
      </c>
      <c r="H363" t="s">
        <v>795</v>
      </c>
      <c r="J363" t="s">
        <v>841</v>
      </c>
      <c r="K363" t="s">
        <v>1440</v>
      </c>
      <c r="L363" t="s">
        <v>1802</v>
      </c>
      <c r="M363">
        <v>502</v>
      </c>
      <c r="N363" t="s">
        <v>288</v>
      </c>
      <c r="O363" t="s">
        <v>289</v>
      </c>
      <c r="P363">
        <v>11226</v>
      </c>
      <c r="Q363" t="s">
        <v>290</v>
      </c>
      <c r="R363" t="s">
        <v>291</v>
      </c>
      <c r="S363" t="s">
        <v>295</v>
      </c>
      <c r="T363" t="s">
        <v>2382</v>
      </c>
      <c r="U363">
        <v>14</v>
      </c>
      <c r="V363" t="s">
        <v>339</v>
      </c>
      <c r="W363" t="s">
        <v>346</v>
      </c>
      <c r="Y363" t="s">
        <v>348</v>
      </c>
      <c r="Z363" t="s">
        <v>350</v>
      </c>
      <c r="AC363" t="s">
        <v>352</v>
      </c>
      <c r="AE363" t="s">
        <v>359</v>
      </c>
      <c r="AF363">
        <v>2019</v>
      </c>
      <c r="AG363">
        <v>0</v>
      </c>
      <c r="AH363">
        <v>900.84</v>
      </c>
      <c r="AI363">
        <v>20.8</v>
      </c>
      <c r="AJ363" t="s">
        <v>2852</v>
      </c>
      <c r="AL363" t="s">
        <v>3273</v>
      </c>
      <c r="AM363">
        <v>54</v>
      </c>
      <c r="AN363" t="s">
        <v>493</v>
      </c>
      <c r="AO363">
        <v>1</v>
      </c>
      <c r="AP363">
        <v>0</v>
      </c>
      <c r="AQ363">
        <v>145.72</v>
      </c>
      <c r="AU363" t="s">
        <v>506</v>
      </c>
      <c r="AV363" t="s">
        <v>508</v>
      </c>
      <c r="AW363">
        <v>18200</v>
      </c>
      <c r="BA363" t="s">
        <v>3341</v>
      </c>
      <c r="BD363" t="s">
        <v>537</v>
      </c>
      <c r="BE363" t="s">
        <v>591</v>
      </c>
      <c r="BF363" t="s">
        <v>600</v>
      </c>
    </row>
    <row r="364" spans="1:58">
      <c r="A364" s="1">
        <f>HYPERLINK("https://lsnyc.legalserver.org/matter/dynamic-profile/view/1901892","19-1901892")</f>
        <v>0</v>
      </c>
      <c r="E364" t="s">
        <v>381</v>
      </c>
      <c r="F364" t="s">
        <v>75</v>
      </c>
      <c r="G364" t="s">
        <v>80</v>
      </c>
      <c r="H364" t="s">
        <v>679</v>
      </c>
      <c r="J364" t="s">
        <v>1053</v>
      </c>
      <c r="K364" t="s">
        <v>1441</v>
      </c>
      <c r="L364" t="s">
        <v>1803</v>
      </c>
      <c r="M364" t="s">
        <v>1858</v>
      </c>
      <c r="N364" t="s">
        <v>288</v>
      </c>
      <c r="O364" t="s">
        <v>289</v>
      </c>
      <c r="P364">
        <v>11226</v>
      </c>
      <c r="Q364" t="s">
        <v>290</v>
      </c>
      <c r="R364" t="s">
        <v>291</v>
      </c>
      <c r="S364" t="s">
        <v>295</v>
      </c>
      <c r="T364" t="s">
        <v>2383</v>
      </c>
      <c r="U364">
        <v>6</v>
      </c>
      <c r="V364" t="s">
        <v>339</v>
      </c>
      <c r="W364" t="s">
        <v>346</v>
      </c>
      <c r="Y364" t="s">
        <v>348</v>
      </c>
      <c r="Z364" t="s">
        <v>350</v>
      </c>
      <c r="AC364" t="s">
        <v>352</v>
      </c>
      <c r="AE364" t="s">
        <v>359</v>
      </c>
      <c r="AF364">
        <v>2019</v>
      </c>
      <c r="AG364">
        <v>0</v>
      </c>
      <c r="AH364">
        <v>0</v>
      </c>
      <c r="AI364">
        <v>18.6</v>
      </c>
      <c r="AJ364" t="s">
        <v>2853</v>
      </c>
      <c r="AL364" t="s">
        <v>3274</v>
      </c>
      <c r="AM364">
        <v>46</v>
      </c>
      <c r="AO364">
        <v>1</v>
      </c>
      <c r="AP364">
        <v>0</v>
      </c>
      <c r="AQ364">
        <v>82.43000000000001</v>
      </c>
      <c r="AV364" t="s">
        <v>508</v>
      </c>
      <c r="AW364">
        <v>10296</v>
      </c>
      <c r="BA364" t="s">
        <v>3341</v>
      </c>
      <c r="BD364" t="s">
        <v>551</v>
      </c>
      <c r="BE364" t="s">
        <v>825</v>
      </c>
      <c r="BF364" t="s">
        <v>600</v>
      </c>
    </row>
    <row r="365" spans="1:58">
      <c r="A365" s="1">
        <f>HYPERLINK("https://lsnyc.legalserver.org/matter/dynamic-profile/view/1899406","19-1899406")</f>
        <v>0</v>
      </c>
      <c r="E365" t="s">
        <v>381</v>
      </c>
      <c r="F365" t="s">
        <v>75</v>
      </c>
      <c r="G365" t="s">
        <v>80</v>
      </c>
      <c r="H365" t="s">
        <v>793</v>
      </c>
      <c r="J365" t="s">
        <v>146</v>
      </c>
      <c r="K365" t="s">
        <v>1442</v>
      </c>
      <c r="L365" t="s">
        <v>1804</v>
      </c>
      <c r="M365" t="s">
        <v>1843</v>
      </c>
      <c r="N365" t="s">
        <v>288</v>
      </c>
      <c r="O365" t="s">
        <v>289</v>
      </c>
      <c r="P365">
        <v>11225</v>
      </c>
      <c r="Q365" t="s">
        <v>290</v>
      </c>
      <c r="R365" t="s">
        <v>291</v>
      </c>
      <c r="S365" t="s">
        <v>292</v>
      </c>
      <c r="T365" t="s">
        <v>2384</v>
      </c>
      <c r="U365">
        <v>0</v>
      </c>
      <c r="V365" t="s">
        <v>340</v>
      </c>
      <c r="W365" t="s">
        <v>346</v>
      </c>
      <c r="Y365" t="s">
        <v>348</v>
      </c>
      <c r="Z365" t="s">
        <v>350</v>
      </c>
      <c r="AA365" t="s">
        <v>350</v>
      </c>
      <c r="AC365" t="s">
        <v>352</v>
      </c>
      <c r="AE365" t="s">
        <v>359</v>
      </c>
      <c r="AF365">
        <v>2019</v>
      </c>
      <c r="AG365">
        <v>0</v>
      </c>
      <c r="AH365">
        <v>0</v>
      </c>
      <c r="AI365">
        <v>15.1</v>
      </c>
      <c r="AJ365" t="s">
        <v>2854</v>
      </c>
      <c r="AL365" t="s">
        <v>3275</v>
      </c>
      <c r="AM365">
        <v>0</v>
      </c>
      <c r="AO365">
        <v>1</v>
      </c>
      <c r="AP365">
        <v>0</v>
      </c>
      <c r="AQ365">
        <v>0</v>
      </c>
      <c r="AV365" t="s">
        <v>510</v>
      </c>
      <c r="AW365">
        <v>0</v>
      </c>
      <c r="BA365" t="s">
        <v>522</v>
      </c>
      <c r="BD365" t="s">
        <v>544</v>
      </c>
      <c r="BE365" t="s">
        <v>581</v>
      </c>
      <c r="BF365" t="s">
        <v>600</v>
      </c>
    </row>
    <row r="366" spans="1:58">
      <c r="A366" s="1">
        <f>HYPERLINK("https://lsnyc.legalserver.org/matter/dynamic-profile/view/1901577","19-1901577")</f>
        <v>0</v>
      </c>
      <c r="E366" t="s">
        <v>381</v>
      </c>
      <c r="F366" t="s">
        <v>68</v>
      </c>
      <c r="G366" t="s">
        <v>80</v>
      </c>
      <c r="H366" t="s">
        <v>796</v>
      </c>
      <c r="J366" t="s">
        <v>1115</v>
      </c>
      <c r="K366" t="s">
        <v>1443</v>
      </c>
      <c r="L366" t="s">
        <v>1805</v>
      </c>
      <c r="M366">
        <v>11</v>
      </c>
      <c r="N366" t="s">
        <v>288</v>
      </c>
      <c r="O366" t="s">
        <v>289</v>
      </c>
      <c r="P366">
        <v>11225</v>
      </c>
      <c r="Q366" t="s">
        <v>290</v>
      </c>
      <c r="R366" t="s">
        <v>291</v>
      </c>
      <c r="S366" t="s">
        <v>293</v>
      </c>
      <c r="T366" t="s">
        <v>2385</v>
      </c>
      <c r="U366">
        <v>40</v>
      </c>
      <c r="V366" t="s">
        <v>342</v>
      </c>
      <c r="W366" t="s">
        <v>346</v>
      </c>
      <c r="Y366" t="s">
        <v>349</v>
      </c>
      <c r="Z366" t="s">
        <v>350</v>
      </c>
      <c r="AC366" t="s">
        <v>352</v>
      </c>
      <c r="AE366" t="s">
        <v>359</v>
      </c>
      <c r="AF366">
        <v>2019</v>
      </c>
      <c r="AG366">
        <v>0</v>
      </c>
      <c r="AH366">
        <v>713.16</v>
      </c>
      <c r="AI366">
        <v>13.4</v>
      </c>
      <c r="AJ366" t="s">
        <v>2855</v>
      </c>
      <c r="AL366" t="s">
        <v>3276</v>
      </c>
      <c r="AM366">
        <v>16</v>
      </c>
      <c r="AN366" t="s">
        <v>493</v>
      </c>
      <c r="AO366">
        <v>3</v>
      </c>
      <c r="AP366">
        <v>0</v>
      </c>
      <c r="AQ366">
        <v>20.59</v>
      </c>
      <c r="AV366" t="s">
        <v>508</v>
      </c>
      <c r="AW366">
        <v>4392</v>
      </c>
      <c r="BA366" t="s">
        <v>530</v>
      </c>
      <c r="BD366" t="s">
        <v>3370</v>
      </c>
      <c r="BE366" t="s">
        <v>3451</v>
      </c>
      <c r="BF366" t="s">
        <v>600</v>
      </c>
    </row>
    <row r="367" spans="1:58">
      <c r="A367" s="1">
        <f>HYPERLINK("https://lsnyc.legalserver.org/matter/dynamic-profile/view/1898640","19-1898640")</f>
        <v>0</v>
      </c>
      <c r="E367" t="s">
        <v>381</v>
      </c>
      <c r="F367" t="s">
        <v>622</v>
      </c>
      <c r="G367" t="s">
        <v>80</v>
      </c>
      <c r="H367" t="s">
        <v>678</v>
      </c>
      <c r="J367" t="s">
        <v>864</v>
      </c>
      <c r="K367" t="s">
        <v>1444</v>
      </c>
      <c r="L367" t="s">
        <v>1479</v>
      </c>
      <c r="M367" t="s">
        <v>2014</v>
      </c>
      <c r="N367" t="s">
        <v>288</v>
      </c>
      <c r="O367" t="s">
        <v>289</v>
      </c>
      <c r="P367">
        <v>11225</v>
      </c>
      <c r="Q367" t="s">
        <v>290</v>
      </c>
      <c r="R367" t="s">
        <v>290</v>
      </c>
      <c r="S367" t="s">
        <v>292</v>
      </c>
      <c r="T367" t="s">
        <v>2386</v>
      </c>
      <c r="U367">
        <v>10</v>
      </c>
      <c r="V367" t="s">
        <v>339</v>
      </c>
      <c r="W367" t="s">
        <v>346</v>
      </c>
      <c r="Y367" t="s">
        <v>348</v>
      </c>
      <c r="Z367" t="s">
        <v>350</v>
      </c>
      <c r="AC367" t="s">
        <v>352</v>
      </c>
      <c r="AE367" t="s">
        <v>359</v>
      </c>
      <c r="AF367">
        <v>2019</v>
      </c>
      <c r="AG367">
        <v>0</v>
      </c>
      <c r="AH367">
        <v>1650</v>
      </c>
      <c r="AI367">
        <v>0.6</v>
      </c>
      <c r="AJ367" t="s">
        <v>2856</v>
      </c>
      <c r="AL367" t="s">
        <v>3277</v>
      </c>
      <c r="AM367">
        <v>0</v>
      </c>
      <c r="AO367">
        <v>2</v>
      </c>
      <c r="AP367">
        <v>0</v>
      </c>
      <c r="AQ367">
        <v>162.51</v>
      </c>
      <c r="AV367" t="s">
        <v>508</v>
      </c>
      <c r="AW367">
        <v>27480</v>
      </c>
      <c r="BA367" t="s">
        <v>3342</v>
      </c>
      <c r="BD367" t="s">
        <v>3360</v>
      </c>
      <c r="BE367" t="s">
        <v>804</v>
      </c>
      <c r="BF367" t="s">
        <v>600</v>
      </c>
    </row>
    <row r="368" spans="1:58">
      <c r="A368" s="1">
        <f>HYPERLINK("https://lsnyc.legalserver.org/matter/dynamic-profile/view/1899656","19-1899656")</f>
        <v>0</v>
      </c>
      <c r="E368" t="s">
        <v>381</v>
      </c>
      <c r="F368" t="s">
        <v>623</v>
      </c>
      <c r="G368" t="s">
        <v>80</v>
      </c>
      <c r="H368" t="s">
        <v>797</v>
      </c>
      <c r="J368" t="s">
        <v>1116</v>
      </c>
      <c r="K368" t="s">
        <v>1196</v>
      </c>
      <c r="L368" t="s">
        <v>1669</v>
      </c>
      <c r="M368" t="s">
        <v>261</v>
      </c>
      <c r="N368" t="s">
        <v>288</v>
      </c>
      <c r="O368" t="s">
        <v>289</v>
      </c>
      <c r="P368">
        <v>11225</v>
      </c>
      <c r="Q368" t="s">
        <v>290</v>
      </c>
      <c r="R368" t="s">
        <v>291</v>
      </c>
      <c r="S368" t="s">
        <v>292</v>
      </c>
      <c r="T368" t="s">
        <v>2387</v>
      </c>
      <c r="U368">
        <v>20</v>
      </c>
      <c r="V368" t="s">
        <v>339</v>
      </c>
      <c r="W368" t="s">
        <v>346</v>
      </c>
      <c r="Y368" t="s">
        <v>348</v>
      </c>
      <c r="Z368" t="s">
        <v>350</v>
      </c>
      <c r="AC368" t="s">
        <v>352</v>
      </c>
      <c r="AE368" t="s">
        <v>359</v>
      </c>
      <c r="AF368">
        <v>2019</v>
      </c>
      <c r="AG368">
        <v>0</v>
      </c>
      <c r="AH368">
        <v>1081</v>
      </c>
      <c r="AI368">
        <v>5.15</v>
      </c>
      <c r="AJ368" t="s">
        <v>2857</v>
      </c>
      <c r="AL368" t="s">
        <v>3278</v>
      </c>
      <c r="AM368">
        <v>61</v>
      </c>
      <c r="AO368">
        <v>1</v>
      </c>
      <c r="AP368">
        <v>0</v>
      </c>
      <c r="AQ368">
        <v>36.03</v>
      </c>
      <c r="AV368" t="s">
        <v>508</v>
      </c>
      <c r="AW368">
        <v>4500</v>
      </c>
      <c r="BA368" t="s">
        <v>3341</v>
      </c>
      <c r="BD368" t="s">
        <v>547</v>
      </c>
      <c r="BE368" t="s">
        <v>3430</v>
      </c>
      <c r="BF368" t="s">
        <v>600</v>
      </c>
    </row>
    <row r="369" spans="1:58">
      <c r="A369" s="1">
        <f>HYPERLINK("https://lsnyc.legalserver.org/matter/dynamic-profile/view/1900744","19-1900744")</f>
        <v>0</v>
      </c>
      <c r="E369" t="s">
        <v>381</v>
      </c>
      <c r="F369" t="s">
        <v>622</v>
      </c>
      <c r="G369" t="s">
        <v>80</v>
      </c>
      <c r="H369" t="s">
        <v>680</v>
      </c>
      <c r="J369" t="s">
        <v>138</v>
      </c>
      <c r="K369" t="s">
        <v>1445</v>
      </c>
      <c r="L369" t="s">
        <v>1806</v>
      </c>
      <c r="M369" t="s">
        <v>1984</v>
      </c>
      <c r="N369" t="s">
        <v>288</v>
      </c>
      <c r="O369" t="s">
        <v>289</v>
      </c>
      <c r="P369">
        <v>11225</v>
      </c>
      <c r="Q369" t="s">
        <v>290</v>
      </c>
      <c r="R369" t="s">
        <v>291</v>
      </c>
      <c r="S369" t="s">
        <v>292</v>
      </c>
      <c r="T369" t="s">
        <v>2388</v>
      </c>
      <c r="U369">
        <v>0</v>
      </c>
      <c r="V369" t="s">
        <v>339</v>
      </c>
      <c r="W369" t="s">
        <v>346</v>
      </c>
      <c r="Y369" t="s">
        <v>348</v>
      </c>
      <c r="Z369" t="s">
        <v>350</v>
      </c>
      <c r="AC369" t="s">
        <v>352</v>
      </c>
      <c r="AE369" t="s">
        <v>359</v>
      </c>
      <c r="AF369">
        <v>2019</v>
      </c>
      <c r="AG369">
        <v>0</v>
      </c>
      <c r="AH369">
        <v>1285.72</v>
      </c>
      <c r="AI369">
        <v>3.8</v>
      </c>
      <c r="AJ369" t="s">
        <v>2858</v>
      </c>
      <c r="AL369" t="s">
        <v>3279</v>
      </c>
      <c r="AM369">
        <v>0</v>
      </c>
      <c r="AO369">
        <v>2</v>
      </c>
      <c r="AP369">
        <v>1</v>
      </c>
      <c r="AQ369">
        <v>229.72</v>
      </c>
      <c r="AR369" t="s">
        <v>822</v>
      </c>
      <c r="AS369" t="s">
        <v>3328</v>
      </c>
      <c r="AV369" t="s">
        <v>508</v>
      </c>
      <c r="AW369">
        <v>49000</v>
      </c>
      <c r="BA369" t="s">
        <v>3342</v>
      </c>
      <c r="BD369" t="s">
        <v>537</v>
      </c>
      <c r="BE369" t="s">
        <v>809</v>
      </c>
      <c r="BF369" t="s">
        <v>600</v>
      </c>
    </row>
    <row r="370" spans="1:58">
      <c r="A370" s="1">
        <f>HYPERLINK("https://lsnyc.legalserver.org/matter/dynamic-profile/view/1900878","19-1900878")</f>
        <v>0</v>
      </c>
      <c r="E370" t="s">
        <v>381</v>
      </c>
      <c r="F370" t="s">
        <v>67</v>
      </c>
      <c r="G370" t="s">
        <v>80</v>
      </c>
      <c r="H370" t="s">
        <v>794</v>
      </c>
      <c r="J370" t="s">
        <v>1117</v>
      </c>
      <c r="K370" t="s">
        <v>1446</v>
      </c>
      <c r="L370" t="s">
        <v>1807</v>
      </c>
      <c r="M370" t="s">
        <v>2004</v>
      </c>
      <c r="N370" t="s">
        <v>288</v>
      </c>
      <c r="O370" t="s">
        <v>289</v>
      </c>
      <c r="P370">
        <v>11225</v>
      </c>
      <c r="Q370" t="s">
        <v>290</v>
      </c>
      <c r="R370" t="s">
        <v>291</v>
      </c>
      <c r="S370" t="s">
        <v>292</v>
      </c>
      <c r="T370" t="s">
        <v>2389</v>
      </c>
      <c r="U370">
        <v>12</v>
      </c>
      <c r="V370" t="s">
        <v>339</v>
      </c>
      <c r="W370" t="s">
        <v>346</v>
      </c>
      <c r="Y370" t="s">
        <v>348</v>
      </c>
      <c r="Z370" t="s">
        <v>350</v>
      </c>
      <c r="AC370" t="s">
        <v>352</v>
      </c>
      <c r="AE370" t="s">
        <v>359</v>
      </c>
      <c r="AF370">
        <v>2019</v>
      </c>
      <c r="AG370">
        <v>0</v>
      </c>
      <c r="AH370">
        <v>825</v>
      </c>
      <c r="AI370">
        <v>6.8</v>
      </c>
      <c r="AJ370" t="s">
        <v>2859</v>
      </c>
      <c r="AL370" t="s">
        <v>3280</v>
      </c>
      <c r="AM370">
        <v>0</v>
      </c>
      <c r="AO370">
        <v>2</v>
      </c>
      <c r="AP370">
        <v>1</v>
      </c>
      <c r="AQ370">
        <v>187.53</v>
      </c>
      <c r="AV370" t="s">
        <v>509</v>
      </c>
      <c r="AW370">
        <v>40000</v>
      </c>
      <c r="BA370" t="s">
        <v>3342</v>
      </c>
      <c r="BD370" t="s">
        <v>537</v>
      </c>
      <c r="BE370" t="s">
        <v>571</v>
      </c>
      <c r="BF370" t="s">
        <v>600</v>
      </c>
    </row>
    <row r="371" spans="1:58">
      <c r="A371" s="1">
        <f>HYPERLINK("https://lsnyc.legalserver.org/matter/dynamic-profile/view/1901219","19-1901219")</f>
        <v>0</v>
      </c>
      <c r="E371" t="s">
        <v>381</v>
      </c>
      <c r="F371" t="s">
        <v>59</v>
      </c>
      <c r="G371" t="s">
        <v>80</v>
      </c>
      <c r="H371" t="s">
        <v>592</v>
      </c>
      <c r="J371" t="s">
        <v>922</v>
      </c>
      <c r="K371" t="s">
        <v>1334</v>
      </c>
      <c r="L371" t="s">
        <v>1808</v>
      </c>
      <c r="M371" t="s">
        <v>1909</v>
      </c>
      <c r="N371" t="s">
        <v>288</v>
      </c>
      <c r="O371" t="s">
        <v>289</v>
      </c>
      <c r="P371">
        <v>11225</v>
      </c>
      <c r="Q371" t="s">
        <v>290</v>
      </c>
      <c r="R371" t="s">
        <v>291</v>
      </c>
      <c r="S371" t="s">
        <v>292</v>
      </c>
      <c r="T371" t="s">
        <v>2390</v>
      </c>
      <c r="U371">
        <v>8</v>
      </c>
      <c r="V371" t="s">
        <v>339</v>
      </c>
      <c r="W371" t="s">
        <v>346</v>
      </c>
      <c r="Y371" t="s">
        <v>348</v>
      </c>
      <c r="Z371" t="s">
        <v>350</v>
      </c>
      <c r="AA371" t="s">
        <v>350</v>
      </c>
      <c r="AC371" t="s">
        <v>352</v>
      </c>
      <c r="AE371" t="s">
        <v>359</v>
      </c>
      <c r="AF371">
        <v>2019</v>
      </c>
      <c r="AG371">
        <v>0</v>
      </c>
      <c r="AH371">
        <v>1202.99</v>
      </c>
      <c r="AI371">
        <v>14.9</v>
      </c>
      <c r="AJ371" t="s">
        <v>2860</v>
      </c>
      <c r="AL371" t="s">
        <v>3281</v>
      </c>
      <c r="AM371">
        <v>0</v>
      </c>
      <c r="AN371" t="s">
        <v>493</v>
      </c>
      <c r="AO371">
        <v>1</v>
      </c>
      <c r="AP371">
        <v>1</v>
      </c>
      <c r="AQ371">
        <v>289.98</v>
      </c>
      <c r="AV371" t="s">
        <v>508</v>
      </c>
      <c r="AW371">
        <v>49036</v>
      </c>
      <c r="BA371" t="s">
        <v>522</v>
      </c>
      <c r="BD371" t="s">
        <v>537</v>
      </c>
      <c r="BE371" t="s">
        <v>3459</v>
      </c>
      <c r="BF371" t="s">
        <v>600</v>
      </c>
    </row>
    <row r="372" spans="1:58">
      <c r="A372" s="1">
        <f>HYPERLINK("https://lsnyc.legalserver.org/matter/dynamic-profile/view/1901855","19-1901855")</f>
        <v>0</v>
      </c>
      <c r="E372" t="s">
        <v>381</v>
      </c>
      <c r="F372" t="s">
        <v>75</v>
      </c>
      <c r="G372" t="s">
        <v>80</v>
      </c>
      <c r="H372" t="s">
        <v>679</v>
      </c>
      <c r="J372" t="s">
        <v>1118</v>
      </c>
      <c r="K372" t="s">
        <v>1447</v>
      </c>
      <c r="L372" t="s">
        <v>1758</v>
      </c>
      <c r="M372" t="s">
        <v>1927</v>
      </c>
      <c r="N372" t="s">
        <v>288</v>
      </c>
      <c r="O372" t="s">
        <v>289</v>
      </c>
      <c r="P372">
        <v>11225</v>
      </c>
      <c r="Q372" t="s">
        <v>290</v>
      </c>
      <c r="R372" t="s">
        <v>291</v>
      </c>
      <c r="S372" t="s">
        <v>292</v>
      </c>
      <c r="T372" t="s">
        <v>2391</v>
      </c>
      <c r="U372">
        <v>0</v>
      </c>
      <c r="V372" t="s">
        <v>339</v>
      </c>
      <c r="W372" t="s">
        <v>346</v>
      </c>
      <c r="Y372" t="s">
        <v>348</v>
      </c>
      <c r="Z372" t="s">
        <v>350</v>
      </c>
      <c r="AA372" t="s">
        <v>350</v>
      </c>
      <c r="AC372" t="s">
        <v>352</v>
      </c>
      <c r="AE372" t="s">
        <v>359</v>
      </c>
      <c r="AF372">
        <v>2019</v>
      </c>
      <c r="AG372">
        <v>0</v>
      </c>
      <c r="AH372">
        <v>0</v>
      </c>
      <c r="AI372">
        <v>19.9</v>
      </c>
      <c r="AJ372" t="s">
        <v>2861</v>
      </c>
      <c r="AL372" t="s">
        <v>3282</v>
      </c>
      <c r="AM372">
        <v>0</v>
      </c>
      <c r="AO372">
        <v>2</v>
      </c>
      <c r="AP372">
        <v>0</v>
      </c>
      <c r="AQ372">
        <v>135.21</v>
      </c>
      <c r="AV372" t="s">
        <v>508</v>
      </c>
      <c r="AW372">
        <v>22864</v>
      </c>
      <c r="BA372" t="s">
        <v>522</v>
      </c>
      <c r="BD372" t="s">
        <v>3415</v>
      </c>
      <c r="BE372" t="s">
        <v>568</v>
      </c>
      <c r="BF372" t="s">
        <v>600</v>
      </c>
    </row>
    <row r="373" spans="1:58">
      <c r="A373" s="1">
        <f>HYPERLINK("https://lsnyc.legalserver.org/matter/dynamic-profile/view/1901898","19-1901898")</f>
        <v>0</v>
      </c>
      <c r="E373" t="s">
        <v>381</v>
      </c>
      <c r="F373" t="s">
        <v>623</v>
      </c>
      <c r="G373" t="s">
        <v>80</v>
      </c>
      <c r="H373" t="s">
        <v>679</v>
      </c>
      <c r="J373" t="s">
        <v>1000</v>
      </c>
      <c r="K373" t="s">
        <v>1039</v>
      </c>
      <c r="L373" t="s">
        <v>1649</v>
      </c>
      <c r="M373" t="s">
        <v>1875</v>
      </c>
      <c r="N373" t="s">
        <v>288</v>
      </c>
      <c r="O373" t="s">
        <v>289</v>
      </c>
      <c r="P373">
        <v>11225</v>
      </c>
      <c r="Q373" t="s">
        <v>290</v>
      </c>
      <c r="R373" t="s">
        <v>291</v>
      </c>
      <c r="S373" t="s">
        <v>292</v>
      </c>
      <c r="T373" t="s">
        <v>2392</v>
      </c>
      <c r="U373">
        <v>17</v>
      </c>
      <c r="V373" t="s">
        <v>339</v>
      </c>
      <c r="W373" t="s">
        <v>346</v>
      </c>
      <c r="Y373" t="s">
        <v>348</v>
      </c>
      <c r="Z373" t="s">
        <v>350</v>
      </c>
      <c r="AC373" t="s">
        <v>352</v>
      </c>
      <c r="AE373" t="s">
        <v>359</v>
      </c>
      <c r="AF373">
        <v>2019</v>
      </c>
      <c r="AG373">
        <v>0</v>
      </c>
      <c r="AH373">
        <v>1307.87</v>
      </c>
      <c r="AI373">
        <v>21.9</v>
      </c>
      <c r="AJ373" t="s">
        <v>2862</v>
      </c>
      <c r="AL373" t="s">
        <v>3283</v>
      </c>
      <c r="AM373">
        <v>0</v>
      </c>
      <c r="AO373">
        <v>1</v>
      </c>
      <c r="AP373">
        <v>0</v>
      </c>
      <c r="AQ373">
        <v>66.77</v>
      </c>
      <c r="AV373" t="s">
        <v>508</v>
      </c>
      <c r="AW373">
        <v>8340</v>
      </c>
      <c r="BA373" t="s">
        <v>3342</v>
      </c>
      <c r="BD373" t="s">
        <v>3358</v>
      </c>
      <c r="BE373" t="s">
        <v>590</v>
      </c>
      <c r="BF373" t="s">
        <v>600</v>
      </c>
    </row>
    <row r="374" spans="1:58">
      <c r="A374" s="1">
        <f>HYPERLINK("https://lsnyc.legalserver.org/matter/dynamic-profile/view/1901963","19-1901963")</f>
        <v>0</v>
      </c>
      <c r="E374" t="s">
        <v>381</v>
      </c>
      <c r="F374" t="s">
        <v>623</v>
      </c>
      <c r="G374" t="s">
        <v>80</v>
      </c>
      <c r="H374" t="s">
        <v>681</v>
      </c>
      <c r="J374" t="s">
        <v>1119</v>
      </c>
      <c r="K374" t="s">
        <v>1005</v>
      </c>
      <c r="L374" t="s">
        <v>1809</v>
      </c>
      <c r="M374" t="s">
        <v>2015</v>
      </c>
      <c r="N374" t="s">
        <v>288</v>
      </c>
      <c r="O374" t="s">
        <v>289</v>
      </c>
      <c r="P374">
        <v>11225</v>
      </c>
      <c r="Q374" t="s">
        <v>290</v>
      </c>
      <c r="R374" t="s">
        <v>291</v>
      </c>
      <c r="S374" t="s">
        <v>292</v>
      </c>
      <c r="T374" t="s">
        <v>2393</v>
      </c>
      <c r="U374">
        <v>44</v>
      </c>
      <c r="V374" t="s">
        <v>339</v>
      </c>
      <c r="W374" t="s">
        <v>346</v>
      </c>
      <c r="Y374" t="s">
        <v>348</v>
      </c>
      <c r="Z374" t="s">
        <v>350</v>
      </c>
      <c r="AC374" t="s">
        <v>352</v>
      </c>
      <c r="AE374" t="s">
        <v>359</v>
      </c>
      <c r="AF374">
        <v>2019</v>
      </c>
      <c r="AG374">
        <v>0</v>
      </c>
      <c r="AH374">
        <v>959</v>
      </c>
      <c r="AI374">
        <v>12.95</v>
      </c>
      <c r="AJ374" t="s">
        <v>2863</v>
      </c>
      <c r="AL374" t="s">
        <v>3284</v>
      </c>
      <c r="AM374">
        <v>0</v>
      </c>
      <c r="AO374">
        <v>1</v>
      </c>
      <c r="AP374">
        <v>0</v>
      </c>
      <c r="AQ374">
        <v>40.93</v>
      </c>
      <c r="AV374" t="s">
        <v>508</v>
      </c>
      <c r="AW374">
        <v>5112</v>
      </c>
      <c r="BA374" t="s">
        <v>3342</v>
      </c>
      <c r="BD374" t="s">
        <v>3360</v>
      </c>
      <c r="BE374" t="s">
        <v>3429</v>
      </c>
      <c r="BF374" t="s">
        <v>600</v>
      </c>
    </row>
    <row r="375" spans="1:58">
      <c r="A375" s="1">
        <f>HYPERLINK("https://lsnyc.legalserver.org/matter/dynamic-profile/view/1901884","19-1901884")</f>
        <v>0</v>
      </c>
      <c r="E375" t="s">
        <v>381</v>
      </c>
      <c r="F375" t="s">
        <v>74</v>
      </c>
      <c r="G375" t="s">
        <v>80</v>
      </c>
      <c r="H375" t="s">
        <v>679</v>
      </c>
      <c r="J375" t="s">
        <v>1120</v>
      </c>
      <c r="K375" t="s">
        <v>1448</v>
      </c>
      <c r="L375" t="s">
        <v>1810</v>
      </c>
      <c r="M375">
        <v>342</v>
      </c>
      <c r="N375" t="s">
        <v>288</v>
      </c>
      <c r="O375" t="s">
        <v>289</v>
      </c>
      <c r="P375">
        <v>11224</v>
      </c>
      <c r="Q375" t="s">
        <v>290</v>
      </c>
      <c r="R375" t="s">
        <v>291</v>
      </c>
      <c r="S375" t="s">
        <v>295</v>
      </c>
      <c r="T375" t="s">
        <v>2394</v>
      </c>
      <c r="U375">
        <v>0</v>
      </c>
      <c r="V375" t="s">
        <v>340</v>
      </c>
      <c r="W375" t="s">
        <v>346</v>
      </c>
      <c r="Y375" t="s">
        <v>349</v>
      </c>
      <c r="Z375" t="s">
        <v>350</v>
      </c>
      <c r="AC375" t="s">
        <v>352</v>
      </c>
      <c r="AE375" t="s">
        <v>359</v>
      </c>
      <c r="AF375">
        <v>2019</v>
      </c>
      <c r="AG375">
        <v>0</v>
      </c>
      <c r="AH375">
        <v>525</v>
      </c>
      <c r="AI375">
        <v>27.45</v>
      </c>
      <c r="AJ375" t="s">
        <v>2864</v>
      </c>
      <c r="AL375" t="s">
        <v>3285</v>
      </c>
      <c r="AM375">
        <v>134</v>
      </c>
      <c r="AO375">
        <v>2</v>
      </c>
      <c r="AP375">
        <v>0</v>
      </c>
      <c r="AQ375">
        <v>54.71</v>
      </c>
      <c r="AV375" t="s">
        <v>508</v>
      </c>
      <c r="AW375">
        <v>9252</v>
      </c>
      <c r="BA375" t="s">
        <v>3341</v>
      </c>
      <c r="BD375" t="s">
        <v>545</v>
      </c>
      <c r="BE375" t="s">
        <v>586</v>
      </c>
      <c r="BF375" t="s">
        <v>600</v>
      </c>
    </row>
    <row r="376" spans="1:58">
      <c r="A376" s="1">
        <f>HYPERLINK("https://lsnyc.legalserver.org/matter/dynamic-profile/view/1901816","19-1901816")</f>
        <v>0</v>
      </c>
      <c r="E376" t="s">
        <v>381</v>
      </c>
      <c r="F376" t="s">
        <v>59</v>
      </c>
      <c r="G376" t="s">
        <v>80</v>
      </c>
      <c r="H376" t="s">
        <v>798</v>
      </c>
      <c r="J376" t="s">
        <v>1121</v>
      </c>
      <c r="K376" t="s">
        <v>1449</v>
      </c>
      <c r="L376" t="s">
        <v>1811</v>
      </c>
      <c r="M376" t="s">
        <v>2016</v>
      </c>
      <c r="N376" t="s">
        <v>288</v>
      </c>
      <c r="O376" t="s">
        <v>289</v>
      </c>
      <c r="P376">
        <v>11224</v>
      </c>
      <c r="Q376" t="s">
        <v>290</v>
      </c>
      <c r="R376" t="s">
        <v>291</v>
      </c>
      <c r="S376" t="s">
        <v>295</v>
      </c>
      <c r="T376" t="s">
        <v>2395</v>
      </c>
      <c r="U376">
        <v>20</v>
      </c>
      <c r="V376" t="s">
        <v>339</v>
      </c>
      <c r="W376" t="s">
        <v>346</v>
      </c>
      <c r="Y376" t="s">
        <v>349</v>
      </c>
      <c r="Z376" t="s">
        <v>350</v>
      </c>
      <c r="AC376" t="s">
        <v>352</v>
      </c>
      <c r="AD376" t="s">
        <v>2446</v>
      </c>
      <c r="AE376" t="s">
        <v>359</v>
      </c>
      <c r="AF376">
        <v>2019</v>
      </c>
      <c r="AG376">
        <v>0</v>
      </c>
      <c r="AH376">
        <v>895.38</v>
      </c>
      <c r="AI376">
        <v>3.2</v>
      </c>
      <c r="AJ376" t="s">
        <v>2865</v>
      </c>
      <c r="AL376" t="s">
        <v>3286</v>
      </c>
      <c r="AM376">
        <v>184</v>
      </c>
      <c r="AN376" t="s">
        <v>3326</v>
      </c>
      <c r="AO376">
        <v>1</v>
      </c>
      <c r="AP376">
        <v>0</v>
      </c>
      <c r="AQ376">
        <v>121.46</v>
      </c>
      <c r="AV376" t="s">
        <v>508</v>
      </c>
      <c r="AW376">
        <v>15170.28</v>
      </c>
      <c r="BA376" t="s">
        <v>3342</v>
      </c>
      <c r="BD376" t="s">
        <v>547</v>
      </c>
      <c r="BE376" t="s">
        <v>679</v>
      </c>
      <c r="BF376" t="s">
        <v>600</v>
      </c>
    </row>
    <row r="377" spans="1:58">
      <c r="A377" s="1">
        <f>HYPERLINK("https://lsnyc.legalserver.org/matter/dynamic-profile/view/1901924","19-1901924")</f>
        <v>0</v>
      </c>
      <c r="E377" t="s">
        <v>381</v>
      </c>
      <c r="F377" t="s">
        <v>59</v>
      </c>
      <c r="G377" t="s">
        <v>80</v>
      </c>
      <c r="H377" t="s">
        <v>679</v>
      </c>
      <c r="J377" t="s">
        <v>1122</v>
      </c>
      <c r="K377" t="s">
        <v>1196</v>
      </c>
      <c r="L377" t="s">
        <v>1812</v>
      </c>
      <c r="M377" t="s">
        <v>1846</v>
      </c>
      <c r="N377" t="s">
        <v>288</v>
      </c>
      <c r="O377" t="s">
        <v>289</v>
      </c>
      <c r="P377">
        <v>11224</v>
      </c>
      <c r="Q377" t="s">
        <v>290</v>
      </c>
      <c r="R377" t="s">
        <v>291</v>
      </c>
      <c r="S377" t="s">
        <v>295</v>
      </c>
      <c r="T377" t="s">
        <v>2396</v>
      </c>
      <c r="U377">
        <v>0</v>
      </c>
      <c r="V377" t="s">
        <v>339</v>
      </c>
      <c r="W377" t="s">
        <v>346</v>
      </c>
      <c r="Y377" t="s">
        <v>349</v>
      </c>
      <c r="Z377" t="s">
        <v>350</v>
      </c>
      <c r="AC377" t="s">
        <v>352</v>
      </c>
      <c r="AE377" t="s">
        <v>359</v>
      </c>
      <c r="AF377">
        <v>2019</v>
      </c>
      <c r="AG377">
        <v>0</v>
      </c>
      <c r="AH377">
        <v>1515</v>
      </c>
      <c r="AI377">
        <v>21.2</v>
      </c>
      <c r="AJ377" t="s">
        <v>2866</v>
      </c>
      <c r="AK377" t="s">
        <v>2947</v>
      </c>
      <c r="AL377" t="s">
        <v>3287</v>
      </c>
      <c r="AM377">
        <v>6</v>
      </c>
      <c r="AO377">
        <v>1</v>
      </c>
      <c r="AP377">
        <v>3</v>
      </c>
      <c r="AQ377">
        <v>0</v>
      </c>
      <c r="AV377" t="s">
        <v>508</v>
      </c>
      <c r="AW377">
        <v>0</v>
      </c>
      <c r="BA377" t="s">
        <v>3341</v>
      </c>
      <c r="BD377" t="s">
        <v>3368</v>
      </c>
      <c r="BE377" t="s">
        <v>3470</v>
      </c>
      <c r="BF377" t="s">
        <v>600</v>
      </c>
    </row>
    <row r="378" spans="1:58">
      <c r="A378" s="1">
        <f>HYPERLINK("https://lsnyc.legalserver.org/matter/dynamic-profile/view/1901184","19-1901184")</f>
        <v>0</v>
      </c>
      <c r="E378" t="s">
        <v>381</v>
      </c>
      <c r="F378" t="s">
        <v>68</v>
      </c>
      <c r="G378" t="s">
        <v>80</v>
      </c>
      <c r="H378" t="s">
        <v>592</v>
      </c>
      <c r="J378" t="s">
        <v>1123</v>
      </c>
      <c r="K378" t="s">
        <v>1450</v>
      </c>
      <c r="L378" t="s">
        <v>1813</v>
      </c>
      <c r="M378" t="s">
        <v>1877</v>
      </c>
      <c r="N378" t="s">
        <v>288</v>
      </c>
      <c r="O378" t="s">
        <v>289</v>
      </c>
      <c r="P378">
        <v>11222</v>
      </c>
      <c r="Q378" t="s">
        <v>290</v>
      </c>
      <c r="R378" t="s">
        <v>291</v>
      </c>
      <c r="S378" t="s">
        <v>295</v>
      </c>
      <c r="T378" t="s">
        <v>2397</v>
      </c>
      <c r="U378">
        <v>-1</v>
      </c>
      <c r="V378" t="s">
        <v>339</v>
      </c>
      <c r="W378" t="s">
        <v>346</v>
      </c>
      <c r="Y378" t="s">
        <v>349</v>
      </c>
      <c r="Z378" t="s">
        <v>350</v>
      </c>
      <c r="AA378" t="s">
        <v>350</v>
      </c>
      <c r="AC378" t="s">
        <v>353</v>
      </c>
      <c r="AD378" t="s">
        <v>356</v>
      </c>
      <c r="AE378" t="s">
        <v>359</v>
      </c>
      <c r="AF378">
        <v>2019</v>
      </c>
      <c r="AG378">
        <v>0</v>
      </c>
      <c r="AH378">
        <v>0</v>
      </c>
      <c r="AI378">
        <v>3.65</v>
      </c>
      <c r="AJ378" t="s">
        <v>2867</v>
      </c>
      <c r="AL378" t="s">
        <v>3288</v>
      </c>
      <c r="AM378">
        <v>0</v>
      </c>
      <c r="AN378" t="s">
        <v>497</v>
      </c>
      <c r="AO378">
        <v>2</v>
      </c>
      <c r="AP378">
        <v>1</v>
      </c>
      <c r="AQ378">
        <v>146.16</v>
      </c>
      <c r="AU378" t="s">
        <v>507</v>
      </c>
      <c r="AV378" t="s">
        <v>508</v>
      </c>
      <c r="AW378">
        <v>31176</v>
      </c>
      <c r="BA378" t="s">
        <v>3342</v>
      </c>
      <c r="BD378" t="s">
        <v>537</v>
      </c>
      <c r="BE378" t="s">
        <v>825</v>
      </c>
      <c r="BF378" t="s">
        <v>600</v>
      </c>
    </row>
    <row r="379" spans="1:58">
      <c r="A379" s="1">
        <f>HYPERLINK("https://lsnyc.legalserver.org/matter/dynamic-profile/view/1899405","19-1899405")</f>
        <v>0</v>
      </c>
      <c r="E379" t="s">
        <v>381</v>
      </c>
      <c r="F379" t="s">
        <v>75</v>
      </c>
      <c r="G379" t="s">
        <v>80</v>
      </c>
      <c r="H379" t="s">
        <v>793</v>
      </c>
      <c r="J379" t="s">
        <v>1124</v>
      </c>
      <c r="K379" t="s">
        <v>1451</v>
      </c>
      <c r="L379" t="s">
        <v>1814</v>
      </c>
      <c r="M379">
        <v>2</v>
      </c>
      <c r="N379" t="s">
        <v>288</v>
      </c>
      <c r="O379" t="s">
        <v>289</v>
      </c>
      <c r="P379">
        <v>11221</v>
      </c>
      <c r="Q379" t="s">
        <v>290</v>
      </c>
      <c r="R379" t="s">
        <v>291</v>
      </c>
      <c r="S379" t="s">
        <v>292</v>
      </c>
      <c r="T379" t="s">
        <v>2398</v>
      </c>
      <c r="U379">
        <v>3</v>
      </c>
      <c r="V379" t="s">
        <v>340</v>
      </c>
      <c r="W379" t="s">
        <v>346</v>
      </c>
      <c r="Y379" t="s">
        <v>348</v>
      </c>
      <c r="Z379" t="s">
        <v>350</v>
      </c>
      <c r="AC379" t="s">
        <v>352</v>
      </c>
      <c r="AE379" t="s">
        <v>359</v>
      </c>
      <c r="AF379">
        <v>2019</v>
      </c>
      <c r="AG379">
        <v>0</v>
      </c>
      <c r="AH379">
        <v>509</v>
      </c>
      <c r="AI379">
        <v>30.8</v>
      </c>
      <c r="AJ379" t="s">
        <v>2868</v>
      </c>
      <c r="AL379" t="s">
        <v>3289</v>
      </c>
      <c r="AM379">
        <v>0</v>
      </c>
      <c r="AO379">
        <v>1</v>
      </c>
      <c r="AP379">
        <v>0</v>
      </c>
      <c r="AQ379">
        <v>0</v>
      </c>
      <c r="AV379" t="s">
        <v>508</v>
      </c>
      <c r="AW379">
        <v>0</v>
      </c>
      <c r="BA379" t="s">
        <v>522</v>
      </c>
      <c r="BD379" t="s">
        <v>544</v>
      </c>
      <c r="BE379" t="s">
        <v>3449</v>
      </c>
      <c r="BF379" t="s">
        <v>600</v>
      </c>
    </row>
    <row r="380" spans="1:58">
      <c r="A380" s="1">
        <f>HYPERLINK("https://lsnyc.legalserver.org/matter/dynamic-profile/view/1900095","19-1900095")</f>
        <v>0</v>
      </c>
      <c r="E380" t="s">
        <v>381</v>
      </c>
      <c r="F380" t="s">
        <v>628</v>
      </c>
      <c r="G380" t="s">
        <v>80</v>
      </c>
      <c r="H380" t="s">
        <v>799</v>
      </c>
      <c r="J380" t="s">
        <v>1125</v>
      </c>
      <c r="K380" t="s">
        <v>1319</v>
      </c>
      <c r="L380" t="s">
        <v>1815</v>
      </c>
      <c r="M380" t="s">
        <v>2017</v>
      </c>
      <c r="N380" t="s">
        <v>288</v>
      </c>
      <c r="O380" t="s">
        <v>289</v>
      </c>
      <c r="P380">
        <v>11221</v>
      </c>
      <c r="Q380" t="s">
        <v>290</v>
      </c>
      <c r="R380" t="s">
        <v>291</v>
      </c>
      <c r="S380" t="s">
        <v>292</v>
      </c>
      <c r="T380" t="s">
        <v>2399</v>
      </c>
      <c r="U380">
        <v>35</v>
      </c>
      <c r="V380" t="s">
        <v>340</v>
      </c>
      <c r="W380" t="s">
        <v>346</v>
      </c>
      <c r="Y380" t="s">
        <v>348</v>
      </c>
      <c r="Z380" t="s">
        <v>350</v>
      </c>
      <c r="AA380" t="s">
        <v>350</v>
      </c>
      <c r="AC380" t="s">
        <v>352</v>
      </c>
      <c r="AD380" t="s">
        <v>356</v>
      </c>
      <c r="AE380" t="s">
        <v>359</v>
      </c>
      <c r="AF380">
        <v>2019</v>
      </c>
      <c r="AG380">
        <v>0</v>
      </c>
      <c r="AH380">
        <v>1970</v>
      </c>
      <c r="AI380">
        <v>21.9</v>
      </c>
      <c r="AJ380" t="s">
        <v>2869</v>
      </c>
      <c r="AL380" t="s">
        <v>3290</v>
      </c>
      <c r="AM380">
        <v>0</v>
      </c>
      <c r="AN380" t="s">
        <v>493</v>
      </c>
      <c r="AO380">
        <v>1</v>
      </c>
      <c r="AP380">
        <v>1</v>
      </c>
      <c r="AQ380">
        <v>61.03</v>
      </c>
      <c r="AU380" t="s">
        <v>507</v>
      </c>
      <c r="AV380" t="s">
        <v>508</v>
      </c>
      <c r="AW380">
        <v>10320</v>
      </c>
      <c r="BA380" t="s">
        <v>522</v>
      </c>
      <c r="BD380" t="s">
        <v>553</v>
      </c>
      <c r="BE380" t="s">
        <v>582</v>
      </c>
      <c r="BF380" t="s">
        <v>600</v>
      </c>
    </row>
    <row r="381" spans="1:58">
      <c r="A381" s="1">
        <f>HYPERLINK("https://lsnyc.legalserver.org/matter/dynamic-profile/view/1900685","19-1900685")</f>
        <v>0</v>
      </c>
      <c r="E381" t="s">
        <v>381</v>
      </c>
      <c r="F381" t="s">
        <v>72</v>
      </c>
      <c r="G381" t="s">
        <v>80</v>
      </c>
      <c r="H381" t="s">
        <v>800</v>
      </c>
      <c r="J381" t="s">
        <v>933</v>
      </c>
      <c r="K381" t="s">
        <v>1252</v>
      </c>
      <c r="L381" t="s">
        <v>1587</v>
      </c>
      <c r="M381" t="s">
        <v>281</v>
      </c>
      <c r="N381" t="s">
        <v>288</v>
      </c>
      <c r="O381" t="s">
        <v>289</v>
      </c>
      <c r="P381">
        <v>11221</v>
      </c>
      <c r="Q381" t="s">
        <v>290</v>
      </c>
      <c r="R381" t="s">
        <v>291</v>
      </c>
      <c r="S381" t="s">
        <v>293</v>
      </c>
      <c r="T381" t="s">
        <v>2400</v>
      </c>
      <c r="U381">
        <v>15</v>
      </c>
      <c r="V381" t="s">
        <v>340</v>
      </c>
      <c r="W381" t="s">
        <v>346</v>
      </c>
      <c r="Y381" t="s">
        <v>348</v>
      </c>
      <c r="Z381" t="s">
        <v>350</v>
      </c>
      <c r="AC381" t="s">
        <v>352</v>
      </c>
      <c r="AE381" t="s">
        <v>359</v>
      </c>
      <c r="AF381">
        <v>2019</v>
      </c>
      <c r="AG381">
        <v>0</v>
      </c>
      <c r="AH381">
        <v>206</v>
      </c>
      <c r="AI381">
        <v>1.9</v>
      </c>
      <c r="AJ381" t="s">
        <v>2624</v>
      </c>
      <c r="AL381" t="s">
        <v>3065</v>
      </c>
      <c r="AM381">
        <v>64</v>
      </c>
      <c r="AO381">
        <v>1</v>
      </c>
      <c r="AP381">
        <v>0</v>
      </c>
      <c r="AQ381">
        <v>80.42</v>
      </c>
      <c r="AV381" t="s">
        <v>508</v>
      </c>
      <c r="AW381">
        <v>10044</v>
      </c>
      <c r="BA381" t="s">
        <v>3341</v>
      </c>
      <c r="BD381" t="s">
        <v>543</v>
      </c>
      <c r="BE381" t="s">
        <v>826</v>
      </c>
      <c r="BF381" t="s">
        <v>600</v>
      </c>
    </row>
    <row r="382" spans="1:58">
      <c r="A382" s="1">
        <f>HYPERLINK("https://lsnyc.legalserver.org/matter/dynamic-profile/view/1900788","19-1900788")</f>
        <v>0</v>
      </c>
      <c r="E382" t="s">
        <v>381</v>
      </c>
      <c r="F382" t="s">
        <v>63</v>
      </c>
      <c r="G382" t="s">
        <v>80</v>
      </c>
      <c r="H382" t="s">
        <v>794</v>
      </c>
      <c r="J382" t="s">
        <v>870</v>
      </c>
      <c r="K382" t="s">
        <v>1452</v>
      </c>
      <c r="L382" t="s">
        <v>1816</v>
      </c>
      <c r="M382" t="s">
        <v>2004</v>
      </c>
      <c r="N382" t="s">
        <v>288</v>
      </c>
      <c r="O382" t="s">
        <v>289</v>
      </c>
      <c r="P382">
        <v>11221</v>
      </c>
      <c r="Q382" t="s">
        <v>290</v>
      </c>
      <c r="R382" t="s">
        <v>291</v>
      </c>
      <c r="S382" t="s">
        <v>292</v>
      </c>
      <c r="T382" t="s">
        <v>2401</v>
      </c>
      <c r="U382">
        <v>6</v>
      </c>
      <c r="V382" t="s">
        <v>340</v>
      </c>
      <c r="W382" t="s">
        <v>346</v>
      </c>
      <c r="Y382" t="s">
        <v>348</v>
      </c>
      <c r="Z382" t="s">
        <v>350</v>
      </c>
      <c r="AC382" t="s">
        <v>352</v>
      </c>
      <c r="AE382" t="s">
        <v>359</v>
      </c>
      <c r="AF382">
        <v>2019</v>
      </c>
      <c r="AG382">
        <v>0</v>
      </c>
      <c r="AH382">
        <v>1364.11</v>
      </c>
      <c r="AI382">
        <v>7.85</v>
      </c>
      <c r="AJ382" t="s">
        <v>2870</v>
      </c>
      <c r="AL382" t="s">
        <v>3291</v>
      </c>
      <c r="AM382">
        <v>4</v>
      </c>
      <c r="AO382">
        <v>1</v>
      </c>
      <c r="AP382">
        <v>0</v>
      </c>
      <c r="AQ382">
        <v>80.7</v>
      </c>
      <c r="AU382" t="s">
        <v>507</v>
      </c>
      <c r="AV382" t="s">
        <v>508</v>
      </c>
      <c r="AW382">
        <v>10080</v>
      </c>
      <c r="BA382" t="s">
        <v>3342</v>
      </c>
      <c r="BD382" t="s">
        <v>3416</v>
      </c>
      <c r="BE382" t="s">
        <v>3441</v>
      </c>
      <c r="BF382" t="s">
        <v>600</v>
      </c>
    </row>
    <row r="383" spans="1:58">
      <c r="A383" s="1">
        <f>HYPERLINK("https://lsnyc.legalserver.org/matter/dynamic-profile/view/1901858","19-1901858")</f>
        <v>0</v>
      </c>
      <c r="E383" t="s">
        <v>381</v>
      </c>
      <c r="F383" t="s">
        <v>75</v>
      </c>
      <c r="G383" t="s">
        <v>80</v>
      </c>
      <c r="H383" t="s">
        <v>679</v>
      </c>
      <c r="J383" t="s">
        <v>1126</v>
      </c>
      <c r="K383" t="s">
        <v>1453</v>
      </c>
      <c r="L383" t="s">
        <v>1817</v>
      </c>
      <c r="M383" t="s">
        <v>2018</v>
      </c>
      <c r="N383" t="s">
        <v>288</v>
      </c>
      <c r="O383" t="s">
        <v>289</v>
      </c>
      <c r="P383">
        <v>11221</v>
      </c>
      <c r="Q383" t="s">
        <v>290</v>
      </c>
      <c r="R383" t="s">
        <v>291</v>
      </c>
      <c r="S383" t="s">
        <v>292</v>
      </c>
      <c r="T383" t="s">
        <v>2402</v>
      </c>
      <c r="U383">
        <v>1</v>
      </c>
      <c r="V383" t="s">
        <v>340</v>
      </c>
      <c r="W383" t="s">
        <v>346</v>
      </c>
      <c r="Y383" t="s">
        <v>348</v>
      </c>
      <c r="Z383" t="s">
        <v>350</v>
      </c>
      <c r="AA383" t="s">
        <v>350</v>
      </c>
      <c r="AC383" t="s">
        <v>352</v>
      </c>
      <c r="AE383" t="s">
        <v>359</v>
      </c>
      <c r="AF383">
        <v>2019</v>
      </c>
      <c r="AG383">
        <v>0</v>
      </c>
      <c r="AH383">
        <v>900</v>
      </c>
      <c r="AI383">
        <v>0.2</v>
      </c>
      <c r="AJ383" t="s">
        <v>2871</v>
      </c>
      <c r="AL383" t="s">
        <v>3292</v>
      </c>
      <c r="AM383">
        <v>0</v>
      </c>
      <c r="AO383">
        <v>1</v>
      </c>
      <c r="AP383">
        <v>0</v>
      </c>
      <c r="AQ383">
        <v>192.15</v>
      </c>
      <c r="AU383" t="s">
        <v>503</v>
      </c>
      <c r="AV383" t="s">
        <v>508</v>
      </c>
      <c r="AW383">
        <v>24000</v>
      </c>
      <c r="BA383" t="s">
        <v>522</v>
      </c>
      <c r="BD383" t="s">
        <v>537</v>
      </c>
      <c r="BE383" t="s">
        <v>3471</v>
      </c>
      <c r="BF383" t="s">
        <v>600</v>
      </c>
    </row>
    <row r="384" spans="1:58">
      <c r="A384" s="1">
        <f>HYPERLINK("https://lsnyc.legalserver.org/matter/dynamic-profile/view/1901870","19-1901870")</f>
        <v>0</v>
      </c>
      <c r="E384" t="s">
        <v>381</v>
      </c>
      <c r="F384" t="s">
        <v>620</v>
      </c>
      <c r="G384" t="s">
        <v>80</v>
      </c>
      <c r="H384" t="s">
        <v>679</v>
      </c>
      <c r="J384" t="s">
        <v>1127</v>
      </c>
      <c r="K384" t="s">
        <v>1454</v>
      </c>
      <c r="L384" t="s">
        <v>1818</v>
      </c>
      <c r="M384">
        <v>2</v>
      </c>
      <c r="N384" t="s">
        <v>288</v>
      </c>
      <c r="O384" t="s">
        <v>289</v>
      </c>
      <c r="P384">
        <v>11221</v>
      </c>
      <c r="Q384" t="s">
        <v>290</v>
      </c>
      <c r="R384" t="s">
        <v>291</v>
      </c>
      <c r="S384" t="s">
        <v>292</v>
      </c>
      <c r="T384" t="s">
        <v>2403</v>
      </c>
      <c r="U384">
        <v>6</v>
      </c>
      <c r="V384" t="s">
        <v>340</v>
      </c>
      <c r="W384" t="s">
        <v>346</v>
      </c>
      <c r="Y384" t="s">
        <v>348</v>
      </c>
      <c r="Z384" t="s">
        <v>350</v>
      </c>
      <c r="AA384" t="s">
        <v>350</v>
      </c>
      <c r="AC384" t="s">
        <v>352</v>
      </c>
      <c r="AD384" t="s">
        <v>356</v>
      </c>
      <c r="AE384" t="s">
        <v>359</v>
      </c>
      <c r="AF384">
        <v>2019</v>
      </c>
      <c r="AG384">
        <v>0</v>
      </c>
      <c r="AH384">
        <v>1519</v>
      </c>
      <c r="AI384">
        <v>6.6</v>
      </c>
      <c r="AJ384" t="s">
        <v>2872</v>
      </c>
      <c r="AL384" t="s">
        <v>3293</v>
      </c>
      <c r="AM384">
        <v>4</v>
      </c>
      <c r="AN384" t="s">
        <v>496</v>
      </c>
      <c r="AO384">
        <v>2</v>
      </c>
      <c r="AP384">
        <v>0</v>
      </c>
      <c r="AQ384">
        <v>177.41</v>
      </c>
      <c r="AU384" t="s">
        <v>507</v>
      </c>
      <c r="AV384" t="s">
        <v>508</v>
      </c>
      <c r="AW384">
        <v>30000</v>
      </c>
      <c r="BA384" t="s">
        <v>522</v>
      </c>
      <c r="BD384" t="s">
        <v>537</v>
      </c>
      <c r="BE384" t="s">
        <v>581</v>
      </c>
      <c r="BF384" t="s">
        <v>600</v>
      </c>
    </row>
    <row r="385" spans="1:58">
      <c r="A385" s="1">
        <f>HYPERLINK("https://lsnyc.legalserver.org/matter/dynamic-profile/view/1899407","19-1899407")</f>
        <v>0</v>
      </c>
      <c r="E385" t="s">
        <v>381</v>
      </c>
      <c r="F385" t="s">
        <v>75</v>
      </c>
      <c r="G385" t="s">
        <v>80</v>
      </c>
      <c r="H385" t="s">
        <v>793</v>
      </c>
      <c r="J385" t="s">
        <v>1128</v>
      </c>
      <c r="K385" t="s">
        <v>1001</v>
      </c>
      <c r="L385" t="s">
        <v>1819</v>
      </c>
      <c r="M385" t="s">
        <v>280</v>
      </c>
      <c r="N385" t="s">
        <v>288</v>
      </c>
      <c r="O385" t="s">
        <v>289</v>
      </c>
      <c r="P385">
        <v>11221</v>
      </c>
      <c r="Q385" t="s">
        <v>290</v>
      </c>
      <c r="R385" t="s">
        <v>291</v>
      </c>
      <c r="S385" t="s">
        <v>292</v>
      </c>
      <c r="T385" t="s">
        <v>2404</v>
      </c>
      <c r="U385">
        <v>0</v>
      </c>
      <c r="V385" t="s">
        <v>339</v>
      </c>
      <c r="W385" t="s">
        <v>346</v>
      </c>
      <c r="Y385" t="s">
        <v>348</v>
      </c>
      <c r="Z385" t="s">
        <v>350</v>
      </c>
      <c r="AA385" t="s">
        <v>350</v>
      </c>
      <c r="AC385" t="s">
        <v>352</v>
      </c>
      <c r="AE385" t="s">
        <v>359</v>
      </c>
      <c r="AF385">
        <v>2019</v>
      </c>
      <c r="AG385">
        <v>0</v>
      </c>
      <c r="AH385">
        <v>0</v>
      </c>
      <c r="AI385">
        <v>15.4</v>
      </c>
      <c r="AJ385" t="s">
        <v>2873</v>
      </c>
      <c r="AL385" t="s">
        <v>3294</v>
      </c>
      <c r="AM385">
        <v>0</v>
      </c>
      <c r="AN385" t="s">
        <v>3321</v>
      </c>
      <c r="AO385">
        <v>2</v>
      </c>
      <c r="AP385">
        <v>0</v>
      </c>
      <c r="AQ385">
        <v>48.28</v>
      </c>
      <c r="AV385" t="s">
        <v>508</v>
      </c>
      <c r="AW385">
        <v>8163.96</v>
      </c>
      <c r="BA385" t="s">
        <v>522</v>
      </c>
      <c r="BD385" t="s">
        <v>548</v>
      </c>
      <c r="BE385" t="s">
        <v>561</v>
      </c>
      <c r="BF385" t="s">
        <v>600</v>
      </c>
    </row>
    <row r="386" spans="1:58">
      <c r="A386" s="1">
        <f>HYPERLINK("https://lsnyc.legalserver.org/matter/dynamic-profile/view/1899412","19-1899412")</f>
        <v>0</v>
      </c>
      <c r="E386" t="s">
        <v>381</v>
      </c>
      <c r="F386" t="s">
        <v>75</v>
      </c>
      <c r="G386" t="s">
        <v>80</v>
      </c>
      <c r="H386" t="s">
        <v>793</v>
      </c>
      <c r="J386" t="s">
        <v>1129</v>
      </c>
      <c r="K386" t="s">
        <v>1455</v>
      </c>
      <c r="L386" t="s">
        <v>1820</v>
      </c>
      <c r="M386" t="s">
        <v>1872</v>
      </c>
      <c r="N386" t="s">
        <v>288</v>
      </c>
      <c r="O386" t="s">
        <v>289</v>
      </c>
      <c r="P386">
        <v>11221</v>
      </c>
      <c r="Q386" t="s">
        <v>290</v>
      </c>
      <c r="R386" t="s">
        <v>291</v>
      </c>
      <c r="S386" t="s">
        <v>292</v>
      </c>
      <c r="T386" t="s">
        <v>2405</v>
      </c>
      <c r="U386">
        <v>10</v>
      </c>
      <c r="V386" t="s">
        <v>339</v>
      </c>
      <c r="W386" t="s">
        <v>346</v>
      </c>
      <c r="Y386" t="s">
        <v>348</v>
      </c>
      <c r="Z386" t="s">
        <v>350</v>
      </c>
      <c r="AA386" t="s">
        <v>350</v>
      </c>
      <c r="AC386" t="s">
        <v>352</v>
      </c>
      <c r="AE386" t="s">
        <v>359</v>
      </c>
      <c r="AF386">
        <v>2019</v>
      </c>
      <c r="AG386">
        <v>0</v>
      </c>
      <c r="AH386">
        <v>1800</v>
      </c>
      <c r="AI386">
        <v>6.9</v>
      </c>
      <c r="AJ386" t="s">
        <v>2874</v>
      </c>
      <c r="AL386" t="s">
        <v>3295</v>
      </c>
      <c r="AM386">
        <v>0</v>
      </c>
      <c r="AO386">
        <v>2</v>
      </c>
      <c r="AP386">
        <v>0</v>
      </c>
      <c r="AQ386">
        <v>224.72</v>
      </c>
      <c r="AR386" t="s">
        <v>822</v>
      </c>
      <c r="AS386" t="s">
        <v>3328</v>
      </c>
      <c r="AV386" t="s">
        <v>508</v>
      </c>
      <c r="AW386">
        <v>38000</v>
      </c>
      <c r="BA386" t="s">
        <v>522</v>
      </c>
      <c r="BD386" t="s">
        <v>537</v>
      </c>
      <c r="BE386" t="s">
        <v>3430</v>
      </c>
      <c r="BF386" t="s">
        <v>600</v>
      </c>
    </row>
    <row r="387" spans="1:58">
      <c r="A387" s="1">
        <f>HYPERLINK("https://lsnyc.legalserver.org/matter/dynamic-profile/view/1899682","19-1899682")</f>
        <v>0</v>
      </c>
      <c r="E387" t="s">
        <v>381</v>
      </c>
      <c r="F387" t="s">
        <v>623</v>
      </c>
      <c r="G387" t="s">
        <v>80</v>
      </c>
      <c r="H387" t="s">
        <v>801</v>
      </c>
      <c r="J387" t="s">
        <v>1130</v>
      </c>
      <c r="K387" t="s">
        <v>1456</v>
      </c>
      <c r="L387" t="s">
        <v>1821</v>
      </c>
      <c r="M387" t="s">
        <v>2019</v>
      </c>
      <c r="N387" t="s">
        <v>288</v>
      </c>
      <c r="O387" t="s">
        <v>289</v>
      </c>
      <c r="P387">
        <v>11221</v>
      </c>
      <c r="Q387" t="s">
        <v>290</v>
      </c>
      <c r="R387" t="s">
        <v>291</v>
      </c>
      <c r="S387" t="s">
        <v>292</v>
      </c>
      <c r="T387" t="s">
        <v>2406</v>
      </c>
      <c r="U387">
        <v>0</v>
      </c>
      <c r="V387" t="s">
        <v>339</v>
      </c>
      <c r="W387" t="s">
        <v>346</v>
      </c>
      <c r="Y387" t="s">
        <v>348</v>
      </c>
      <c r="Z387" t="s">
        <v>350</v>
      </c>
      <c r="AC387" t="s">
        <v>352</v>
      </c>
      <c r="AE387" t="s">
        <v>359</v>
      </c>
      <c r="AF387">
        <v>2019</v>
      </c>
      <c r="AG387">
        <v>0</v>
      </c>
      <c r="AH387">
        <v>0</v>
      </c>
      <c r="AI387">
        <v>21.85</v>
      </c>
      <c r="AJ387" t="s">
        <v>2875</v>
      </c>
      <c r="AL387" t="s">
        <v>3296</v>
      </c>
      <c r="AM387">
        <v>0</v>
      </c>
      <c r="AO387">
        <v>1</v>
      </c>
      <c r="AP387">
        <v>0</v>
      </c>
      <c r="AQ387">
        <v>80.06</v>
      </c>
      <c r="AV387" t="s">
        <v>3336</v>
      </c>
      <c r="AW387">
        <v>10000</v>
      </c>
      <c r="BA387" t="s">
        <v>3341</v>
      </c>
      <c r="BD387" t="s">
        <v>550</v>
      </c>
      <c r="BE387" t="s">
        <v>594</v>
      </c>
      <c r="BF387" t="s">
        <v>600</v>
      </c>
    </row>
    <row r="388" spans="1:58">
      <c r="A388" s="1">
        <f>HYPERLINK("https://lsnyc.legalserver.org/matter/dynamic-profile/view/1899847","19-1899847")</f>
        <v>0</v>
      </c>
      <c r="E388" t="s">
        <v>381</v>
      </c>
      <c r="F388" t="s">
        <v>72</v>
      </c>
      <c r="G388" t="s">
        <v>80</v>
      </c>
      <c r="H388" t="s">
        <v>599</v>
      </c>
      <c r="J388" t="s">
        <v>163</v>
      </c>
      <c r="K388" t="s">
        <v>1457</v>
      </c>
      <c r="L388" t="s">
        <v>1553</v>
      </c>
      <c r="M388" t="s">
        <v>2020</v>
      </c>
      <c r="N388" t="s">
        <v>288</v>
      </c>
      <c r="O388" t="s">
        <v>289</v>
      </c>
      <c r="P388">
        <v>11221</v>
      </c>
      <c r="Q388" t="s">
        <v>290</v>
      </c>
      <c r="R388" t="s">
        <v>291</v>
      </c>
      <c r="S388" t="s">
        <v>295</v>
      </c>
      <c r="T388" t="s">
        <v>2407</v>
      </c>
      <c r="U388">
        <v>15</v>
      </c>
      <c r="V388" t="s">
        <v>339</v>
      </c>
      <c r="W388" t="s">
        <v>346</v>
      </c>
      <c r="Y388" t="s">
        <v>348</v>
      </c>
      <c r="Z388" t="s">
        <v>350</v>
      </c>
      <c r="AC388" t="s">
        <v>353</v>
      </c>
      <c r="AE388" t="s">
        <v>359</v>
      </c>
      <c r="AF388">
        <v>2019</v>
      </c>
      <c r="AG388">
        <v>0</v>
      </c>
      <c r="AH388">
        <v>1303.6</v>
      </c>
      <c r="AI388">
        <v>12.5</v>
      </c>
      <c r="AJ388" t="s">
        <v>2876</v>
      </c>
      <c r="AL388" t="s">
        <v>3297</v>
      </c>
      <c r="AM388">
        <v>0</v>
      </c>
      <c r="AO388">
        <v>3</v>
      </c>
      <c r="AP388">
        <v>0</v>
      </c>
      <c r="AQ388">
        <v>236.47</v>
      </c>
      <c r="AR388" t="s">
        <v>822</v>
      </c>
      <c r="AS388" t="s">
        <v>3328</v>
      </c>
      <c r="AV388" t="s">
        <v>508</v>
      </c>
      <c r="AW388">
        <v>50440</v>
      </c>
      <c r="BA388" t="s">
        <v>3342</v>
      </c>
      <c r="BD388" t="s">
        <v>537</v>
      </c>
      <c r="BE388" t="s">
        <v>3472</v>
      </c>
      <c r="BF388" t="s">
        <v>600</v>
      </c>
    </row>
    <row r="389" spans="1:58">
      <c r="A389" s="1">
        <f>HYPERLINK("https://lsnyc.legalserver.org/matter/dynamic-profile/view/1900173","19-1900173")</f>
        <v>0</v>
      </c>
      <c r="E389" t="s">
        <v>381</v>
      </c>
      <c r="F389" t="s">
        <v>632</v>
      </c>
      <c r="G389" t="s">
        <v>80</v>
      </c>
      <c r="H389" t="s">
        <v>802</v>
      </c>
      <c r="J389" t="s">
        <v>1085</v>
      </c>
      <c r="K389" t="s">
        <v>1333</v>
      </c>
      <c r="L389" t="s">
        <v>1822</v>
      </c>
      <c r="M389" t="s">
        <v>1846</v>
      </c>
      <c r="N389" t="s">
        <v>288</v>
      </c>
      <c r="O389" t="s">
        <v>289</v>
      </c>
      <c r="P389">
        <v>11221</v>
      </c>
      <c r="Q389" t="s">
        <v>290</v>
      </c>
      <c r="R389" t="s">
        <v>291</v>
      </c>
      <c r="S389" t="s">
        <v>292</v>
      </c>
      <c r="T389" t="s">
        <v>2408</v>
      </c>
      <c r="U389">
        <v>12</v>
      </c>
      <c r="V389" t="s">
        <v>339</v>
      </c>
      <c r="W389" t="s">
        <v>346</v>
      </c>
      <c r="Y389" t="s">
        <v>348</v>
      </c>
      <c r="Z389" t="s">
        <v>350</v>
      </c>
      <c r="AA389" t="s">
        <v>350</v>
      </c>
      <c r="AC389" t="s">
        <v>352</v>
      </c>
      <c r="AE389" t="s">
        <v>359</v>
      </c>
      <c r="AF389">
        <v>2019</v>
      </c>
      <c r="AG389">
        <v>0</v>
      </c>
      <c r="AH389">
        <v>375</v>
      </c>
      <c r="AI389">
        <v>27.7</v>
      </c>
      <c r="AJ389" t="s">
        <v>2877</v>
      </c>
      <c r="AL389" t="s">
        <v>3298</v>
      </c>
      <c r="AM389">
        <v>0</v>
      </c>
      <c r="AN389" t="s">
        <v>3321</v>
      </c>
      <c r="AO389">
        <v>1</v>
      </c>
      <c r="AP389">
        <v>0</v>
      </c>
      <c r="AQ389">
        <v>96.08</v>
      </c>
      <c r="AV389" t="s">
        <v>508</v>
      </c>
      <c r="AW389">
        <v>12000</v>
      </c>
      <c r="BA389" t="s">
        <v>522</v>
      </c>
      <c r="BD389" t="s">
        <v>3388</v>
      </c>
      <c r="BE389" t="s">
        <v>808</v>
      </c>
      <c r="BF389" t="s">
        <v>600</v>
      </c>
    </row>
    <row r="390" spans="1:58">
      <c r="A390" s="1">
        <f>HYPERLINK("https://lsnyc.legalserver.org/matter/dynamic-profile/view/1900648","19-1900648")</f>
        <v>0</v>
      </c>
      <c r="E390" t="s">
        <v>381</v>
      </c>
      <c r="F390" t="s">
        <v>68</v>
      </c>
      <c r="G390" t="s">
        <v>80</v>
      </c>
      <c r="H390" t="s">
        <v>565</v>
      </c>
      <c r="J390" t="s">
        <v>1131</v>
      </c>
      <c r="K390" t="s">
        <v>1229</v>
      </c>
      <c r="L390" t="s">
        <v>1823</v>
      </c>
      <c r="M390" t="s">
        <v>1872</v>
      </c>
      <c r="N390" t="s">
        <v>288</v>
      </c>
      <c r="O390" t="s">
        <v>289</v>
      </c>
      <c r="P390">
        <v>11221</v>
      </c>
      <c r="Q390" t="s">
        <v>290</v>
      </c>
      <c r="R390" t="s">
        <v>291</v>
      </c>
      <c r="S390" t="s">
        <v>292</v>
      </c>
      <c r="T390" t="s">
        <v>2409</v>
      </c>
      <c r="U390">
        <v>13</v>
      </c>
      <c r="V390" t="s">
        <v>339</v>
      </c>
      <c r="W390" t="s">
        <v>346</v>
      </c>
      <c r="Y390" t="s">
        <v>348</v>
      </c>
      <c r="Z390" t="s">
        <v>350</v>
      </c>
      <c r="AA390" t="s">
        <v>350</v>
      </c>
      <c r="AC390" t="s">
        <v>352</v>
      </c>
      <c r="AE390" t="s">
        <v>359</v>
      </c>
      <c r="AF390">
        <v>2019</v>
      </c>
      <c r="AG390">
        <v>0</v>
      </c>
      <c r="AH390">
        <v>973</v>
      </c>
      <c r="AI390">
        <v>13.75</v>
      </c>
      <c r="AJ390" t="s">
        <v>2878</v>
      </c>
      <c r="AL390" t="s">
        <v>3299</v>
      </c>
      <c r="AM390">
        <v>0</v>
      </c>
      <c r="AO390">
        <v>1</v>
      </c>
      <c r="AP390">
        <v>2</v>
      </c>
      <c r="AQ390">
        <v>85.08</v>
      </c>
      <c r="AV390" t="s">
        <v>508</v>
      </c>
      <c r="AW390">
        <v>18148</v>
      </c>
      <c r="BA390" t="s">
        <v>522</v>
      </c>
      <c r="BD390" t="s">
        <v>3417</v>
      </c>
      <c r="BE390" t="s">
        <v>560</v>
      </c>
      <c r="BF390" t="s">
        <v>600</v>
      </c>
    </row>
    <row r="391" spans="1:58">
      <c r="A391" s="1">
        <f>HYPERLINK("https://lsnyc.legalserver.org/matter/dynamic-profile/view/1901108","19-1901108")</f>
        <v>0</v>
      </c>
      <c r="E391" t="s">
        <v>381</v>
      </c>
      <c r="F391" t="s">
        <v>65</v>
      </c>
      <c r="G391" t="s">
        <v>80</v>
      </c>
      <c r="H391" t="s">
        <v>592</v>
      </c>
      <c r="J391" t="s">
        <v>1132</v>
      </c>
      <c r="K391" t="s">
        <v>1458</v>
      </c>
      <c r="L391" t="s">
        <v>1482</v>
      </c>
      <c r="M391" t="s">
        <v>1983</v>
      </c>
      <c r="N391" t="s">
        <v>288</v>
      </c>
      <c r="O391" t="s">
        <v>289</v>
      </c>
      <c r="P391">
        <v>11221</v>
      </c>
      <c r="Q391" t="s">
        <v>290</v>
      </c>
      <c r="R391" t="s">
        <v>291</v>
      </c>
      <c r="S391" t="s">
        <v>292</v>
      </c>
      <c r="T391" t="s">
        <v>2410</v>
      </c>
      <c r="U391">
        <v>7</v>
      </c>
      <c r="V391" t="s">
        <v>339</v>
      </c>
      <c r="W391" t="s">
        <v>346</v>
      </c>
      <c r="Y391" t="s">
        <v>348</v>
      </c>
      <c r="Z391" t="s">
        <v>350</v>
      </c>
      <c r="AA391" t="s">
        <v>350</v>
      </c>
      <c r="AC391" t="s">
        <v>352</v>
      </c>
      <c r="AE391" t="s">
        <v>359</v>
      </c>
      <c r="AF391">
        <v>2019</v>
      </c>
      <c r="AG391">
        <v>0</v>
      </c>
      <c r="AH391">
        <v>1178</v>
      </c>
      <c r="AI391">
        <v>7.4</v>
      </c>
      <c r="AJ391" t="s">
        <v>2879</v>
      </c>
      <c r="AK391" t="s">
        <v>2948</v>
      </c>
      <c r="AL391" t="s">
        <v>3300</v>
      </c>
      <c r="AM391">
        <v>104</v>
      </c>
      <c r="AN391" t="s">
        <v>493</v>
      </c>
      <c r="AO391">
        <v>2</v>
      </c>
      <c r="AP391">
        <v>5</v>
      </c>
      <c r="AQ391">
        <v>37.64</v>
      </c>
      <c r="AU391" t="s">
        <v>3330</v>
      </c>
      <c r="AV391" t="s">
        <v>508</v>
      </c>
      <c r="AW391">
        <v>14683.24</v>
      </c>
      <c r="BA391" t="s">
        <v>522</v>
      </c>
      <c r="BD391" t="s">
        <v>538</v>
      </c>
      <c r="BE391" t="s">
        <v>3473</v>
      </c>
      <c r="BF391" t="s">
        <v>600</v>
      </c>
    </row>
    <row r="392" spans="1:58">
      <c r="A392" s="1">
        <f>HYPERLINK("https://lsnyc.legalserver.org/matter/dynamic-profile/view/1902369","19-1902369")</f>
        <v>0</v>
      </c>
      <c r="E392" t="s">
        <v>381</v>
      </c>
      <c r="F392" t="s">
        <v>626</v>
      </c>
      <c r="G392" t="s">
        <v>80</v>
      </c>
      <c r="H392" t="s">
        <v>571</v>
      </c>
      <c r="J392" t="s">
        <v>1133</v>
      </c>
      <c r="K392" t="s">
        <v>1459</v>
      </c>
      <c r="L392" t="s">
        <v>1824</v>
      </c>
      <c r="M392" t="s">
        <v>1952</v>
      </c>
      <c r="N392" t="s">
        <v>288</v>
      </c>
      <c r="O392" t="s">
        <v>289</v>
      </c>
      <c r="P392">
        <v>11221</v>
      </c>
      <c r="Q392" t="s">
        <v>290</v>
      </c>
      <c r="R392" t="s">
        <v>291</v>
      </c>
      <c r="S392" t="s">
        <v>292</v>
      </c>
      <c r="T392" t="s">
        <v>2411</v>
      </c>
      <c r="U392">
        <v>24</v>
      </c>
      <c r="V392" t="s">
        <v>339</v>
      </c>
      <c r="W392" t="s">
        <v>346</v>
      </c>
      <c r="Y392" t="s">
        <v>348</v>
      </c>
      <c r="Z392" t="s">
        <v>350</v>
      </c>
      <c r="AA392" t="s">
        <v>350</v>
      </c>
      <c r="AC392" t="s">
        <v>352</v>
      </c>
      <c r="AD392" t="s">
        <v>356</v>
      </c>
      <c r="AE392" t="s">
        <v>359</v>
      </c>
      <c r="AF392">
        <v>2019</v>
      </c>
      <c r="AG392">
        <v>0</v>
      </c>
      <c r="AH392">
        <v>941.87</v>
      </c>
      <c r="AI392">
        <v>11.2</v>
      </c>
      <c r="AJ392" t="s">
        <v>2880</v>
      </c>
      <c r="AL392" t="s">
        <v>3301</v>
      </c>
      <c r="AM392">
        <v>8</v>
      </c>
      <c r="AN392" t="s">
        <v>493</v>
      </c>
      <c r="AO392">
        <v>1</v>
      </c>
      <c r="AP392">
        <v>1</v>
      </c>
      <c r="AQ392">
        <v>184.23</v>
      </c>
      <c r="AU392" t="s">
        <v>503</v>
      </c>
      <c r="AV392" t="s">
        <v>508</v>
      </c>
      <c r="AW392">
        <v>31154</v>
      </c>
      <c r="BA392" t="s">
        <v>522</v>
      </c>
      <c r="BD392" t="s">
        <v>546</v>
      </c>
      <c r="BE392" t="s">
        <v>3474</v>
      </c>
      <c r="BF392" t="s">
        <v>600</v>
      </c>
    </row>
    <row r="393" spans="1:58">
      <c r="A393" s="1">
        <f>HYPERLINK("https://lsnyc.legalserver.org/matter/dynamic-profile/view/1902444","19-1902444")</f>
        <v>0</v>
      </c>
      <c r="E393" t="s">
        <v>381</v>
      </c>
      <c r="F393" t="s">
        <v>632</v>
      </c>
      <c r="G393" t="s">
        <v>80</v>
      </c>
      <c r="H393" t="s">
        <v>792</v>
      </c>
      <c r="J393" t="s">
        <v>1134</v>
      </c>
      <c r="K393" t="s">
        <v>1460</v>
      </c>
      <c r="L393" t="s">
        <v>1825</v>
      </c>
      <c r="M393" t="s">
        <v>277</v>
      </c>
      <c r="N393" t="s">
        <v>288</v>
      </c>
      <c r="O393" t="s">
        <v>289</v>
      </c>
      <c r="P393">
        <v>11221</v>
      </c>
      <c r="Q393" t="s">
        <v>290</v>
      </c>
      <c r="R393" t="s">
        <v>291</v>
      </c>
      <c r="S393" t="s">
        <v>292</v>
      </c>
      <c r="T393" t="s">
        <v>2412</v>
      </c>
      <c r="U393">
        <v>12</v>
      </c>
      <c r="V393" t="s">
        <v>339</v>
      </c>
      <c r="W393" t="s">
        <v>346</v>
      </c>
      <c r="Y393" t="s">
        <v>348</v>
      </c>
      <c r="Z393" t="s">
        <v>350</v>
      </c>
      <c r="AA393" t="s">
        <v>350</v>
      </c>
      <c r="AC393" t="s">
        <v>352</v>
      </c>
      <c r="AE393" t="s">
        <v>359</v>
      </c>
      <c r="AF393">
        <v>2019</v>
      </c>
      <c r="AG393">
        <v>0</v>
      </c>
      <c r="AH393">
        <v>1324.87</v>
      </c>
      <c r="AI393">
        <v>27.8</v>
      </c>
      <c r="AJ393" t="s">
        <v>2881</v>
      </c>
      <c r="AM393">
        <v>0</v>
      </c>
      <c r="AO393">
        <v>2</v>
      </c>
      <c r="AP393">
        <v>3</v>
      </c>
      <c r="AQ393">
        <v>99.44</v>
      </c>
      <c r="AV393" t="s">
        <v>509</v>
      </c>
      <c r="AW393">
        <v>30000</v>
      </c>
      <c r="BA393" t="s">
        <v>522</v>
      </c>
      <c r="BD393" t="s">
        <v>540</v>
      </c>
      <c r="BE393" t="s">
        <v>568</v>
      </c>
      <c r="BF393" t="s">
        <v>600</v>
      </c>
    </row>
    <row r="394" spans="1:58">
      <c r="A394" s="1">
        <f>HYPERLINK("https://lsnyc.legalserver.org/matter/dynamic-profile/view/1894872","19-1894872")</f>
        <v>0</v>
      </c>
      <c r="E394" t="s">
        <v>381</v>
      </c>
      <c r="F394" t="s">
        <v>634</v>
      </c>
      <c r="G394" t="s">
        <v>80</v>
      </c>
      <c r="H394" t="s">
        <v>766</v>
      </c>
      <c r="J394" t="s">
        <v>1135</v>
      </c>
      <c r="K394" t="s">
        <v>1461</v>
      </c>
      <c r="L394" t="s">
        <v>1826</v>
      </c>
      <c r="M394" t="s">
        <v>1892</v>
      </c>
      <c r="N394" t="s">
        <v>288</v>
      </c>
      <c r="O394" t="s">
        <v>289</v>
      </c>
      <c r="P394">
        <v>11220</v>
      </c>
      <c r="Q394" t="s">
        <v>290</v>
      </c>
      <c r="R394" t="s">
        <v>290</v>
      </c>
      <c r="S394" t="s">
        <v>295</v>
      </c>
      <c r="T394" t="s">
        <v>2413</v>
      </c>
      <c r="U394">
        <v>10</v>
      </c>
      <c r="V394" t="s">
        <v>342</v>
      </c>
      <c r="W394" t="s">
        <v>346</v>
      </c>
      <c r="Y394" t="s">
        <v>349</v>
      </c>
      <c r="Z394" t="s">
        <v>350</v>
      </c>
      <c r="AC394" t="s">
        <v>2442</v>
      </c>
      <c r="AE394" t="s">
        <v>359</v>
      </c>
      <c r="AF394">
        <v>2019</v>
      </c>
      <c r="AG394">
        <v>0</v>
      </c>
      <c r="AH394">
        <v>1200</v>
      </c>
      <c r="AI394">
        <v>0</v>
      </c>
      <c r="AJ394" t="s">
        <v>2882</v>
      </c>
      <c r="AL394" t="s">
        <v>3302</v>
      </c>
      <c r="AM394">
        <v>6</v>
      </c>
      <c r="AO394">
        <v>1</v>
      </c>
      <c r="AP394">
        <v>4</v>
      </c>
      <c r="AQ394">
        <v>24.1</v>
      </c>
      <c r="AT394" t="s">
        <v>501</v>
      </c>
      <c r="AU394" t="s">
        <v>299</v>
      </c>
      <c r="AW394">
        <v>7272</v>
      </c>
      <c r="BA394" t="s">
        <v>3342</v>
      </c>
      <c r="BD394" t="s">
        <v>3357</v>
      </c>
      <c r="BF394" t="s">
        <v>600</v>
      </c>
    </row>
    <row r="395" spans="1:58">
      <c r="A395" s="1">
        <f>HYPERLINK("https://lsnyc.legalserver.org/matter/dynamic-profile/view/1900655","19-1900655")</f>
        <v>0</v>
      </c>
      <c r="E395" t="s">
        <v>381</v>
      </c>
      <c r="F395" t="s">
        <v>60</v>
      </c>
      <c r="G395" t="s">
        <v>80</v>
      </c>
      <c r="H395" t="s">
        <v>565</v>
      </c>
      <c r="J395" t="s">
        <v>1136</v>
      </c>
      <c r="K395" t="s">
        <v>968</v>
      </c>
      <c r="L395" t="s">
        <v>1827</v>
      </c>
      <c r="M395" t="s">
        <v>261</v>
      </c>
      <c r="N395" t="s">
        <v>288</v>
      </c>
      <c r="O395" t="s">
        <v>289</v>
      </c>
      <c r="P395">
        <v>11216</v>
      </c>
      <c r="Q395" t="s">
        <v>290</v>
      </c>
      <c r="R395" t="s">
        <v>291</v>
      </c>
      <c r="S395" t="s">
        <v>292</v>
      </c>
      <c r="T395" t="s">
        <v>2414</v>
      </c>
      <c r="U395">
        <v>6</v>
      </c>
      <c r="V395" t="s">
        <v>340</v>
      </c>
      <c r="W395" t="s">
        <v>346</v>
      </c>
      <c r="Y395" t="s">
        <v>348</v>
      </c>
      <c r="Z395" t="s">
        <v>350</v>
      </c>
      <c r="AA395" t="s">
        <v>350</v>
      </c>
      <c r="AC395" t="s">
        <v>352</v>
      </c>
      <c r="AE395" t="s">
        <v>359</v>
      </c>
      <c r="AF395">
        <v>2019</v>
      </c>
      <c r="AG395">
        <v>0</v>
      </c>
      <c r="AH395">
        <v>1250</v>
      </c>
      <c r="AI395">
        <v>20.1</v>
      </c>
      <c r="AJ395" t="s">
        <v>2883</v>
      </c>
      <c r="AL395" t="s">
        <v>3303</v>
      </c>
      <c r="AM395">
        <v>0</v>
      </c>
      <c r="AO395">
        <v>2</v>
      </c>
      <c r="AP395">
        <v>0</v>
      </c>
      <c r="AQ395">
        <v>283.86</v>
      </c>
      <c r="AR395" t="s">
        <v>822</v>
      </c>
      <c r="AS395" t="s">
        <v>3328</v>
      </c>
      <c r="AV395" t="s">
        <v>508</v>
      </c>
      <c r="AW395">
        <v>48000</v>
      </c>
      <c r="BA395" t="s">
        <v>522</v>
      </c>
      <c r="BD395" t="s">
        <v>3362</v>
      </c>
      <c r="BE395" t="s">
        <v>3460</v>
      </c>
      <c r="BF395" t="s">
        <v>600</v>
      </c>
    </row>
    <row r="396" spans="1:58">
      <c r="A396" s="1">
        <f>HYPERLINK("https://lsnyc.legalserver.org/matter/dynamic-profile/view/1900856","19-1900856")</f>
        <v>0</v>
      </c>
      <c r="E396" t="s">
        <v>381</v>
      </c>
      <c r="F396" t="s">
        <v>60</v>
      </c>
      <c r="G396" t="s">
        <v>80</v>
      </c>
      <c r="H396" t="s">
        <v>794</v>
      </c>
      <c r="J396" t="s">
        <v>1137</v>
      </c>
      <c r="K396" t="s">
        <v>1462</v>
      </c>
      <c r="L396" t="s">
        <v>1828</v>
      </c>
      <c r="M396">
        <v>6</v>
      </c>
      <c r="N396" t="s">
        <v>288</v>
      </c>
      <c r="O396" t="s">
        <v>289</v>
      </c>
      <c r="P396">
        <v>11216</v>
      </c>
      <c r="Q396" t="s">
        <v>290</v>
      </c>
      <c r="R396" t="s">
        <v>291</v>
      </c>
      <c r="S396" t="s">
        <v>292</v>
      </c>
      <c r="T396" t="s">
        <v>2415</v>
      </c>
      <c r="U396">
        <v>5</v>
      </c>
      <c r="V396" t="s">
        <v>340</v>
      </c>
      <c r="W396" t="s">
        <v>346</v>
      </c>
      <c r="Y396" t="s">
        <v>348</v>
      </c>
      <c r="Z396" t="s">
        <v>350</v>
      </c>
      <c r="AA396" t="s">
        <v>350</v>
      </c>
      <c r="AC396" t="s">
        <v>352</v>
      </c>
      <c r="AE396" t="s">
        <v>359</v>
      </c>
      <c r="AF396">
        <v>2019</v>
      </c>
      <c r="AG396">
        <v>0</v>
      </c>
      <c r="AH396">
        <v>1200</v>
      </c>
      <c r="AI396">
        <v>14.8</v>
      </c>
      <c r="AJ396" t="s">
        <v>2884</v>
      </c>
      <c r="AL396" t="s">
        <v>3304</v>
      </c>
      <c r="AM396">
        <v>0</v>
      </c>
      <c r="AN396" t="s">
        <v>3321</v>
      </c>
      <c r="AO396">
        <v>1</v>
      </c>
      <c r="AP396">
        <v>0</v>
      </c>
      <c r="AQ396">
        <v>14.57</v>
      </c>
      <c r="AU396" t="s">
        <v>507</v>
      </c>
      <c r="AV396" t="s">
        <v>508</v>
      </c>
      <c r="AW396">
        <v>1820</v>
      </c>
      <c r="BA396" t="s">
        <v>522</v>
      </c>
      <c r="BD396" t="s">
        <v>538</v>
      </c>
      <c r="BE396" t="s">
        <v>3451</v>
      </c>
      <c r="BF396" t="s">
        <v>600</v>
      </c>
    </row>
    <row r="397" spans="1:58">
      <c r="A397" s="1">
        <f>HYPERLINK("https://lsnyc.legalserver.org/matter/dynamic-profile/view/1902383","19-1902383")</f>
        <v>0</v>
      </c>
      <c r="E397" t="s">
        <v>381</v>
      </c>
      <c r="F397" t="s">
        <v>68</v>
      </c>
      <c r="G397" t="s">
        <v>80</v>
      </c>
      <c r="H397" t="s">
        <v>571</v>
      </c>
      <c r="J397" t="s">
        <v>1138</v>
      </c>
      <c r="K397" t="s">
        <v>1463</v>
      </c>
      <c r="L397" t="s">
        <v>1829</v>
      </c>
      <c r="M397" t="s">
        <v>2012</v>
      </c>
      <c r="N397" t="s">
        <v>288</v>
      </c>
      <c r="O397" t="s">
        <v>289</v>
      </c>
      <c r="P397">
        <v>11216</v>
      </c>
      <c r="Q397" t="s">
        <v>290</v>
      </c>
      <c r="R397" t="s">
        <v>291</v>
      </c>
      <c r="S397" t="s">
        <v>292</v>
      </c>
      <c r="T397" t="s">
        <v>2416</v>
      </c>
      <c r="U397">
        <v>4</v>
      </c>
      <c r="V397" t="s">
        <v>340</v>
      </c>
      <c r="W397" t="s">
        <v>346</v>
      </c>
      <c r="Y397" t="s">
        <v>348</v>
      </c>
      <c r="Z397" t="s">
        <v>350</v>
      </c>
      <c r="AA397" t="s">
        <v>350</v>
      </c>
      <c r="AC397" t="s">
        <v>352</v>
      </c>
      <c r="AE397" t="s">
        <v>359</v>
      </c>
      <c r="AF397">
        <v>2019</v>
      </c>
      <c r="AG397">
        <v>0</v>
      </c>
      <c r="AH397">
        <v>850</v>
      </c>
      <c r="AI397">
        <v>33.8</v>
      </c>
      <c r="AJ397" t="s">
        <v>2885</v>
      </c>
      <c r="AL397" t="s">
        <v>3305</v>
      </c>
      <c r="AM397">
        <v>0</v>
      </c>
      <c r="AO397">
        <v>1</v>
      </c>
      <c r="AP397">
        <v>0</v>
      </c>
      <c r="AQ397">
        <v>208.17</v>
      </c>
      <c r="AV397" t="s">
        <v>508</v>
      </c>
      <c r="AW397">
        <v>26000</v>
      </c>
      <c r="BA397" t="s">
        <v>522</v>
      </c>
      <c r="BD397" t="s">
        <v>537</v>
      </c>
      <c r="BE397" t="s">
        <v>560</v>
      </c>
      <c r="BF397" t="s">
        <v>600</v>
      </c>
    </row>
    <row r="398" spans="1:58">
      <c r="A398" s="1">
        <f>HYPERLINK("https://lsnyc.legalserver.org/matter/dynamic-profile/view/1899797","19-1899797")</f>
        <v>0</v>
      </c>
      <c r="E398" t="s">
        <v>381</v>
      </c>
      <c r="F398" t="s">
        <v>628</v>
      </c>
      <c r="G398" t="s">
        <v>80</v>
      </c>
      <c r="H398" t="s">
        <v>599</v>
      </c>
      <c r="J398" t="s">
        <v>838</v>
      </c>
      <c r="K398" t="s">
        <v>1464</v>
      </c>
      <c r="L398" t="s">
        <v>1830</v>
      </c>
      <c r="M398" t="s">
        <v>2021</v>
      </c>
      <c r="N398" t="s">
        <v>288</v>
      </c>
      <c r="O398" t="s">
        <v>289</v>
      </c>
      <c r="P398">
        <v>11216</v>
      </c>
      <c r="Q398" t="s">
        <v>290</v>
      </c>
      <c r="R398" t="s">
        <v>291</v>
      </c>
      <c r="S398" t="s">
        <v>295</v>
      </c>
      <c r="T398" t="s">
        <v>2417</v>
      </c>
      <c r="U398">
        <v>0</v>
      </c>
      <c r="V398" t="s">
        <v>339</v>
      </c>
      <c r="W398" t="s">
        <v>346</v>
      </c>
      <c r="Y398" t="s">
        <v>348</v>
      </c>
      <c r="Z398" t="s">
        <v>350</v>
      </c>
      <c r="AC398" t="s">
        <v>353</v>
      </c>
      <c r="AE398" t="s">
        <v>359</v>
      </c>
      <c r="AF398">
        <v>2019</v>
      </c>
      <c r="AG398">
        <v>0</v>
      </c>
      <c r="AH398">
        <v>648</v>
      </c>
      <c r="AI398">
        <v>3.6</v>
      </c>
      <c r="AJ398" t="s">
        <v>2886</v>
      </c>
      <c r="AL398" t="s">
        <v>3306</v>
      </c>
      <c r="AM398">
        <v>0</v>
      </c>
      <c r="AO398">
        <v>2</v>
      </c>
      <c r="AP398">
        <v>2</v>
      </c>
      <c r="AQ398">
        <v>100.66</v>
      </c>
      <c r="AV398" t="s">
        <v>508</v>
      </c>
      <c r="AW398">
        <v>25920</v>
      </c>
      <c r="BA398" t="s">
        <v>3342</v>
      </c>
      <c r="BD398" t="s">
        <v>3418</v>
      </c>
      <c r="BE398" t="s">
        <v>3446</v>
      </c>
      <c r="BF398" t="s">
        <v>600</v>
      </c>
    </row>
    <row r="399" spans="1:58">
      <c r="A399" s="1">
        <f>HYPERLINK("https://lsnyc.legalserver.org/matter/dynamic-profile/view/1899808","19-1899808")</f>
        <v>0</v>
      </c>
      <c r="E399" t="s">
        <v>381</v>
      </c>
      <c r="F399" t="s">
        <v>79</v>
      </c>
      <c r="G399" t="s">
        <v>80</v>
      </c>
      <c r="H399" t="s">
        <v>599</v>
      </c>
      <c r="J399" t="s">
        <v>1045</v>
      </c>
      <c r="K399" t="s">
        <v>1147</v>
      </c>
      <c r="L399" t="s">
        <v>1830</v>
      </c>
      <c r="M399" t="s">
        <v>2022</v>
      </c>
      <c r="N399" t="s">
        <v>288</v>
      </c>
      <c r="O399" t="s">
        <v>289</v>
      </c>
      <c r="P399">
        <v>11216</v>
      </c>
      <c r="Q399" t="s">
        <v>290</v>
      </c>
      <c r="R399" t="s">
        <v>291</v>
      </c>
      <c r="S399" t="s">
        <v>295</v>
      </c>
      <c r="T399" t="s">
        <v>2418</v>
      </c>
      <c r="U399">
        <v>48</v>
      </c>
      <c r="V399" t="s">
        <v>339</v>
      </c>
      <c r="W399" t="s">
        <v>346</v>
      </c>
      <c r="Y399" t="s">
        <v>348</v>
      </c>
      <c r="Z399" t="s">
        <v>350</v>
      </c>
      <c r="AA399" t="s">
        <v>350</v>
      </c>
      <c r="AC399" t="s">
        <v>353</v>
      </c>
      <c r="AD399" t="s">
        <v>356</v>
      </c>
      <c r="AE399" t="s">
        <v>359</v>
      </c>
      <c r="AF399">
        <v>2019</v>
      </c>
      <c r="AG399">
        <v>0</v>
      </c>
      <c r="AH399">
        <v>215</v>
      </c>
      <c r="AI399">
        <v>3</v>
      </c>
      <c r="AJ399" t="s">
        <v>2887</v>
      </c>
      <c r="AK399" t="s">
        <v>2949</v>
      </c>
      <c r="AL399" t="s">
        <v>3307</v>
      </c>
      <c r="AM399">
        <v>40</v>
      </c>
      <c r="AN399" t="s">
        <v>495</v>
      </c>
      <c r="AO399">
        <v>2</v>
      </c>
      <c r="AP399">
        <v>1</v>
      </c>
      <c r="AQ399">
        <v>68.81999999999999</v>
      </c>
      <c r="AU399" t="s">
        <v>299</v>
      </c>
      <c r="AW399">
        <v>14680</v>
      </c>
      <c r="BA399" t="s">
        <v>3342</v>
      </c>
      <c r="BD399" t="s">
        <v>3376</v>
      </c>
      <c r="BE399" t="s">
        <v>818</v>
      </c>
      <c r="BF399" t="s">
        <v>600</v>
      </c>
    </row>
    <row r="400" spans="1:58">
      <c r="A400" s="1">
        <f>HYPERLINK("https://lsnyc.legalserver.org/matter/dynamic-profile/view/1899859","19-1899859")</f>
        <v>0</v>
      </c>
      <c r="E400" t="s">
        <v>381</v>
      </c>
      <c r="F400" t="s">
        <v>628</v>
      </c>
      <c r="G400" t="s">
        <v>80</v>
      </c>
      <c r="H400" t="s">
        <v>599</v>
      </c>
      <c r="J400" t="s">
        <v>134</v>
      </c>
      <c r="K400" t="s">
        <v>1465</v>
      </c>
      <c r="L400" t="s">
        <v>1831</v>
      </c>
      <c r="M400" t="s">
        <v>2023</v>
      </c>
      <c r="N400" t="s">
        <v>288</v>
      </c>
      <c r="O400" t="s">
        <v>289</v>
      </c>
      <c r="P400">
        <v>11216</v>
      </c>
      <c r="Q400" t="s">
        <v>290</v>
      </c>
      <c r="R400" t="s">
        <v>291</v>
      </c>
      <c r="S400" t="s">
        <v>295</v>
      </c>
      <c r="T400" t="s">
        <v>2419</v>
      </c>
      <c r="U400">
        <v>10</v>
      </c>
      <c r="V400" t="s">
        <v>339</v>
      </c>
      <c r="W400" t="s">
        <v>346</v>
      </c>
      <c r="Y400" t="s">
        <v>348</v>
      </c>
      <c r="Z400" t="s">
        <v>350</v>
      </c>
      <c r="AA400" t="s">
        <v>350</v>
      </c>
      <c r="AC400" t="s">
        <v>353</v>
      </c>
      <c r="AD400" t="s">
        <v>356</v>
      </c>
      <c r="AE400" t="s">
        <v>359</v>
      </c>
      <c r="AF400">
        <v>2019</v>
      </c>
      <c r="AG400">
        <v>0</v>
      </c>
      <c r="AH400">
        <v>490</v>
      </c>
      <c r="AI400">
        <v>5.9</v>
      </c>
      <c r="AJ400" t="s">
        <v>2888</v>
      </c>
      <c r="AL400" t="s">
        <v>3308</v>
      </c>
      <c r="AM400">
        <v>0</v>
      </c>
      <c r="AN400" t="s">
        <v>495</v>
      </c>
      <c r="AO400">
        <v>3</v>
      </c>
      <c r="AP400">
        <v>2</v>
      </c>
      <c r="AQ400">
        <v>65.34999999999999</v>
      </c>
      <c r="AV400" t="s">
        <v>508</v>
      </c>
      <c r="AW400">
        <v>19716</v>
      </c>
      <c r="BA400" t="s">
        <v>3342</v>
      </c>
      <c r="BD400" t="s">
        <v>3362</v>
      </c>
      <c r="BE400" t="s">
        <v>3442</v>
      </c>
      <c r="BF400" t="s">
        <v>600</v>
      </c>
    </row>
    <row r="401" spans="1:58">
      <c r="A401" s="1">
        <f>HYPERLINK("https://lsnyc.legalserver.org/matter/dynamic-profile/view/1900075","19-1900075")</f>
        <v>0</v>
      </c>
      <c r="E401" t="s">
        <v>381</v>
      </c>
      <c r="F401" t="s">
        <v>632</v>
      </c>
      <c r="G401" t="s">
        <v>80</v>
      </c>
      <c r="H401" t="s">
        <v>799</v>
      </c>
      <c r="J401" t="s">
        <v>1139</v>
      </c>
      <c r="K401" t="s">
        <v>1466</v>
      </c>
      <c r="L401" t="s">
        <v>1832</v>
      </c>
      <c r="M401" t="s">
        <v>1863</v>
      </c>
      <c r="N401" t="s">
        <v>288</v>
      </c>
      <c r="O401" t="s">
        <v>289</v>
      </c>
      <c r="P401">
        <v>11216</v>
      </c>
      <c r="Q401" t="s">
        <v>290</v>
      </c>
      <c r="R401" t="s">
        <v>291</v>
      </c>
      <c r="S401" t="s">
        <v>292</v>
      </c>
      <c r="T401" t="s">
        <v>2420</v>
      </c>
      <c r="U401">
        <v>30</v>
      </c>
      <c r="V401" t="s">
        <v>339</v>
      </c>
      <c r="W401" t="s">
        <v>346</v>
      </c>
      <c r="Y401" t="s">
        <v>348</v>
      </c>
      <c r="Z401" t="s">
        <v>350</v>
      </c>
      <c r="AA401" t="s">
        <v>350</v>
      </c>
      <c r="AC401" t="s">
        <v>352</v>
      </c>
      <c r="AE401" t="s">
        <v>359</v>
      </c>
      <c r="AF401">
        <v>2019</v>
      </c>
      <c r="AG401">
        <v>0</v>
      </c>
      <c r="AH401">
        <v>1290</v>
      </c>
      <c r="AI401">
        <v>29.1</v>
      </c>
      <c r="AJ401" t="s">
        <v>2889</v>
      </c>
      <c r="AL401" t="s">
        <v>3309</v>
      </c>
      <c r="AM401">
        <v>0</v>
      </c>
      <c r="AO401">
        <v>3</v>
      </c>
      <c r="AP401">
        <v>1</v>
      </c>
      <c r="AQ401">
        <v>47.95</v>
      </c>
      <c r="AU401" t="s">
        <v>507</v>
      </c>
      <c r="AV401" t="s">
        <v>508</v>
      </c>
      <c r="AW401">
        <v>12348</v>
      </c>
      <c r="BA401" t="s">
        <v>522</v>
      </c>
      <c r="BD401" t="s">
        <v>3419</v>
      </c>
      <c r="BE401" t="s">
        <v>582</v>
      </c>
      <c r="BF401" t="s">
        <v>600</v>
      </c>
    </row>
    <row r="402" spans="1:58">
      <c r="A402" s="1">
        <f>HYPERLINK("https://lsnyc.legalserver.org/matter/dynamic-profile/view/1900626","19-1900626")</f>
        <v>0</v>
      </c>
      <c r="E402" t="s">
        <v>381</v>
      </c>
      <c r="F402" t="s">
        <v>68</v>
      </c>
      <c r="G402" t="s">
        <v>80</v>
      </c>
      <c r="H402" t="s">
        <v>565</v>
      </c>
      <c r="J402" t="s">
        <v>1140</v>
      </c>
      <c r="K402" t="s">
        <v>1467</v>
      </c>
      <c r="L402" t="s">
        <v>1833</v>
      </c>
      <c r="M402" t="s">
        <v>2024</v>
      </c>
      <c r="N402" t="s">
        <v>288</v>
      </c>
      <c r="O402" t="s">
        <v>289</v>
      </c>
      <c r="P402">
        <v>11216</v>
      </c>
      <c r="Q402" t="s">
        <v>290</v>
      </c>
      <c r="R402" t="s">
        <v>291</v>
      </c>
      <c r="S402" t="s">
        <v>292</v>
      </c>
      <c r="T402" t="s">
        <v>2421</v>
      </c>
      <c r="U402">
        <v>30</v>
      </c>
      <c r="V402" t="s">
        <v>339</v>
      </c>
      <c r="W402" t="s">
        <v>346</v>
      </c>
      <c r="Y402" t="s">
        <v>348</v>
      </c>
      <c r="Z402" t="s">
        <v>350</v>
      </c>
      <c r="AA402" t="s">
        <v>350</v>
      </c>
      <c r="AC402" t="s">
        <v>352</v>
      </c>
      <c r="AE402" t="s">
        <v>359</v>
      </c>
      <c r="AF402">
        <v>2019</v>
      </c>
      <c r="AG402">
        <v>0</v>
      </c>
      <c r="AH402">
        <v>1123</v>
      </c>
      <c r="AI402">
        <v>18.35</v>
      </c>
      <c r="AJ402" t="s">
        <v>2890</v>
      </c>
      <c r="AL402" t="s">
        <v>3310</v>
      </c>
      <c r="AM402">
        <v>0</v>
      </c>
      <c r="AO402">
        <v>2</v>
      </c>
      <c r="AP402">
        <v>0</v>
      </c>
      <c r="AQ402">
        <v>139.12</v>
      </c>
      <c r="AU402" t="s">
        <v>507</v>
      </c>
      <c r="AV402" t="s">
        <v>508</v>
      </c>
      <c r="AW402">
        <v>23524.8</v>
      </c>
      <c r="BA402" t="s">
        <v>522</v>
      </c>
      <c r="BD402" t="s">
        <v>3420</v>
      </c>
      <c r="BE402" t="s">
        <v>586</v>
      </c>
      <c r="BF402" t="s">
        <v>600</v>
      </c>
    </row>
    <row r="403" spans="1:58">
      <c r="A403" s="1">
        <f>HYPERLINK("https://lsnyc.legalserver.org/matter/dynamic-profile/view/1900808","19-1900808")</f>
        <v>0</v>
      </c>
      <c r="E403" t="s">
        <v>381</v>
      </c>
      <c r="F403" t="s">
        <v>67</v>
      </c>
      <c r="G403" t="s">
        <v>80</v>
      </c>
      <c r="H403" t="s">
        <v>794</v>
      </c>
      <c r="J403" t="s">
        <v>1141</v>
      </c>
      <c r="K403" t="s">
        <v>1468</v>
      </c>
      <c r="L403" t="s">
        <v>1834</v>
      </c>
      <c r="M403" t="s">
        <v>2025</v>
      </c>
      <c r="N403" t="s">
        <v>288</v>
      </c>
      <c r="O403" t="s">
        <v>289</v>
      </c>
      <c r="P403">
        <v>11216</v>
      </c>
      <c r="Q403" t="s">
        <v>290</v>
      </c>
      <c r="R403" t="s">
        <v>291</v>
      </c>
      <c r="S403" t="s">
        <v>292</v>
      </c>
      <c r="T403" t="s">
        <v>2422</v>
      </c>
      <c r="U403">
        <v>24</v>
      </c>
      <c r="V403" t="s">
        <v>339</v>
      </c>
      <c r="W403" t="s">
        <v>346</v>
      </c>
      <c r="Y403" t="s">
        <v>348</v>
      </c>
      <c r="Z403" t="s">
        <v>350</v>
      </c>
      <c r="AC403" t="s">
        <v>352</v>
      </c>
      <c r="AE403" t="s">
        <v>359</v>
      </c>
      <c r="AF403">
        <v>2019</v>
      </c>
      <c r="AG403">
        <v>0</v>
      </c>
      <c r="AH403">
        <v>602</v>
      </c>
      <c r="AI403">
        <v>33.3</v>
      </c>
      <c r="AJ403" t="s">
        <v>2891</v>
      </c>
      <c r="AK403" t="s">
        <v>2950</v>
      </c>
      <c r="AL403" t="s">
        <v>3311</v>
      </c>
      <c r="AM403">
        <v>0</v>
      </c>
      <c r="AO403">
        <v>2</v>
      </c>
      <c r="AP403">
        <v>0</v>
      </c>
      <c r="AQ403">
        <v>153.76</v>
      </c>
      <c r="AV403" t="s">
        <v>508</v>
      </c>
      <c r="AW403">
        <v>26000</v>
      </c>
      <c r="BA403" t="s">
        <v>3342</v>
      </c>
      <c r="BD403" t="s">
        <v>537</v>
      </c>
      <c r="BE403" t="s">
        <v>817</v>
      </c>
      <c r="BF403" t="s">
        <v>600</v>
      </c>
    </row>
    <row r="404" spans="1:58">
      <c r="A404" s="1">
        <f>HYPERLINK("https://lsnyc.legalserver.org/matter/dynamic-profile/view/1901190","19-1901190")</f>
        <v>0</v>
      </c>
      <c r="E404" t="s">
        <v>381</v>
      </c>
      <c r="F404" t="s">
        <v>63</v>
      </c>
      <c r="G404" t="s">
        <v>80</v>
      </c>
      <c r="H404" t="s">
        <v>592</v>
      </c>
      <c r="J404" t="s">
        <v>1142</v>
      </c>
      <c r="K404" t="s">
        <v>1346</v>
      </c>
      <c r="L404" t="s">
        <v>256</v>
      </c>
      <c r="M404" t="s">
        <v>1872</v>
      </c>
      <c r="N404" t="s">
        <v>288</v>
      </c>
      <c r="O404" t="s">
        <v>289</v>
      </c>
      <c r="P404">
        <v>11216</v>
      </c>
      <c r="Q404" t="s">
        <v>290</v>
      </c>
      <c r="R404" t="s">
        <v>291</v>
      </c>
      <c r="S404" t="s">
        <v>292</v>
      </c>
      <c r="T404" t="s">
        <v>2423</v>
      </c>
      <c r="U404">
        <v>16</v>
      </c>
      <c r="V404" t="s">
        <v>339</v>
      </c>
      <c r="W404" t="s">
        <v>346</v>
      </c>
      <c r="Y404" t="s">
        <v>348</v>
      </c>
      <c r="Z404" t="s">
        <v>350</v>
      </c>
      <c r="AC404" t="s">
        <v>352</v>
      </c>
      <c r="AE404" t="s">
        <v>359</v>
      </c>
      <c r="AF404">
        <v>2019</v>
      </c>
      <c r="AG404">
        <v>0</v>
      </c>
      <c r="AH404">
        <v>159</v>
      </c>
      <c r="AI404">
        <v>4.65</v>
      </c>
      <c r="AJ404" t="s">
        <v>2892</v>
      </c>
      <c r="AL404" t="s">
        <v>3312</v>
      </c>
      <c r="AM404">
        <v>60</v>
      </c>
      <c r="AO404">
        <v>2</v>
      </c>
      <c r="AP404">
        <v>0</v>
      </c>
      <c r="AQ404">
        <v>49.6</v>
      </c>
      <c r="AU404" t="s">
        <v>507</v>
      </c>
      <c r="AV404" t="s">
        <v>508</v>
      </c>
      <c r="AW404">
        <v>8388</v>
      </c>
      <c r="BA404" t="s">
        <v>3341</v>
      </c>
      <c r="BD404" t="s">
        <v>543</v>
      </c>
      <c r="BE404" t="s">
        <v>564</v>
      </c>
      <c r="BF404" t="s">
        <v>600</v>
      </c>
    </row>
    <row r="405" spans="1:58">
      <c r="A405" s="1">
        <f>HYPERLINK("https://lsnyc.legalserver.org/matter/dynamic-profile/view/1902494","19-1902494")</f>
        <v>0</v>
      </c>
      <c r="E405" t="s">
        <v>381</v>
      </c>
      <c r="F405" t="s">
        <v>626</v>
      </c>
      <c r="G405" t="s">
        <v>80</v>
      </c>
      <c r="H405" t="s">
        <v>792</v>
      </c>
      <c r="J405" t="s">
        <v>125</v>
      </c>
      <c r="K405" t="s">
        <v>1469</v>
      </c>
      <c r="L405" t="s">
        <v>1835</v>
      </c>
      <c r="M405" t="s">
        <v>277</v>
      </c>
      <c r="N405" t="s">
        <v>288</v>
      </c>
      <c r="O405" t="s">
        <v>289</v>
      </c>
      <c r="P405">
        <v>11211</v>
      </c>
      <c r="Q405" t="s">
        <v>290</v>
      </c>
      <c r="R405" t="s">
        <v>291</v>
      </c>
      <c r="S405" t="s">
        <v>295</v>
      </c>
      <c r="T405" t="s">
        <v>2424</v>
      </c>
      <c r="U405">
        <v>5</v>
      </c>
      <c r="V405" t="s">
        <v>339</v>
      </c>
      <c r="W405" t="s">
        <v>346</v>
      </c>
      <c r="Y405" t="s">
        <v>349</v>
      </c>
      <c r="Z405" t="s">
        <v>350</v>
      </c>
      <c r="AA405" t="s">
        <v>350</v>
      </c>
      <c r="AC405" t="s">
        <v>352</v>
      </c>
      <c r="AD405" t="s">
        <v>356</v>
      </c>
      <c r="AE405" t="s">
        <v>359</v>
      </c>
      <c r="AF405">
        <v>2019</v>
      </c>
      <c r="AG405">
        <v>0</v>
      </c>
      <c r="AH405">
        <v>1000</v>
      </c>
      <c r="AI405">
        <v>20.4</v>
      </c>
      <c r="AJ405" t="s">
        <v>2893</v>
      </c>
      <c r="AL405" t="s">
        <v>3313</v>
      </c>
      <c r="AM405">
        <v>7</v>
      </c>
      <c r="AN405" t="s">
        <v>493</v>
      </c>
      <c r="AO405">
        <v>1</v>
      </c>
      <c r="AP405">
        <v>0</v>
      </c>
      <c r="AQ405">
        <v>0</v>
      </c>
      <c r="AU405" t="s">
        <v>503</v>
      </c>
      <c r="AV405" t="s">
        <v>508</v>
      </c>
      <c r="AW405">
        <v>0</v>
      </c>
      <c r="BA405" t="s">
        <v>3341</v>
      </c>
      <c r="BD405" t="s">
        <v>544</v>
      </c>
      <c r="BE405" t="s">
        <v>3474</v>
      </c>
      <c r="BF405" t="s">
        <v>600</v>
      </c>
    </row>
    <row r="406" spans="1:58">
      <c r="A406" s="1">
        <f>HYPERLINK("https://lsnyc.legalserver.org/matter/dynamic-profile/view/1901859","19-1901859")</f>
        <v>0</v>
      </c>
      <c r="E406" t="s">
        <v>381</v>
      </c>
      <c r="F406" t="s">
        <v>75</v>
      </c>
      <c r="G406" t="s">
        <v>80</v>
      </c>
      <c r="H406" t="s">
        <v>679</v>
      </c>
      <c r="J406" t="s">
        <v>168</v>
      </c>
      <c r="K406" t="s">
        <v>1470</v>
      </c>
      <c r="L406" t="s">
        <v>1836</v>
      </c>
      <c r="M406" t="s">
        <v>276</v>
      </c>
      <c r="N406" t="s">
        <v>288</v>
      </c>
      <c r="O406" t="s">
        <v>289</v>
      </c>
      <c r="P406">
        <v>11206</v>
      </c>
      <c r="Q406" t="s">
        <v>290</v>
      </c>
      <c r="R406" t="s">
        <v>291</v>
      </c>
      <c r="S406" t="s">
        <v>295</v>
      </c>
      <c r="T406" t="s">
        <v>2425</v>
      </c>
      <c r="U406">
        <v>0</v>
      </c>
      <c r="V406" t="s">
        <v>339</v>
      </c>
      <c r="W406" t="s">
        <v>346</v>
      </c>
      <c r="Y406" t="s">
        <v>349</v>
      </c>
      <c r="Z406" t="s">
        <v>350</v>
      </c>
      <c r="AC406" t="s">
        <v>352</v>
      </c>
      <c r="AE406" t="s">
        <v>359</v>
      </c>
      <c r="AF406">
        <v>2019</v>
      </c>
      <c r="AG406">
        <v>0</v>
      </c>
      <c r="AH406">
        <v>781</v>
      </c>
      <c r="AI406">
        <v>14.6</v>
      </c>
      <c r="AJ406" t="s">
        <v>2894</v>
      </c>
      <c r="AK406" t="s">
        <v>2951</v>
      </c>
      <c r="AL406" t="s">
        <v>3314</v>
      </c>
      <c r="AM406">
        <v>33</v>
      </c>
      <c r="AO406">
        <v>1</v>
      </c>
      <c r="AP406">
        <v>1</v>
      </c>
      <c r="AQ406">
        <v>77.84999999999999</v>
      </c>
      <c r="AV406" t="s">
        <v>508</v>
      </c>
      <c r="AW406">
        <v>13164</v>
      </c>
      <c r="BA406" t="s">
        <v>3341</v>
      </c>
      <c r="BD406" t="s">
        <v>554</v>
      </c>
      <c r="BE406" t="s">
        <v>3449</v>
      </c>
      <c r="BF406" t="s">
        <v>600</v>
      </c>
    </row>
    <row r="407" spans="1:58">
      <c r="A407" s="1">
        <f>HYPERLINK("https://lsnyc.legalserver.org/matter/dynamic-profile/view/1877288","18-1877288")</f>
        <v>0</v>
      </c>
      <c r="E407" t="s">
        <v>381</v>
      </c>
      <c r="F407" t="s">
        <v>72</v>
      </c>
      <c r="G407" t="s">
        <v>80</v>
      </c>
      <c r="H407" t="s">
        <v>640</v>
      </c>
      <c r="J407" t="s">
        <v>146</v>
      </c>
      <c r="K407" t="s">
        <v>1389</v>
      </c>
      <c r="L407" t="s">
        <v>1741</v>
      </c>
      <c r="M407" t="s">
        <v>1978</v>
      </c>
      <c r="N407" t="s">
        <v>288</v>
      </c>
      <c r="O407" t="s">
        <v>289</v>
      </c>
      <c r="P407">
        <v>11203</v>
      </c>
      <c r="Q407" t="s">
        <v>290</v>
      </c>
      <c r="R407" t="s">
        <v>291</v>
      </c>
      <c r="U407">
        <v>27</v>
      </c>
      <c r="V407" t="s">
        <v>2434</v>
      </c>
      <c r="W407" t="s">
        <v>346</v>
      </c>
      <c r="Y407" t="s">
        <v>349</v>
      </c>
      <c r="Z407" t="s">
        <v>350</v>
      </c>
      <c r="AA407" t="s">
        <v>350</v>
      </c>
      <c r="AC407" t="s">
        <v>352</v>
      </c>
      <c r="AE407" t="s">
        <v>359</v>
      </c>
      <c r="AF407">
        <v>2019</v>
      </c>
      <c r="AG407">
        <v>0</v>
      </c>
      <c r="AH407">
        <v>0</v>
      </c>
      <c r="AI407">
        <v>3.8</v>
      </c>
      <c r="AJ407" t="s">
        <v>2784</v>
      </c>
      <c r="AK407" t="s">
        <v>2952</v>
      </c>
      <c r="AL407" t="s">
        <v>3209</v>
      </c>
      <c r="AM407">
        <v>0</v>
      </c>
      <c r="AO407">
        <v>2</v>
      </c>
      <c r="AP407">
        <v>1</v>
      </c>
      <c r="AQ407">
        <v>56.19</v>
      </c>
      <c r="AV407" t="s">
        <v>3333</v>
      </c>
      <c r="AW407">
        <v>11676</v>
      </c>
      <c r="BA407" t="s">
        <v>72</v>
      </c>
      <c r="BD407" t="s">
        <v>541</v>
      </c>
      <c r="BE407" t="s">
        <v>561</v>
      </c>
      <c r="BF407" t="s">
        <v>600</v>
      </c>
    </row>
    <row r="408" spans="1:58">
      <c r="A408" s="1">
        <f>HYPERLINK("https://lsnyc.legalserver.org/matter/dynamic-profile/view/1900418","19-1900418")</f>
        <v>0</v>
      </c>
      <c r="E408" t="s">
        <v>381</v>
      </c>
      <c r="F408" t="s">
        <v>626</v>
      </c>
      <c r="G408" t="s">
        <v>80</v>
      </c>
      <c r="H408" t="s">
        <v>803</v>
      </c>
      <c r="J408" t="s">
        <v>1143</v>
      </c>
      <c r="K408" t="s">
        <v>1471</v>
      </c>
      <c r="L408" t="s">
        <v>1837</v>
      </c>
      <c r="M408" t="s">
        <v>2026</v>
      </c>
      <c r="N408" t="s">
        <v>288</v>
      </c>
      <c r="O408" t="s">
        <v>289</v>
      </c>
      <c r="P408">
        <v>11203</v>
      </c>
      <c r="Q408" t="s">
        <v>290</v>
      </c>
      <c r="R408" t="s">
        <v>291</v>
      </c>
      <c r="S408" t="s">
        <v>295</v>
      </c>
      <c r="T408" t="s">
        <v>2426</v>
      </c>
      <c r="U408">
        <v>30</v>
      </c>
      <c r="V408" t="s">
        <v>340</v>
      </c>
      <c r="W408" t="s">
        <v>346</v>
      </c>
      <c r="Y408" t="s">
        <v>349</v>
      </c>
      <c r="Z408" t="s">
        <v>350</v>
      </c>
      <c r="AA408" t="s">
        <v>350</v>
      </c>
      <c r="AC408" t="s">
        <v>352</v>
      </c>
      <c r="AD408" t="s">
        <v>356</v>
      </c>
      <c r="AE408" t="s">
        <v>359</v>
      </c>
      <c r="AF408">
        <v>2019</v>
      </c>
      <c r="AG408">
        <v>0</v>
      </c>
      <c r="AH408">
        <v>1028</v>
      </c>
      <c r="AI408">
        <v>20.85</v>
      </c>
      <c r="AJ408" t="s">
        <v>2895</v>
      </c>
      <c r="AL408" t="s">
        <v>3315</v>
      </c>
      <c r="AM408">
        <v>90</v>
      </c>
      <c r="AN408" t="s">
        <v>493</v>
      </c>
      <c r="AO408">
        <v>1</v>
      </c>
      <c r="AP408">
        <v>0</v>
      </c>
      <c r="AQ408">
        <v>124.9</v>
      </c>
      <c r="AV408" t="s">
        <v>508</v>
      </c>
      <c r="AW408">
        <v>15600</v>
      </c>
      <c r="BA408" t="s">
        <v>3341</v>
      </c>
      <c r="BD408" t="s">
        <v>550</v>
      </c>
      <c r="BE408" t="s">
        <v>3456</v>
      </c>
      <c r="BF408" t="s">
        <v>600</v>
      </c>
    </row>
    <row r="409" spans="1:58">
      <c r="A409" s="1">
        <f>HYPERLINK("https://lsnyc.legalserver.org/matter/dynamic-profile/view/1898946","19-1898946")</f>
        <v>0</v>
      </c>
      <c r="E409" t="s">
        <v>381</v>
      </c>
      <c r="F409" t="s">
        <v>63</v>
      </c>
      <c r="G409" t="s">
        <v>80</v>
      </c>
      <c r="H409" t="s">
        <v>789</v>
      </c>
      <c r="J409" t="s">
        <v>1144</v>
      </c>
      <c r="K409" t="s">
        <v>1472</v>
      </c>
      <c r="L409" t="s">
        <v>1838</v>
      </c>
      <c r="M409" t="s">
        <v>2027</v>
      </c>
      <c r="N409" t="s">
        <v>288</v>
      </c>
      <c r="O409" t="s">
        <v>289</v>
      </c>
      <c r="P409">
        <v>11201</v>
      </c>
      <c r="Q409" t="s">
        <v>290</v>
      </c>
      <c r="R409" t="s">
        <v>291</v>
      </c>
      <c r="S409" t="s">
        <v>295</v>
      </c>
      <c r="T409" t="s">
        <v>2427</v>
      </c>
      <c r="U409">
        <v>27</v>
      </c>
      <c r="V409" t="s">
        <v>339</v>
      </c>
      <c r="W409" t="s">
        <v>346</v>
      </c>
      <c r="Y409" t="s">
        <v>349</v>
      </c>
      <c r="Z409" t="s">
        <v>350</v>
      </c>
      <c r="AA409" t="s">
        <v>350</v>
      </c>
      <c r="AC409" t="s">
        <v>352</v>
      </c>
      <c r="AD409" t="s">
        <v>356</v>
      </c>
      <c r="AE409" t="s">
        <v>359</v>
      </c>
      <c r="AF409">
        <v>2019</v>
      </c>
      <c r="AG409">
        <v>0</v>
      </c>
      <c r="AH409">
        <v>1358</v>
      </c>
      <c r="AI409">
        <v>14.4</v>
      </c>
      <c r="AJ409" t="s">
        <v>2896</v>
      </c>
      <c r="AL409" t="s">
        <v>3316</v>
      </c>
      <c r="AM409">
        <v>183</v>
      </c>
      <c r="AN409" t="s">
        <v>493</v>
      </c>
      <c r="AO409">
        <v>1</v>
      </c>
      <c r="AP409">
        <v>0</v>
      </c>
      <c r="AQ409">
        <v>133.45</v>
      </c>
      <c r="AU409" t="s">
        <v>506</v>
      </c>
      <c r="AV409" t="s">
        <v>508</v>
      </c>
      <c r="AW409">
        <v>16668</v>
      </c>
      <c r="BA409" t="s">
        <v>3341</v>
      </c>
      <c r="BD409" t="s">
        <v>545</v>
      </c>
      <c r="BE409" t="s">
        <v>3475</v>
      </c>
      <c r="BF409" t="s">
        <v>600</v>
      </c>
    </row>
    <row r="410" spans="1:58">
      <c r="A410" s="1">
        <f>HYPERLINK("https://lsnyc.legalserver.org/matter/dynamic-profile/view/1901412","19-1901412")</f>
        <v>0</v>
      </c>
      <c r="E410" t="s">
        <v>381</v>
      </c>
      <c r="F410" t="s">
        <v>629</v>
      </c>
      <c r="G410" t="s">
        <v>80</v>
      </c>
      <c r="H410" t="s">
        <v>804</v>
      </c>
      <c r="J410" t="s">
        <v>1045</v>
      </c>
      <c r="K410" t="s">
        <v>1147</v>
      </c>
      <c r="L410" t="s">
        <v>1830</v>
      </c>
      <c r="M410" t="s">
        <v>2022</v>
      </c>
      <c r="N410" t="s">
        <v>288</v>
      </c>
      <c r="O410" t="s">
        <v>289</v>
      </c>
      <c r="P410">
        <v>11216</v>
      </c>
      <c r="Q410" t="s">
        <v>290</v>
      </c>
      <c r="R410" t="s">
        <v>291</v>
      </c>
      <c r="S410" t="s">
        <v>295</v>
      </c>
      <c r="U410">
        <v>48</v>
      </c>
      <c r="V410" t="s">
        <v>343</v>
      </c>
      <c r="W410" t="s">
        <v>347</v>
      </c>
      <c r="Y410" t="s">
        <v>348</v>
      </c>
      <c r="Z410" t="s">
        <v>350</v>
      </c>
      <c r="AA410" t="s">
        <v>350</v>
      </c>
      <c r="AC410" t="s">
        <v>353</v>
      </c>
      <c r="AE410" t="s">
        <v>2504</v>
      </c>
      <c r="AF410">
        <v>2019</v>
      </c>
      <c r="AG410">
        <v>0</v>
      </c>
      <c r="AH410">
        <v>215</v>
      </c>
      <c r="AI410">
        <v>5.3</v>
      </c>
      <c r="AJ410" t="s">
        <v>2887</v>
      </c>
      <c r="AK410" t="s">
        <v>2953</v>
      </c>
      <c r="AL410" t="s">
        <v>3307</v>
      </c>
      <c r="AM410">
        <v>8</v>
      </c>
      <c r="AN410" t="s">
        <v>494</v>
      </c>
      <c r="AO410">
        <v>2</v>
      </c>
      <c r="AP410">
        <v>1</v>
      </c>
      <c r="AQ410">
        <v>68.81999999999999</v>
      </c>
      <c r="AU410" t="s">
        <v>503</v>
      </c>
      <c r="AV410" t="s">
        <v>508</v>
      </c>
      <c r="AW410">
        <v>14680</v>
      </c>
      <c r="BA410" t="s">
        <v>530</v>
      </c>
      <c r="BD410" t="s">
        <v>3376</v>
      </c>
      <c r="BE410" t="s">
        <v>806</v>
      </c>
      <c r="BF410" t="s">
        <v>600</v>
      </c>
    </row>
    <row r="411" spans="1:58">
      <c r="A411" s="1">
        <f>HYPERLINK("https://lsnyc.legalserver.org/matter/dynamic-profile/view/1901741","19-1901741")</f>
        <v>0</v>
      </c>
      <c r="E411" t="s">
        <v>381</v>
      </c>
      <c r="F411" t="s">
        <v>632</v>
      </c>
      <c r="G411" t="s">
        <v>80</v>
      </c>
      <c r="H411" t="s">
        <v>798</v>
      </c>
      <c r="J411" t="s">
        <v>1145</v>
      </c>
      <c r="K411" t="s">
        <v>992</v>
      </c>
      <c r="L411" t="s">
        <v>1839</v>
      </c>
      <c r="M411" t="s">
        <v>1932</v>
      </c>
      <c r="N411" t="s">
        <v>288</v>
      </c>
      <c r="O411" t="s">
        <v>289</v>
      </c>
      <c r="P411">
        <v>11226</v>
      </c>
      <c r="Q411" t="s">
        <v>290</v>
      </c>
      <c r="R411" t="s">
        <v>291</v>
      </c>
      <c r="S411" t="s">
        <v>295</v>
      </c>
      <c r="T411" t="s">
        <v>2428</v>
      </c>
      <c r="U411">
        <v>8</v>
      </c>
      <c r="V411" t="s">
        <v>339</v>
      </c>
      <c r="W411" t="s">
        <v>346</v>
      </c>
      <c r="Y411" t="s">
        <v>348</v>
      </c>
      <c r="Z411" t="s">
        <v>350</v>
      </c>
      <c r="AC411" t="s">
        <v>352</v>
      </c>
      <c r="AE411" t="s">
        <v>2504</v>
      </c>
      <c r="AF411">
        <v>2019</v>
      </c>
      <c r="AG411">
        <v>0</v>
      </c>
      <c r="AH411">
        <v>1315</v>
      </c>
      <c r="AI411">
        <v>15.4</v>
      </c>
      <c r="AJ411" t="s">
        <v>2897</v>
      </c>
      <c r="AK411" t="s">
        <v>2954</v>
      </c>
      <c r="AL411" t="s">
        <v>3317</v>
      </c>
      <c r="AM411">
        <v>7</v>
      </c>
      <c r="AN411" t="s">
        <v>3320</v>
      </c>
      <c r="AO411">
        <v>1</v>
      </c>
      <c r="AP411">
        <v>1</v>
      </c>
      <c r="AQ411">
        <v>106.16</v>
      </c>
      <c r="AV411" t="s">
        <v>508</v>
      </c>
      <c r="AW411">
        <v>17952</v>
      </c>
      <c r="BA411" t="s">
        <v>530</v>
      </c>
      <c r="BD411" t="s">
        <v>3421</v>
      </c>
      <c r="BE411" t="s">
        <v>3459</v>
      </c>
      <c r="BF411" t="s">
        <v>600</v>
      </c>
    </row>
    <row r="412" spans="1:58">
      <c r="A412" s="1">
        <f>HYPERLINK("https://lsnyc.legalserver.org/matter/dynamic-profile/view/1902823","19-1902823")</f>
        <v>0</v>
      </c>
      <c r="E412" t="s">
        <v>381</v>
      </c>
      <c r="F412" t="s">
        <v>628</v>
      </c>
      <c r="G412" t="s">
        <v>80</v>
      </c>
      <c r="H412" t="s">
        <v>805</v>
      </c>
      <c r="J412" t="s">
        <v>1146</v>
      </c>
      <c r="K412" t="s">
        <v>1473</v>
      </c>
      <c r="L412" t="s">
        <v>1840</v>
      </c>
      <c r="M412" t="s">
        <v>2028</v>
      </c>
      <c r="N412" t="s">
        <v>288</v>
      </c>
      <c r="O412" t="s">
        <v>289</v>
      </c>
      <c r="P412">
        <v>11213</v>
      </c>
      <c r="Q412" t="s">
        <v>290</v>
      </c>
      <c r="R412" t="s">
        <v>291</v>
      </c>
      <c r="S412" t="s">
        <v>293</v>
      </c>
      <c r="T412" t="s">
        <v>2429</v>
      </c>
      <c r="U412">
        <v>8</v>
      </c>
      <c r="V412" t="s">
        <v>339</v>
      </c>
      <c r="W412" t="s">
        <v>346</v>
      </c>
      <c r="Y412" t="s">
        <v>349</v>
      </c>
      <c r="Z412" t="s">
        <v>350</v>
      </c>
      <c r="AA412" t="s">
        <v>350</v>
      </c>
      <c r="AC412" t="s">
        <v>352</v>
      </c>
      <c r="AD412" t="s">
        <v>356</v>
      </c>
      <c r="AE412" t="s">
        <v>2505</v>
      </c>
      <c r="AF412">
        <v>2019</v>
      </c>
      <c r="AG412">
        <v>0</v>
      </c>
      <c r="AH412">
        <v>777</v>
      </c>
      <c r="AI412">
        <v>8.800000000000001</v>
      </c>
      <c r="AJ412" t="s">
        <v>2898</v>
      </c>
      <c r="AK412" t="s">
        <v>2955</v>
      </c>
      <c r="AL412" t="s">
        <v>3318</v>
      </c>
      <c r="AM412">
        <v>248</v>
      </c>
      <c r="AN412" t="s">
        <v>497</v>
      </c>
      <c r="AO412">
        <v>1</v>
      </c>
      <c r="AP412">
        <v>3</v>
      </c>
      <c r="AQ412">
        <v>151.46</v>
      </c>
      <c r="AU412" t="s">
        <v>507</v>
      </c>
      <c r="AV412" t="s">
        <v>508</v>
      </c>
      <c r="AW412">
        <v>39000</v>
      </c>
      <c r="BA412" t="s">
        <v>619</v>
      </c>
      <c r="BD412" t="s">
        <v>537</v>
      </c>
      <c r="BE412" t="s">
        <v>3452</v>
      </c>
      <c r="BF412" t="s">
        <v>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" width="20.7109375" style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 fy 19</vt:lpstr>
      <vt:lpstr>Sheet1</vt:lpstr>
      <vt:lpstr>FY 19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2019-11-12T20:08:16Z</dcterms:created>
  <dcterms:modified xsi:type="dcterms:W3CDTF">2019-11-12T20:08:16Z</dcterms:modified>
</cp:coreProperties>
</file>