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No Elig" sheetId="1" r:id="rId1"/>
  </sheets>
  <calcPr calcId="124519" fullCalcOnLoad="1"/>
</workbook>
</file>

<file path=xl/sharedStrings.xml><?xml version="1.0" encoding="utf-8"?>
<sst xmlns="http://schemas.openxmlformats.org/spreadsheetml/2006/main" count="27819" uniqueCount="6704">
  <si>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</si>
  <si>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</si>
  <si>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</si>
  <si>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</si>
  <si>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</si>
  <si>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</si>
  <si>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</si>
  <si>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</si>
  <si>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HAL Eligibility Date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</si>
  <si>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</si>
  <si>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</si>
  <si>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</si>
  <si>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</si>
  <si>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</si>
  <si>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</si>
  <si>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</si>
  <si>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</si>
  <si>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</si>
  <si>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</si>
  <si>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</si>
  <si>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</si>
  <si>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</si>
  <si>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</si>
  <si>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</si>
  <si>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</si>
  <si>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</si>
  <si>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</si>
  <si>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</si>
  <si>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</si>
  <si>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</si>
  <si>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</si>
  <si>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</si>
  <si>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</si>
  <si>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</si>
  <si>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</si>
  <si>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</si>
  <si>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</si>
  <si>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</si>
  <si>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</si>
  <si>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</si>
  <si>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</si>
  <si>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</si>
  <si>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</si>
  <si>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</si>
  <si>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</si>
  <si>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</si>
  <si>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</si>
  <si>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</si>
  <si>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</si>
  <si>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</si>
  <si>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</si>
  <si>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</si>
  <si>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</si>
  <si>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</si>
  <si>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</si>
  <si>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</si>
  <si>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</si>
  <si>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Bronx Legal Services</t>
  </si>
  <si>
    <t>Brooklyn Legal Services</t>
  </si>
  <si>
    <t>Manhattan Legal Services</t>
  </si>
  <si>
    <t>Queens Legal Services</t>
  </si>
  <si>
    <t>Staten Island Legal Services</t>
  </si>
  <si>
    <t>Aktar, Shabhia</t>
  </si>
  <si>
    <t>Alvarez, Adriana</t>
  </si>
  <si>
    <t>Baer, Emily</t>
  </si>
  <si>
    <t>Batten, Michael</t>
  </si>
  <si>
    <t>Breakstone, Chelsea</t>
  </si>
  <si>
    <t>Brutus, Jean-Pierre</t>
  </si>
  <si>
    <t>Caldwell-Kuru, Hazel</t>
  </si>
  <si>
    <t>Castro, Cristina</t>
  </si>
  <si>
    <t>Catuira, Rochelle</t>
  </si>
  <si>
    <t>Contreras, Gatsby</t>
  </si>
  <si>
    <t>Cruz-Perez, Javier</t>
  </si>
  <si>
    <t>Faliks, Sarah</t>
  </si>
  <si>
    <t>Fukuda, Noriko</t>
  </si>
  <si>
    <t>Garcia, Kristine</t>
  </si>
  <si>
    <t>Garland, Shelby</t>
  </si>
  <si>
    <t>Gonzalez, Atenedoro</t>
  </si>
  <si>
    <t>Goyzueta, Anna</t>
  </si>
  <si>
    <t>Greene, Janelle</t>
  </si>
  <si>
    <t>Herrmann, Neil</t>
  </si>
  <si>
    <t>Kalum, Nicole</t>
  </si>
  <si>
    <t>Kellogg, Martha</t>
  </si>
  <si>
    <t>Licharson, Tom</t>
  </si>
  <si>
    <t>Lynch, Megan</t>
  </si>
  <si>
    <t>Ma, Chiansan</t>
  </si>
  <si>
    <t>Mancias, Fernando</t>
  </si>
  <si>
    <t>Massey, Randi</t>
  </si>
  <si>
    <t>McDonald, John</t>
  </si>
  <si>
    <t>McLinn, Heather</t>
  </si>
  <si>
    <t>Mulles, Carlos</t>
  </si>
  <si>
    <t>Navarro, Norey</t>
  </si>
  <si>
    <t>Nimis, Roland</t>
  </si>
  <si>
    <t>Ocana, Johanna</t>
  </si>
  <si>
    <t>Osei, Dionne</t>
  </si>
  <si>
    <t>Price, Adriana</t>
  </si>
  <si>
    <t>Rahman, Urooj</t>
  </si>
  <si>
    <t>Roberts, Jonathan</t>
  </si>
  <si>
    <t>Rosen, David</t>
  </si>
  <si>
    <t>Santana, Bridgette</t>
  </si>
  <si>
    <t>Scott, Samuel</t>
  </si>
  <si>
    <t>Silliman, Stacey</t>
  </si>
  <si>
    <t>Smith, Sara</t>
  </si>
  <si>
    <t>Solivan, Jackeline</t>
  </si>
  <si>
    <t>Spencer, Amelia</t>
  </si>
  <si>
    <t>Taylor, Mark</t>
  </si>
  <si>
    <t>Tongo, Salima</t>
  </si>
  <si>
    <t>Alba, Sarah</t>
  </si>
  <si>
    <t>Belhomme, Wilesca</t>
  </si>
  <si>
    <t>Carter, Corinthia</t>
  </si>
  <si>
    <t>Castronovo, Julian</t>
  </si>
  <si>
    <t>Crowder, Jasmin</t>
  </si>
  <si>
    <t>Dolin, Brett</t>
  </si>
  <si>
    <t>Drimal, Alex</t>
  </si>
  <si>
    <t>Drumm, Kristen</t>
  </si>
  <si>
    <t>Elmore, Josh</t>
  </si>
  <si>
    <t>Fitzgerald, Mario</t>
  </si>
  <si>
    <t>Fuller-Bennett, Reuben</t>
  </si>
  <si>
    <t>Gardner III, George</t>
  </si>
  <si>
    <t>Gathing, Vance</t>
  </si>
  <si>
    <t>Geha, Nada</t>
  </si>
  <si>
    <t>Ginsberg, Irene</t>
  </si>
  <si>
    <t>Haarmann, Landry</t>
  </si>
  <si>
    <t>Hernandez, Marisol</t>
  </si>
  <si>
    <t>Jackson, Chavette</t>
  </si>
  <si>
    <t>James, Natalie</t>
  </si>
  <si>
    <t>Johnson, Chantal</t>
  </si>
  <si>
    <t>Joly, Coco</t>
  </si>
  <si>
    <t>Josephson, Edward</t>
  </si>
  <si>
    <t>Kramer, Kramer</t>
  </si>
  <si>
    <t>Lee, Jooyeon</t>
  </si>
  <si>
    <t>Leroux, Paul</t>
  </si>
  <si>
    <t>MacRae, John</t>
  </si>
  <si>
    <t>McCormick, James</t>
  </si>
  <si>
    <t>McHugh Mills, Maura</t>
  </si>
  <si>
    <t>Miller, Thomas</t>
  </si>
  <si>
    <t>Murray, Pat</t>
  </si>
  <si>
    <t>Nachman, Fraidy</t>
  </si>
  <si>
    <t>Odoemene, Udoka</t>
  </si>
  <si>
    <t>Pangonis, Dustin</t>
  </si>
  <si>
    <t>Reed, Jessica</t>
  </si>
  <si>
    <t>Roussos, Katie</t>
  </si>
  <si>
    <t>Samuel, Somalia</t>
  </si>
  <si>
    <t>Sandoval, Sandra</t>
  </si>
  <si>
    <t>Stevens, Jean</t>
  </si>
  <si>
    <t>St. Marie, Monique</t>
  </si>
  <si>
    <t>Surette, Gibb</t>
  </si>
  <si>
    <t>Twersky, Jonathan</t>
  </si>
  <si>
    <t>Vujica, Visnja</t>
  </si>
  <si>
    <t>Watson, Michael</t>
  </si>
  <si>
    <t>Wong, Humbert</t>
  </si>
  <si>
    <t>Zabizhin, Albert</t>
  </si>
  <si>
    <t>Abbas, Sayeda</t>
  </si>
  <si>
    <t>Allen, Sharette</t>
  </si>
  <si>
    <t>Anunkor, Ifeoma</t>
  </si>
  <si>
    <t>Basu, Shantonu</t>
  </si>
  <si>
    <t>Black, Rosalind</t>
  </si>
  <si>
    <t>Braudy, Erica</t>
  </si>
  <si>
    <t>Briggs, John</t>
  </si>
  <si>
    <t>Bromberg, Iris</t>
  </si>
  <si>
    <t>Dias, Marika</t>
  </si>
  <si>
    <t>Dittakavi, Archana</t>
  </si>
  <si>
    <t>Englard, Rubin</t>
  </si>
  <si>
    <t>Evers, Erin</t>
  </si>
  <si>
    <t>Freeman, Daniel</t>
  </si>
  <si>
    <t>Frierson, Jerome</t>
  </si>
  <si>
    <t>Gokhale, Aparna</t>
  </si>
  <si>
    <t>Gonzalez, Matias</t>
  </si>
  <si>
    <t>Hao, Lindsay</t>
  </si>
  <si>
    <t>He, Ricky</t>
  </si>
  <si>
    <t>Honan, Thomas</t>
  </si>
  <si>
    <t>Kulig, Jessica</t>
  </si>
  <si>
    <t>Mercedes, Jannelys</t>
  </si>
  <si>
    <t>Ortiz, Matthew</t>
  </si>
  <si>
    <t>Patel, Roopal</t>
  </si>
  <si>
    <t>Shah, Ami</t>
  </si>
  <si>
    <t>Sharma, Sagar</t>
  </si>
  <si>
    <t>Spencer, Eleanor</t>
  </si>
  <si>
    <t>Sun, Dao</t>
  </si>
  <si>
    <t>Treadwell, Nathan</t>
  </si>
  <si>
    <t>Wilkes, Nicole</t>
  </si>
  <si>
    <t>Ascher, Ann</t>
  </si>
  <si>
    <t>Banks, Melissa</t>
  </si>
  <si>
    <t>Barrett, Samantha</t>
  </si>
  <si>
    <t>Bernardez, Florencita</t>
  </si>
  <si>
    <t>Carwin, Mikailla</t>
  </si>
  <si>
    <t>Clifford, Mun</t>
  </si>
  <si>
    <t>Diaz, Lino</t>
  </si>
  <si>
    <t>Flores, Irene</t>
  </si>
  <si>
    <t>Goldberg, Heather</t>
  </si>
  <si>
    <t>Hoque, Shatti</t>
  </si>
  <si>
    <t>Jacobs, Alex</t>
  </si>
  <si>
    <t>Lin, Tina</t>
  </si>
  <si>
    <t>Maltezos, Alexander</t>
  </si>
  <si>
    <t>Mui, Ernie</t>
  </si>
  <si>
    <t>Pathiyil, Neelu</t>
  </si>
  <si>
    <t>Pozo, Caridad</t>
  </si>
  <si>
    <t>Ramroop, Nikki</t>
  </si>
  <si>
    <t>Rhee, Bohee</t>
  </si>
  <si>
    <t>Rubin, Jenn</t>
  </si>
  <si>
    <t>Salas, Emma</t>
  </si>
  <si>
    <t>Sanderman, Robert</t>
  </si>
  <si>
    <t>Santos, Marisol</t>
  </si>
  <si>
    <t>Saywack, Priam</t>
  </si>
  <si>
    <t>Tadepalli, Ashwin</t>
  </si>
  <si>
    <t>Umoke, Jacob</t>
  </si>
  <si>
    <t>Burns, Erin</t>
  </si>
  <si>
    <t>Falco, Fara</t>
  </si>
  <si>
    <t>Golden, Tashanna</t>
  </si>
  <si>
    <t>Granfield, Rachel</t>
  </si>
  <si>
    <t>Hong, Connie</t>
  </si>
  <si>
    <t>Montoute, John</t>
  </si>
  <si>
    <t>Nilsson, Erik</t>
  </si>
  <si>
    <t>Rave, Helen</t>
  </si>
  <si>
    <t>Open</t>
  </si>
  <si>
    <t>Closed</t>
  </si>
  <si>
    <t>10/16/2019</t>
  </si>
  <si>
    <t>11/25/2019</t>
  </si>
  <si>
    <t>11/26/2019</t>
  </si>
  <si>
    <t>11/12/2019</t>
  </si>
  <si>
    <t>09/26/2019</t>
  </si>
  <si>
    <t>10/09/2019</t>
  </si>
  <si>
    <t>11/07/2019</t>
  </si>
  <si>
    <t>09/24/2019</t>
  </si>
  <si>
    <t>11/14/2019</t>
  </si>
  <si>
    <t>10/22/2019</t>
  </si>
  <si>
    <t>02/11/2019</t>
  </si>
  <si>
    <t>11/15/2019</t>
  </si>
  <si>
    <t>10/30/2019</t>
  </si>
  <si>
    <t>09/07/2019</t>
  </si>
  <si>
    <t>11/13/2019</t>
  </si>
  <si>
    <t>11/27/2019</t>
  </si>
  <si>
    <t>07/19/2019</t>
  </si>
  <si>
    <t>10/04/2019</t>
  </si>
  <si>
    <t>10/02/2019</t>
  </si>
  <si>
    <t>09/05/2019</t>
  </si>
  <si>
    <t>09/10/2019</t>
  </si>
  <si>
    <t>11/21/2019</t>
  </si>
  <si>
    <t>09/18/2019</t>
  </si>
  <si>
    <t>04/03/2019</t>
  </si>
  <si>
    <t>06/10/2019</t>
  </si>
  <si>
    <t>02/19/2019</t>
  </si>
  <si>
    <t>06/09/2019</t>
  </si>
  <si>
    <t>11/20/2019</t>
  </si>
  <si>
    <t>05/15/2019</t>
  </si>
  <si>
    <t>09/11/2019</t>
  </si>
  <si>
    <t>10/23/2019</t>
  </si>
  <si>
    <t>08/07/2019</t>
  </si>
  <si>
    <t>10/18/2019</t>
  </si>
  <si>
    <t>11/08/2019</t>
  </si>
  <si>
    <t>10/01/2019</t>
  </si>
  <si>
    <t>11/04/2019</t>
  </si>
  <si>
    <t>07/29/2019</t>
  </si>
  <si>
    <t>10/07/2019</t>
  </si>
  <si>
    <t>05/10/2019</t>
  </si>
  <si>
    <t>05/16/2019</t>
  </si>
  <si>
    <t>05/31/2019</t>
  </si>
  <si>
    <t>02/06/2019</t>
  </si>
  <si>
    <t>07/16/2019</t>
  </si>
  <si>
    <t>10/29/2019</t>
  </si>
  <si>
    <t>09/23/2019</t>
  </si>
  <si>
    <t>05/29/2019</t>
  </si>
  <si>
    <t>06/03/2019</t>
  </si>
  <si>
    <t>06/13/2019</t>
  </si>
  <si>
    <t>06/20/2019</t>
  </si>
  <si>
    <t>05/28/2019</t>
  </si>
  <si>
    <t>11/06/2019</t>
  </si>
  <si>
    <t>11/18/2019</t>
  </si>
  <si>
    <t>10/17/2019</t>
  </si>
  <si>
    <t>10/21/2019</t>
  </si>
  <si>
    <t>11/01/2019</t>
  </si>
  <si>
    <t>09/06/2019</t>
  </si>
  <si>
    <t>10/24/2019</t>
  </si>
  <si>
    <t>06/17/2019</t>
  </si>
  <si>
    <t>09/19/2019</t>
  </si>
  <si>
    <t>11/22/2019</t>
  </si>
  <si>
    <t>03/28/2019</t>
  </si>
  <si>
    <t>06/06/2019</t>
  </si>
  <si>
    <t>05/14/2019</t>
  </si>
  <si>
    <t>10/03/2019</t>
  </si>
  <si>
    <t>07/15/2019</t>
  </si>
  <si>
    <t>08/02/2019</t>
  </si>
  <si>
    <t>08/13/2018</t>
  </si>
  <si>
    <t>08/27/2018</t>
  </si>
  <si>
    <t>09/27/2019</t>
  </si>
  <si>
    <t>04/16/2019</t>
  </si>
  <si>
    <t>08/16/2019</t>
  </si>
  <si>
    <t>08/15/2019</t>
  </si>
  <si>
    <t>03/06/2019</t>
  </si>
  <si>
    <t>04/17/2019</t>
  </si>
  <si>
    <t>06/07/2019</t>
  </si>
  <si>
    <t>03/07/2019</t>
  </si>
  <si>
    <t>08/14/2019</t>
  </si>
  <si>
    <t>10/28/2019</t>
  </si>
  <si>
    <t>08/13/2019</t>
  </si>
  <si>
    <t>09/04/2019</t>
  </si>
  <si>
    <t>05/30/2019</t>
  </si>
  <si>
    <t>08/09/2019</t>
  </si>
  <si>
    <t>12/07/2018</t>
  </si>
  <si>
    <t>03/22/2019</t>
  </si>
  <si>
    <t>09/20/2019</t>
  </si>
  <si>
    <t>08/29/2019</t>
  </si>
  <si>
    <t>06/04/2019</t>
  </si>
  <si>
    <t>04/01/2019</t>
  </si>
  <si>
    <t>09/12/2019</t>
  </si>
  <si>
    <t>10/25/2019</t>
  </si>
  <si>
    <t>07/22/2019</t>
  </si>
  <si>
    <t>08/28/2019</t>
  </si>
  <si>
    <t>04/29/2019</t>
  </si>
  <si>
    <t>08/23/2019</t>
  </si>
  <si>
    <t>08/01/2019</t>
  </si>
  <si>
    <t>02/14/2019</t>
  </si>
  <si>
    <t>03/14/2019</t>
  </si>
  <si>
    <t>10/10/2019</t>
  </si>
  <si>
    <t>05/07/2019</t>
  </si>
  <si>
    <t>12/26/2018</t>
  </si>
  <si>
    <t>10/31/2019</t>
  </si>
  <si>
    <t>09/30/2019</t>
  </si>
  <si>
    <t>09/09/2019</t>
  </si>
  <si>
    <t>10/02/2018</t>
  </si>
  <si>
    <t>05/01/2019</t>
  </si>
  <si>
    <t>06/26/2019</t>
  </si>
  <si>
    <t>07/05/2019</t>
  </si>
  <si>
    <t>05/24/2019</t>
  </si>
  <si>
    <t>07/01/2019</t>
  </si>
  <si>
    <t>06/05/2019</t>
  </si>
  <si>
    <t>08/21/2019</t>
  </si>
  <si>
    <t>09/03/2019</t>
  </si>
  <si>
    <t>09/25/2019</t>
  </si>
  <si>
    <t>07/31/2019</t>
  </si>
  <si>
    <t>09/13/2019</t>
  </si>
  <si>
    <t>05/17/2019</t>
  </si>
  <si>
    <t>04/18/2019</t>
  </si>
  <si>
    <t>07/26/2019</t>
  </si>
  <si>
    <t>10/08/2019</t>
  </si>
  <si>
    <t>04/19/2019</t>
  </si>
  <si>
    <t>04/04/2019</t>
  </si>
  <si>
    <t>11/20/2018</t>
  </si>
  <si>
    <t>01/30/2019</t>
  </si>
  <si>
    <t>07/02/2019</t>
  </si>
  <si>
    <t>08/05/2019</t>
  </si>
  <si>
    <t>11/19/2019</t>
  </si>
  <si>
    <t>10/11/2019</t>
  </si>
  <si>
    <t>02/08/2019</t>
  </si>
  <si>
    <t>04/12/2019</t>
  </si>
  <si>
    <t>03/05/2019</t>
  </si>
  <si>
    <t>04/24/2019</t>
  </si>
  <si>
    <t>08/27/2019</t>
  </si>
  <si>
    <t>02/28/2019</t>
  </si>
  <si>
    <t>05/21/2019</t>
  </si>
  <si>
    <t>04/05/2019</t>
  </si>
  <si>
    <t>07/17/2019</t>
  </si>
  <si>
    <t>09/25/2018</t>
  </si>
  <si>
    <t>02/27/2019</t>
  </si>
  <si>
    <t>01/11/2018</t>
  </si>
  <si>
    <t>05/06/2019</t>
  </si>
  <si>
    <t>07/13/2018</t>
  </si>
  <si>
    <t>09/26/2018</t>
  </si>
  <si>
    <t>01/22/2019</t>
  </si>
  <si>
    <t>04/26/2019</t>
  </si>
  <si>
    <t>09/01/2017</t>
  </si>
  <si>
    <t>02/26/2019</t>
  </si>
  <si>
    <t>09/05/2018</t>
  </si>
  <si>
    <t>05/03/2019</t>
  </si>
  <si>
    <t>12/13/2018</t>
  </si>
  <si>
    <t>06/25/2019</t>
  </si>
  <si>
    <t>08/12/2019</t>
  </si>
  <si>
    <t>05/02/2019</t>
  </si>
  <si>
    <t>01/09/2019</t>
  </si>
  <si>
    <t>08/21/2018</t>
  </si>
  <si>
    <t>04/15/2019</t>
  </si>
  <si>
    <t>06/03/2014</t>
  </si>
  <si>
    <t>01/17/2019</t>
  </si>
  <si>
    <t>12/24/2018</t>
  </si>
  <si>
    <t>12/05/2018</t>
  </si>
  <si>
    <t>11/21/2018</t>
  </si>
  <si>
    <t>11/09/2017</t>
  </si>
  <si>
    <t>08/21/2017</t>
  </si>
  <si>
    <t>02/22/2019</t>
  </si>
  <si>
    <t>03/19/2019</t>
  </si>
  <si>
    <t>06/21/2019</t>
  </si>
  <si>
    <t>08/22/2019</t>
  </si>
  <si>
    <t>02/25/2019</t>
  </si>
  <si>
    <t>07/10/2018</t>
  </si>
  <si>
    <t>10/03/2017</t>
  </si>
  <si>
    <t>07/25/2017</t>
  </si>
  <si>
    <t>06/28/2019</t>
  </si>
  <si>
    <t>08/06/2019</t>
  </si>
  <si>
    <t>08/09/2018</t>
  </si>
  <si>
    <t>07/19/2018</t>
  </si>
  <si>
    <t>01/25/2018</t>
  </si>
  <si>
    <t>01/23/2018</t>
  </si>
  <si>
    <t>09/28/2017</t>
  </si>
  <si>
    <t>09/26/2014</t>
  </si>
  <si>
    <t>08/15/2018</t>
  </si>
  <si>
    <t>09/04/2018</t>
  </si>
  <si>
    <t>05/22/2019</t>
  </si>
  <si>
    <t>10/28/2013</t>
  </si>
  <si>
    <t>08/28/2017</t>
  </si>
  <si>
    <t>05/08/2018</t>
  </si>
  <si>
    <t>09/18/2018</t>
  </si>
  <si>
    <t>12/08/2016</t>
  </si>
  <si>
    <t>02/14/2018</t>
  </si>
  <si>
    <t>07/30/2019</t>
  </si>
  <si>
    <t>01/18/2019</t>
  </si>
  <si>
    <t>07/18/2019</t>
  </si>
  <si>
    <t>03/26/2018</t>
  </si>
  <si>
    <t>09/16/2019</t>
  </si>
  <si>
    <t>02/07/2014</t>
  </si>
  <si>
    <t>06/11/2018</t>
  </si>
  <si>
    <t>04/26/2018</t>
  </si>
  <si>
    <t>04/02/2019</t>
  </si>
  <si>
    <t>02/27/2018</t>
  </si>
  <si>
    <t>11/28/2018</t>
  </si>
  <si>
    <t>04/08/2019</t>
  </si>
  <si>
    <t>04/30/2019</t>
  </si>
  <si>
    <t>01/28/2019</t>
  </si>
  <si>
    <t>08/23/2017</t>
  </si>
  <si>
    <t>06/17/2016</t>
  </si>
  <si>
    <t>09/13/2017</t>
  </si>
  <si>
    <t>08/08/2018</t>
  </si>
  <si>
    <t>01/10/2018</t>
  </si>
  <si>
    <t>11/14/2018</t>
  </si>
  <si>
    <t>11/20/2013</t>
  </si>
  <si>
    <t>08/31/2018</t>
  </si>
  <si>
    <t>06/18/2018</t>
  </si>
  <si>
    <t>12/11/2017</t>
  </si>
  <si>
    <t>03/13/2019</t>
  </si>
  <si>
    <t>10/17/2018</t>
  </si>
  <si>
    <t>08/22/2018</t>
  </si>
  <si>
    <t>07/11/2019</t>
  </si>
  <si>
    <t>10/09/2008</t>
  </si>
  <si>
    <t>10/10/2018</t>
  </si>
  <si>
    <t>02/13/2019</t>
  </si>
  <si>
    <t>07/08/2019</t>
  </si>
  <si>
    <t>07/21/2009</t>
  </si>
  <si>
    <t>05/16/2018</t>
  </si>
  <si>
    <t>04/25/2019</t>
  </si>
  <si>
    <t>03/12/2019</t>
  </si>
  <si>
    <t>10/24/2018</t>
  </si>
  <si>
    <t>01/02/2019</t>
  </si>
  <si>
    <t>08/24/2018</t>
  </si>
  <si>
    <t>06/01/2018</t>
  </si>
  <si>
    <t>12/20/2018</t>
  </si>
  <si>
    <t>11/02/2011</t>
  </si>
  <si>
    <t>05/18/2018</t>
  </si>
  <si>
    <t>08/29/2018</t>
  </si>
  <si>
    <t>11/01/2016</t>
  </si>
  <si>
    <t>05/13/2019</t>
  </si>
  <si>
    <t>08/01/2018</t>
  </si>
  <si>
    <t>08/26/2019</t>
  </si>
  <si>
    <t>03/27/2019</t>
  </si>
  <si>
    <t>02/21/2019</t>
  </si>
  <si>
    <t>07/18/2018</t>
  </si>
  <si>
    <t>07/27/2018</t>
  </si>
  <si>
    <t>10/30/2018</t>
  </si>
  <si>
    <t>03/18/2014</t>
  </si>
  <si>
    <t>09/27/2017</t>
  </si>
  <si>
    <t>04/12/2018</t>
  </si>
  <si>
    <t>03/20/2019</t>
  </si>
  <si>
    <t>04/25/2018</t>
  </si>
  <si>
    <t>10/03/2018</t>
  </si>
  <si>
    <t>11/21/2017</t>
  </si>
  <si>
    <t>12/07/2017</t>
  </si>
  <si>
    <t>04/06/2015</t>
  </si>
  <si>
    <t>08/10/2017</t>
  </si>
  <si>
    <t>08/21/2014</t>
  </si>
  <si>
    <t>05/17/2018</t>
  </si>
  <si>
    <t>07/11/2018</t>
  </si>
  <si>
    <t>09/09/2014</t>
  </si>
  <si>
    <t>01/21/2015</t>
  </si>
  <si>
    <t>03/31/2015</t>
  </si>
  <si>
    <t>09/12/2018</t>
  </si>
  <si>
    <t>01/11/2019</t>
  </si>
  <si>
    <t>07/30/2018</t>
  </si>
  <si>
    <t>03/30/2015</t>
  </si>
  <si>
    <t>11/26/2018</t>
  </si>
  <si>
    <t>08/16/2017</t>
  </si>
  <si>
    <t>10/31/2018</t>
  </si>
  <si>
    <t>05/16/2017</t>
  </si>
  <si>
    <t>11/27/2018</t>
  </si>
  <si>
    <t>05/30/2018</t>
  </si>
  <si>
    <t>07/03/2019</t>
  </si>
  <si>
    <t>01/31/2019</t>
  </si>
  <si>
    <t>08/14/2017</t>
  </si>
  <si>
    <t>01/24/2019</t>
  </si>
  <si>
    <t>04/17/2018</t>
  </si>
  <si>
    <t>01/15/2019</t>
  </si>
  <si>
    <t>03/08/2017</t>
  </si>
  <si>
    <t>09/26/2017</t>
  </si>
  <si>
    <t>02/07/2019</t>
  </si>
  <si>
    <t>10/09/2018</t>
  </si>
  <si>
    <t>10/06/2016</t>
  </si>
  <si>
    <t>01/29/2019</t>
  </si>
  <si>
    <t>12/04/2018</t>
  </si>
  <si>
    <t>09/17/2019</t>
  </si>
  <si>
    <t>01/08/2019</t>
  </si>
  <si>
    <t>06/13/2016</t>
  </si>
  <si>
    <t>08/08/2019</t>
  </si>
  <si>
    <t>06/27/2019</t>
  </si>
  <si>
    <t>08/19/2019</t>
  </si>
  <si>
    <t>12/28/2018</t>
  </si>
  <si>
    <t>11/29/2018</t>
  </si>
  <si>
    <t>04/11/2016</t>
  </si>
  <si>
    <t>10/15/2019</t>
  </si>
  <si>
    <t>01/10/2019</t>
  </si>
  <si>
    <t>06/26/2017</t>
  </si>
  <si>
    <t>09/15/2017</t>
  </si>
  <si>
    <t>03/29/2019</t>
  </si>
  <si>
    <t>04/24/2018</t>
  </si>
  <si>
    <t>06/13/2017</t>
  </si>
  <si>
    <t>06/15/2017</t>
  </si>
  <si>
    <t>06/12/2019</t>
  </si>
  <si>
    <t>05/08/2019</t>
  </si>
  <si>
    <t>12/22/2016</t>
  </si>
  <si>
    <t>01/05/2018</t>
  </si>
  <si>
    <t>04/18/2018</t>
  </si>
  <si>
    <t>06/19/2019</t>
  </si>
  <si>
    <t>04/13/2018</t>
  </si>
  <si>
    <t>02/11/2015</t>
  </si>
  <si>
    <t>05/13/2015</t>
  </si>
  <si>
    <t>05/18/2015</t>
  </si>
  <si>
    <t>06/27/2018</t>
  </si>
  <si>
    <t>04/24/2017</t>
  </si>
  <si>
    <t>10/10/2017</t>
  </si>
  <si>
    <t>10/18/2017</t>
  </si>
  <si>
    <t>10/11/2016</t>
  </si>
  <si>
    <t>11/14/2017</t>
  </si>
  <si>
    <t>08/30/2019</t>
  </si>
  <si>
    <t>01/16/2019</t>
  </si>
  <si>
    <t>03/01/2019</t>
  </si>
  <si>
    <t>10/23/2018</t>
  </si>
  <si>
    <t>03/15/2019</t>
  </si>
  <si>
    <t>03/18/2018</t>
  </si>
  <si>
    <t>03/25/2015</t>
  </si>
  <si>
    <t>10/25/2018</t>
  </si>
  <si>
    <t>02/15/2019</t>
  </si>
  <si>
    <t>06/19/2018</t>
  </si>
  <si>
    <t>02/18/2015</t>
  </si>
  <si>
    <t>09/19/2018</t>
  </si>
  <si>
    <t>06/26/2015</t>
  </si>
  <si>
    <t>05/30/2017</t>
  </si>
  <si>
    <t>01/03/2018</t>
  </si>
  <si>
    <t>07/20/2017</t>
  </si>
  <si>
    <t>07/25/2019</t>
  </si>
  <si>
    <t>07/23/2018</t>
  </si>
  <si>
    <t>02/23/2015</t>
  </si>
  <si>
    <t>06/16/2017</t>
  </si>
  <si>
    <t>03/06/2015</t>
  </si>
  <si>
    <t>06/21/2017</t>
  </si>
  <si>
    <t>10/23/2017</t>
  </si>
  <si>
    <t>11/01/2018</t>
  </si>
  <si>
    <t>09/30/2015</t>
  </si>
  <si>
    <t>04/19/2013</t>
  </si>
  <si>
    <t>01/26/2018</t>
  </si>
  <si>
    <t>06/26/2018</t>
  </si>
  <si>
    <t>03/27/2017</t>
  </si>
  <si>
    <t>04/20/2018</t>
  </si>
  <si>
    <t>05/02/2018</t>
  </si>
  <si>
    <t>04/17/2015</t>
  </si>
  <si>
    <t>10/06/2017</t>
  </si>
  <si>
    <t>04/20/2017</t>
  </si>
  <si>
    <t>11/30/2018</t>
  </si>
  <si>
    <t>12/03/2018</t>
  </si>
  <si>
    <t>07/17/2018</t>
  </si>
  <si>
    <t>07/25/2018</t>
  </si>
  <si>
    <t>12/19/2018</t>
  </si>
  <si>
    <t>03/08/2019</t>
  </si>
  <si>
    <t>08/23/2018</t>
  </si>
  <si>
    <t>04/18/2017</t>
  </si>
  <si>
    <t>05/20/2019</t>
  </si>
  <si>
    <t>11/09/2019</t>
  </si>
  <si>
    <t>01/14/2019</t>
  </si>
  <si>
    <t>10/27/2019</t>
  </si>
  <si>
    <t>11/11/2019</t>
  </si>
  <si>
    <t>08/20/2019</t>
  </si>
  <si>
    <t>10/14/2019</t>
  </si>
  <si>
    <t>09/28/2019</t>
  </si>
  <si>
    <t>09/29/2019</t>
  </si>
  <si>
    <t>08/18/2019</t>
  </si>
  <si>
    <t>09/21/2019</t>
  </si>
  <si>
    <t>07/09/2019</t>
  </si>
  <si>
    <t>Cynthia</t>
  </si>
  <si>
    <t>Vivian</t>
  </si>
  <si>
    <t>Zoraida</t>
  </si>
  <si>
    <t>Torie</t>
  </si>
  <si>
    <t>Johnny</t>
  </si>
  <si>
    <t>Edward</t>
  </si>
  <si>
    <t>Rafael</t>
  </si>
  <si>
    <t>Zaila</t>
  </si>
  <si>
    <t>Rosanny</t>
  </si>
  <si>
    <t>Joel</t>
  </si>
  <si>
    <t>Victor</t>
  </si>
  <si>
    <t>Sandra</t>
  </si>
  <si>
    <t>Gina</t>
  </si>
  <si>
    <t>Justice</t>
  </si>
  <si>
    <t>Quianni</t>
  </si>
  <si>
    <t>Violeta</t>
  </si>
  <si>
    <t>Enrique</t>
  </si>
  <si>
    <t>Jeremiah</t>
  </si>
  <si>
    <t>Juan</t>
  </si>
  <si>
    <t>Saran</t>
  </si>
  <si>
    <t>Sarah</t>
  </si>
  <si>
    <t>Ashley</t>
  </si>
  <si>
    <t>Amanda</t>
  </si>
  <si>
    <t>Disha</t>
  </si>
  <si>
    <t>Marnie</t>
  </si>
  <si>
    <t>Anthony</t>
  </si>
  <si>
    <t>Jocelyn</t>
  </si>
  <si>
    <t>Blair</t>
  </si>
  <si>
    <t>Carol</t>
  </si>
  <si>
    <t>Nancy</t>
  </si>
  <si>
    <t>Vera</t>
  </si>
  <si>
    <t>Jeffrey</t>
  </si>
  <si>
    <t>Maria</t>
  </si>
  <si>
    <t>Todd</t>
  </si>
  <si>
    <t>Selina</t>
  </si>
  <si>
    <t>Jose</t>
  </si>
  <si>
    <t>Brisa</t>
  </si>
  <si>
    <t>Teresa</t>
  </si>
  <si>
    <t>Balvara</t>
  </si>
  <si>
    <t>Carlotta</t>
  </si>
  <si>
    <t>Lorena</t>
  </si>
  <si>
    <t>C William</t>
  </si>
  <si>
    <t>Irina</t>
  </si>
  <si>
    <t>Kissairis</t>
  </si>
  <si>
    <t>Georgina</t>
  </si>
  <si>
    <t>Mandjel</t>
  </si>
  <si>
    <t>Jackie</t>
  </si>
  <si>
    <t>Tanja</t>
  </si>
  <si>
    <t>Ruth</t>
  </si>
  <si>
    <t>Griselda</t>
  </si>
  <si>
    <t>Evelyn</t>
  </si>
  <si>
    <t>Eli</t>
  </si>
  <si>
    <t>Sylvia</t>
  </si>
  <si>
    <t>Timothy</t>
  </si>
  <si>
    <t>Raquel</t>
  </si>
  <si>
    <t>Chenell</t>
  </si>
  <si>
    <t>Sonia</t>
  </si>
  <si>
    <t>Oliverio</t>
  </si>
  <si>
    <t>Awilda</t>
  </si>
  <si>
    <t>Ramona</t>
  </si>
  <si>
    <t>Solany</t>
  </si>
  <si>
    <t>Arnetha</t>
  </si>
  <si>
    <t>Willis</t>
  </si>
  <si>
    <t>Gabriella</t>
  </si>
  <si>
    <t>Jermaine</t>
  </si>
  <si>
    <t>Adabelba</t>
  </si>
  <si>
    <t>Julio</t>
  </si>
  <si>
    <t>Lesly</t>
  </si>
  <si>
    <t>Angela</t>
  </si>
  <si>
    <t>Ebrunilda</t>
  </si>
  <si>
    <t>Wilmarie</t>
  </si>
  <si>
    <t>Jeremy</t>
  </si>
  <si>
    <t>Nadine</t>
  </si>
  <si>
    <t>Fanta</t>
  </si>
  <si>
    <t>Benjamin</t>
  </si>
  <si>
    <t>elizabeth</t>
  </si>
  <si>
    <t>Khalifa</t>
  </si>
  <si>
    <t>Ming</t>
  </si>
  <si>
    <t>Arelis</t>
  </si>
  <si>
    <t>Daneris</t>
  </si>
  <si>
    <t>Gerald</t>
  </si>
  <si>
    <t>Norma</t>
  </si>
  <si>
    <t>Elizabeth</t>
  </si>
  <si>
    <t>Shakira</t>
  </si>
  <si>
    <t>Diana</t>
  </si>
  <si>
    <t>Yraida</t>
  </si>
  <si>
    <t>Maryann</t>
  </si>
  <si>
    <t>Ana Maria</t>
  </si>
  <si>
    <t>George</t>
  </si>
  <si>
    <t>Ronald</t>
  </si>
  <si>
    <t>Shanequa</t>
  </si>
  <si>
    <t>Yasmin Martha</t>
  </si>
  <si>
    <t>Gloria</t>
  </si>
  <si>
    <t>Mercedes</t>
  </si>
  <si>
    <t>Tanisha</t>
  </si>
  <si>
    <t>Edwin</t>
  </si>
  <si>
    <t>Luz</t>
  </si>
  <si>
    <t>Erika</t>
  </si>
  <si>
    <t>Richard</t>
  </si>
  <si>
    <t>Ibelka</t>
  </si>
  <si>
    <t>Jennifer</t>
  </si>
  <si>
    <t>Miguelina</t>
  </si>
  <si>
    <t>Bernice</t>
  </si>
  <si>
    <t>Crystal</t>
  </si>
  <si>
    <t>Jessica</t>
  </si>
  <si>
    <t>Stephanie</t>
  </si>
  <si>
    <t>Lynette</t>
  </si>
  <si>
    <t>Regina</t>
  </si>
  <si>
    <t>Randolph</t>
  </si>
  <si>
    <t>Irene</t>
  </si>
  <si>
    <t>Wendy</t>
  </si>
  <si>
    <t>Stevenson</t>
  </si>
  <si>
    <t>Kathleen</t>
  </si>
  <si>
    <t>Ysnelly</t>
  </si>
  <si>
    <t>Louis</t>
  </si>
  <si>
    <t>Treniece</t>
  </si>
  <si>
    <t>Khrystal</t>
  </si>
  <si>
    <t>Latoya</t>
  </si>
  <si>
    <t>Jeannette</t>
  </si>
  <si>
    <t>Marcial</t>
  </si>
  <si>
    <t>Kevin</t>
  </si>
  <si>
    <t>Lassani</t>
  </si>
  <si>
    <t>Roselyn</t>
  </si>
  <si>
    <t>Hector</t>
  </si>
  <si>
    <t>Virginia</t>
  </si>
  <si>
    <t>LaToya</t>
  </si>
  <si>
    <t>Millicent</t>
  </si>
  <si>
    <t>Mariano</t>
  </si>
  <si>
    <t>Michael</t>
  </si>
  <si>
    <t>Celina</t>
  </si>
  <si>
    <t>Miguel</t>
  </si>
  <si>
    <t>Inez</t>
  </si>
  <si>
    <t>Daysi</t>
  </si>
  <si>
    <t>Iris</t>
  </si>
  <si>
    <t>Jewel</t>
  </si>
  <si>
    <t>Carlos</t>
  </si>
  <si>
    <t>Sha Jahan</t>
  </si>
  <si>
    <t>Glendalee</t>
  </si>
  <si>
    <t>Lydia</t>
  </si>
  <si>
    <t>Harry</t>
  </si>
  <si>
    <t>Larry</t>
  </si>
  <si>
    <t>Ricardo</t>
  </si>
  <si>
    <t>Eva</t>
  </si>
  <si>
    <t>Cynteera</t>
  </si>
  <si>
    <t>Sharon</t>
  </si>
  <si>
    <t>Angel</t>
  </si>
  <si>
    <t>Devon</t>
  </si>
  <si>
    <t>Larnise</t>
  </si>
  <si>
    <t>Darling</t>
  </si>
  <si>
    <t>Maxima</t>
  </si>
  <si>
    <t>Kayla</t>
  </si>
  <si>
    <t>Cameron</t>
  </si>
  <si>
    <t>Jorge</t>
  </si>
  <si>
    <t>Rayshell</t>
  </si>
  <si>
    <t>Perla</t>
  </si>
  <si>
    <t>Nelson</t>
  </si>
  <si>
    <t>Diomarys</t>
  </si>
  <si>
    <t>Kelvin</t>
  </si>
  <si>
    <t>Freisi</t>
  </si>
  <si>
    <t>Tirzah</t>
  </si>
  <si>
    <t>Kour</t>
  </si>
  <si>
    <t>Guetey</t>
  </si>
  <si>
    <t>Tony</t>
  </si>
  <si>
    <t>Gladis</t>
  </si>
  <si>
    <t>Maritza</t>
  </si>
  <si>
    <t>Alyssa</t>
  </si>
  <si>
    <t>Millard</t>
  </si>
  <si>
    <t>Samantha</t>
  </si>
  <si>
    <t>Andy</t>
  </si>
  <si>
    <t>Teshawna</t>
  </si>
  <si>
    <t>Zohorah</t>
  </si>
  <si>
    <t>Yajaira</t>
  </si>
  <si>
    <t>SAFFIE</t>
  </si>
  <si>
    <t>Harriel</t>
  </si>
  <si>
    <t>Milagros</t>
  </si>
  <si>
    <t>Luisa</t>
  </si>
  <si>
    <t>Mariela</t>
  </si>
  <si>
    <t>Pedro</t>
  </si>
  <si>
    <t>Perry</t>
  </si>
  <si>
    <t>ANA</t>
  </si>
  <si>
    <t>Al</t>
  </si>
  <si>
    <t>Aicha</t>
  </si>
  <si>
    <t>Ami</t>
  </si>
  <si>
    <t>Willeania</t>
  </si>
  <si>
    <t>Zotera</t>
  </si>
  <si>
    <t>Luis</t>
  </si>
  <si>
    <t>CELINA</t>
  </si>
  <si>
    <t>Doreen</t>
  </si>
  <si>
    <t>Talema</t>
  </si>
  <si>
    <t>Devin</t>
  </si>
  <si>
    <t>Rabia</t>
  </si>
  <si>
    <t>Eric</t>
  </si>
  <si>
    <t>Akia</t>
  </si>
  <si>
    <t>Altagracia</t>
  </si>
  <si>
    <t>DiJon</t>
  </si>
  <si>
    <t>Patricia</t>
  </si>
  <si>
    <t>Gail</t>
  </si>
  <si>
    <t>Liza</t>
  </si>
  <si>
    <t>Leidy</t>
  </si>
  <si>
    <t>Phillip</t>
  </si>
  <si>
    <t>Philip</t>
  </si>
  <si>
    <t>Velma</t>
  </si>
  <si>
    <t>Lisa</t>
  </si>
  <si>
    <t>Cristina</t>
  </si>
  <si>
    <t>Sunny</t>
  </si>
  <si>
    <t>Ian</t>
  </si>
  <si>
    <t>Vamuya</t>
  </si>
  <si>
    <t>LaSharon</t>
  </si>
  <si>
    <t>Paola</t>
  </si>
  <si>
    <t>Anizamara</t>
  </si>
  <si>
    <t>Isabel</t>
  </si>
  <si>
    <t>Shaida</t>
  </si>
  <si>
    <t>Adera</t>
  </si>
  <si>
    <t>Ruby</t>
  </si>
  <si>
    <t>Lakeya</t>
  </si>
  <si>
    <t>Fiordaliza</t>
  </si>
  <si>
    <t>Laquaysha</t>
  </si>
  <si>
    <t>Angie</t>
  </si>
  <si>
    <t>Ernesto</t>
  </si>
  <si>
    <t>Ayesha</t>
  </si>
  <si>
    <t>Leslie</t>
  </si>
  <si>
    <t>Tiffany</t>
  </si>
  <si>
    <t>Laverne</t>
  </si>
  <si>
    <t>Yahaira</t>
  </si>
  <si>
    <t>Natalie</t>
  </si>
  <si>
    <t>Anesa</t>
  </si>
  <si>
    <t>David</t>
  </si>
  <si>
    <t>Charlie</t>
  </si>
  <si>
    <t>Dahliah</t>
  </si>
  <si>
    <t>Nolma</t>
  </si>
  <si>
    <t>Tomasina</t>
  </si>
  <si>
    <t>Ofelia</t>
  </si>
  <si>
    <t>Mark</t>
  </si>
  <si>
    <t>Brandon</t>
  </si>
  <si>
    <t>Junard</t>
  </si>
  <si>
    <t>Barbara</t>
  </si>
  <si>
    <t>Rosalind</t>
  </si>
  <si>
    <t>Jacqueline</t>
  </si>
  <si>
    <t>Nyasia</t>
  </si>
  <si>
    <t>Vanessa</t>
  </si>
  <si>
    <t>Karen</t>
  </si>
  <si>
    <t>Aretta</t>
  </si>
  <si>
    <t>Dionna</t>
  </si>
  <si>
    <t>Chakima</t>
  </si>
  <si>
    <t>Keith</t>
  </si>
  <si>
    <t>Robert</t>
  </si>
  <si>
    <t>Fernando</t>
  </si>
  <si>
    <t>Venus</t>
  </si>
  <si>
    <t>Jean</t>
  </si>
  <si>
    <t>Ana</t>
  </si>
  <si>
    <t>Laye</t>
  </si>
  <si>
    <t>Tasha</t>
  </si>
  <si>
    <t>Lassana</t>
  </si>
  <si>
    <t>Yvette</t>
  </si>
  <si>
    <t>Danielle</t>
  </si>
  <si>
    <t>Denise</t>
  </si>
  <si>
    <t>Urides</t>
  </si>
  <si>
    <t>Shameeker</t>
  </si>
  <si>
    <t>LOVADO</t>
  </si>
  <si>
    <t>Donna</t>
  </si>
  <si>
    <t>Emvie</t>
  </si>
  <si>
    <t>Troy</t>
  </si>
  <si>
    <t>Winfield</t>
  </si>
  <si>
    <t>Carolyn</t>
  </si>
  <si>
    <t>Julian</t>
  </si>
  <si>
    <t>Montgomery</t>
  </si>
  <si>
    <t>Elecia</t>
  </si>
  <si>
    <t>Julie</t>
  </si>
  <si>
    <t>Aleyssa</t>
  </si>
  <si>
    <t>Paticea</t>
  </si>
  <si>
    <t>Franciscos</t>
  </si>
  <si>
    <t>James</t>
  </si>
  <si>
    <t>Annunciata</t>
  </si>
  <si>
    <t>Joe</t>
  </si>
  <si>
    <t>REGINA</t>
  </si>
  <si>
    <t>Fili</t>
  </si>
  <si>
    <t>Erasmo</t>
  </si>
  <si>
    <t>Yose</t>
  </si>
  <si>
    <t>Brian</t>
  </si>
  <si>
    <t>Kenza</t>
  </si>
  <si>
    <t>Rahmell</t>
  </si>
  <si>
    <t>Edina</t>
  </si>
  <si>
    <t>Dwayne</t>
  </si>
  <si>
    <t>Martha</t>
  </si>
  <si>
    <t>Guadalupe</t>
  </si>
  <si>
    <t>Manny</t>
  </si>
  <si>
    <t>Charles</t>
  </si>
  <si>
    <t>Evette</t>
  </si>
  <si>
    <t>Dahlia</t>
  </si>
  <si>
    <t>Oumattie</t>
  </si>
  <si>
    <t>Grey</t>
  </si>
  <si>
    <t>Shannarra</t>
  </si>
  <si>
    <t>Davon</t>
  </si>
  <si>
    <t>Rhonda</t>
  </si>
  <si>
    <t>Herbert</t>
  </si>
  <si>
    <t>Anna</t>
  </si>
  <si>
    <t>Paul</t>
  </si>
  <si>
    <t>Liesa</t>
  </si>
  <si>
    <t>Clair</t>
  </si>
  <si>
    <t>Deborah</t>
  </si>
  <si>
    <t>Wanda</t>
  </si>
  <si>
    <t>Mireveline</t>
  </si>
  <si>
    <t>Juanita</t>
  </si>
  <si>
    <t>Shafi</t>
  </si>
  <si>
    <t>Natasha</t>
  </si>
  <si>
    <t>Marie Rose</t>
  </si>
  <si>
    <t>Theodore</t>
  </si>
  <si>
    <t>Mary</t>
  </si>
  <si>
    <t>Marie</t>
  </si>
  <si>
    <t>Sam Nathan</t>
  </si>
  <si>
    <t>Bessie</t>
  </si>
  <si>
    <t>Jahanara</t>
  </si>
  <si>
    <t>Bertha</t>
  </si>
  <si>
    <t>Mohammed</t>
  </si>
  <si>
    <t>Guillermina</t>
  </si>
  <si>
    <t>Pablo</t>
  </si>
  <si>
    <t>Christine</t>
  </si>
  <si>
    <t>Yvonne</t>
  </si>
  <si>
    <t>Joan</t>
  </si>
  <si>
    <t>Ilmi</t>
  </si>
  <si>
    <t>Traci</t>
  </si>
  <si>
    <t>Magdaleno</t>
  </si>
  <si>
    <t>Winston</t>
  </si>
  <si>
    <t>Rochelle</t>
  </si>
  <si>
    <t>Terrence</t>
  </si>
  <si>
    <t>Shontae</t>
  </si>
  <si>
    <t>Roland</t>
  </si>
  <si>
    <t>Claire</t>
  </si>
  <si>
    <t>Tyrell</t>
  </si>
  <si>
    <t>Osbaldo</t>
  </si>
  <si>
    <t>Gelean</t>
  </si>
  <si>
    <t>Helen</t>
  </si>
  <si>
    <t>Heidi</t>
  </si>
  <si>
    <t>Renee</t>
  </si>
  <si>
    <t>Alicia</t>
  </si>
  <si>
    <t>Andrea</t>
  </si>
  <si>
    <t>Bonnie</t>
  </si>
  <si>
    <t>Unis</t>
  </si>
  <si>
    <t>Valerie</t>
  </si>
  <si>
    <t>Leonor</t>
  </si>
  <si>
    <t>Philimina</t>
  </si>
  <si>
    <t>Ada</t>
  </si>
  <si>
    <t>Monique</t>
  </si>
  <si>
    <t>Bernis</t>
  </si>
  <si>
    <t>Sheena</t>
  </si>
  <si>
    <t>Judy</t>
  </si>
  <si>
    <t>Janice</t>
  </si>
  <si>
    <t>Claudette</t>
  </si>
  <si>
    <t>Gwendolyn</t>
  </si>
  <si>
    <t>Rose</t>
  </si>
  <si>
    <t>Antonette</t>
  </si>
  <si>
    <t>Abdul</t>
  </si>
  <si>
    <t>Mildred</t>
  </si>
  <si>
    <t>Vilma</t>
  </si>
  <si>
    <t>Margaret</t>
  </si>
  <si>
    <t>Lulumae</t>
  </si>
  <si>
    <t>Joseph</t>
  </si>
  <si>
    <t>Shauna</t>
  </si>
  <si>
    <t>Raymond</t>
  </si>
  <si>
    <t>Garry</t>
  </si>
  <si>
    <t>Nnamdi</t>
  </si>
  <si>
    <t>Myahdellese</t>
  </si>
  <si>
    <t>Esther</t>
  </si>
  <si>
    <t>Yolanda</t>
  </si>
  <si>
    <t>Baldwin</t>
  </si>
  <si>
    <t>Clinton</t>
  </si>
  <si>
    <t>Javier</t>
  </si>
  <si>
    <t>Wayne</t>
  </si>
  <si>
    <t>Beatrice</t>
  </si>
  <si>
    <t>Tracy</t>
  </si>
  <si>
    <t>Carson</t>
  </si>
  <si>
    <t>Dennis</t>
  </si>
  <si>
    <t>Nicole</t>
  </si>
  <si>
    <t>Richardo</t>
  </si>
  <si>
    <t>Justin</t>
  </si>
  <si>
    <t>Tynisha</t>
  </si>
  <si>
    <t>Leila</t>
  </si>
  <si>
    <t>Elgiva</t>
  </si>
  <si>
    <t>Sada</t>
  </si>
  <si>
    <t>Joy</t>
  </si>
  <si>
    <t>Khadja</t>
  </si>
  <si>
    <t>Malika</t>
  </si>
  <si>
    <t>Lloyd</t>
  </si>
  <si>
    <t>Daniel</t>
  </si>
  <si>
    <t>Tyrice</t>
  </si>
  <si>
    <t>Brenda</t>
  </si>
  <si>
    <t>Loretta</t>
  </si>
  <si>
    <t>Georgette</t>
  </si>
  <si>
    <t>Lanet</t>
  </si>
  <si>
    <t>Sharee</t>
  </si>
  <si>
    <t>Glenda</t>
  </si>
  <si>
    <t>Nekisha</t>
  </si>
  <si>
    <t>Eladio</t>
  </si>
  <si>
    <t>Toni</t>
  </si>
  <si>
    <t>Zaida</t>
  </si>
  <si>
    <t>Ronilyn</t>
  </si>
  <si>
    <t>Muriel</t>
  </si>
  <si>
    <t>Nashaun</t>
  </si>
  <si>
    <t>Catherine</t>
  </si>
  <si>
    <t>Gisela</t>
  </si>
  <si>
    <t>Evan</t>
  </si>
  <si>
    <t>Jack</t>
  </si>
  <si>
    <t>Hermione</t>
  </si>
  <si>
    <t>Mohasson</t>
  </si>
  <si>
    <t>Annette</t>
  </si>
  <si>
    <t>Khadiga</t>
  </si>
  <si>
    <t>Ali</t>
  </si>
  <si>
    <t>Hussain</t>
  </si>
  <si>
    <t>Naomi</t>
  </si>
  <si>
    <t>Andrew</t>
  </si>
  <si>
    <t>Madeline</t>
  </si>
  <si>
    <t>Elvis</t>
  </si>
  <si>
    <t>Hasanah</t>
  </si>
  <si>
    <t>Tafazzul</t>
  </si>
  <si>
    <t>Gillian</t>
  </si>
  <si>
    <t>Julissa</t>
  </si>
  <si>
    <t>Ernest</t>
  </si>
  <si>
    <t>Shatera</t>
  </si>
  <si>
    <t>Amadou</t>
  </si>
  <si>
    <t>Dhaiana</t>
  </si>
  <si>
    <t>Pearl</t>
  </si>
  <si>
    <t>Inocencia</t>
  </si>
  <si>
    <t>Lucille</t>
  </si>
  <si>
    <t>Emila</t>
  </si>
  <si>
    <t>Lai</t>
  </si>
  <si>
    <t>Jasmin</t>
  </si>
  <si>
    <t>Darneice</t>
  </si>
  <si>
    <t>Kouyate</t>
  </si>
  <si>
    <t>Mariama</t>
  </si>
  <si>
    <t>Patelle</t>
  </si>
  <si>
    <t>Flor</t>
  </si>
  <si>
    <t>Orlando</t>
  </si>
  <si>
    <t>Vernice</t>
  </si>
  <si>
    <t>Flavia</t>
  </si>
  <si>
    <t>Maricruz</t>
  </si>
  <si>
    <t>Unique</t>
  </si>
  <si>
    <t>Talik</t>
  </si>
  <si>
    <t>Angelica</t>
  </si>
  <si>
    <t>Marybeth</t>
  </si>
  <si>
    <t>Lamont</t>
  </si>
  <si>
    <t>Mamadou S</t>
  </si>
  <si>
    <t>Ann</t>
  </si>
  <si>
    <t>Russell</t>
  </si>
  <si>
    <t>Christina</t>
  </si>
  <si>
    <t>Gary</t>
  </si>
  <si>
    <t>Marino</t>
  </si>
  <si>
    <t>Sabina</t>
  </si>
  <si>
    <t>Susan</t>
  </si>
  <si>
    <t>Rosa</t>
  </si>
  <si>
    <t>Jeanette</t>
  </si>
  <si>
    <t>Zoila</t>
  </si>
  <si>
    <t>Mareme</t>
  </si>
  <si>
    <t>Felicita</t>
  </si>
  <si>
    <t>Jamie</t>
  </si>
  <si>
    <t>Quiriri</t>
  </si>
  <si>
    <t>Abdoulaye</t>
  </si>
  <si>
    <t>Charletta</t>
  </si>
  <si>
    <t>Tammi</t>
  </si>
  <si>
    <t>Jim</t>
  </si>
  <si>
    <t>Shasha</t>
  </si>
  <si>
    <t>Josefina</t>
  </si>
  <si>
    <t>Alejandro</t>
  </si>
  <si>
    <t>Lori</t>
  </si>
  <si>
    <t>Shawn</t>
  </si>
  <si>
    <t>Patricia Ann</t>
  </si>
  <si>
    <t>Tandeka</t>
  </si>
  <si>
    <t>Meg</t>
  </si>
  <si>
    <t>Lourdes</t>
  </si>
  <si>
    <t>June</t>
  </si>
  <si>
    <t>Derrell</t>
  </si>
  <si>
    <t>Vincent</t>
  </si>
  <si>
    <t>Aisha</t>
  </si>
  <si>
    <t>Mollie</t>
  </si>
  <si>
    <t>Linda</t>
  </si>
  <si>
    <t>Yolmarys</t>
  </si>
  <si>
    <t>Huijun</t>
  </si>
  <si>
    <t>Kwaiming</t>
  </si>
  <si>
    <t>Jin Yu</t>
  </si>
  <si>
    <t>Scott</t>
  </si>
  <si>
    <t>Mei Fang</t>
  </si>
  <si>
    <t>Sybil</t>
  </si>
  <si>
    <t>Liliana</t>
  </si>
  <si>
    <t>Brittany</t>
  </si>
  <si>
    <t>Ethel</t>
  </si>
  <si>
    <t>Derrilynn</t>
  </si>
  <si>
    <t>Anaja</t>
  </si>
  <si>
    <t>Gamilah</t>
  </si>
  <si>
    <t>Taniqua</t>
  </si>
  <si>
    <t>Lilliana</t>
  </si>
  <si>
    <t>Sara</t>
  </si>
  <si>
    <t>Ofidia</t>
  </si>
  <si>
    <t>Nora</t>
  </si>
  <si>
    <t>Dorothy</t>
  </si>
  <si>
    <t>Ryan</t>
  </si>
  <si>
    <t>Melba</t>
  </si>
  <si>
    <t>Darlene</t>
  </si>
  <si>
    <t>Lap King</t>
  </si>
  <si>
    <t>Xiu</t>
  </si>
  <si>
    <t>Mei</t>
  </si>
  <si>
    <t>Kenya</t>
  </si>
  <si>
    <t>Leigha</t>
  </si>
  <si>
    <t>Geoffrey</t>
  </si>
  <si>
    <t>Zoraya</t>
  </si>
  <si>
    <t>Bienvenido</t>
  </si>
  <si>
    <t>Marina</t>
  </si>
  <si>
    <t>Alma</t>
  </si>
  <si>
    <t>Daquwane</t>
  </si>
  <si>
    <t>Berenica</t>
  </si>
  <si>
    <t>Laqinza</t>
  </si>
  <si>
    <t>Dolores</t>
  </si>
  <si>
    <t>Bacilia</t>
  </si>
  <si>
    <t>Veda</t>
  </si>
  <si>
    <t>Nettie</t>
  </si>
  <si>
    <t>Tannie</t>
  </si>
  <si>
    <t>Clotilde</t>
  </si>
  <si>
    <t>Darryl</t>
  </si>
  <si>
    <t>Latrice</t>
  </si>
  <si>
    <t>Leopoldo</t>
  </si>
  <si>
    <t>Miriam</t>
  </si>
  <si>
    <t>Betty</t>
  </si>
  <si>
    <t>Gus</t>
  </si>
  <si>
    <t>Stason</t>
  </si>
  <si>
    <t>Vetora</t>
  </si>
  <si>
    <t>Ysabel</t>
  </si>
  <si>
    <t>Peter</t>
  </si>
  <si>
    <t>Maritsa</t>
  </si>
  <si>
    <t>Tara</t>
  </si>
  <si>
    <t>Norman</t>
  </si>
  <si>
    <t>Rolette</t>
  </si>
  <si>
    <t>Yoalia</t>
  </si>
  <si>
    <t>Aneris</t>
  </si>
  <si>
    <t>Mario</t>
  </si>
  <si>
    <t>Cecilia</t>
  </si>
  <si>
    <t>Orline</t>
  </si>
  <si>
    <t>Reesa</t>
  </si>
  <si>
    <t>Frances</t>
  </si>
  <si>
    <t>Corina</t>
  </si>
  <si>
    <t>Alice</t>
  </si>
  <si>
    <t>Blanca</t>
  </si>
  <si>
    <t>Geraldine</t>
  </si>
  <si>
    <t>Adriana</t>
  </si>
  <si>
    <t>Dominique</t>
  </si>
  <si>
    <t>Khaloud</t>
  </si>
  <si>
    <t>Annmarie</t>
  </si>
  <si>
    <t>Grammatiki</t>
  </si>
  <si>
    <t>Rasheedah</t>
  </si>
  <si>
    <t>Alba</t>
  </si>
  <si>
    <t>Eliana</t>
  </si>
  <si>
    <t>Jackelin</t>
  </si>
  <si>
    <t>Nelly</t>
  </si>
  <si>
    <t>Zsuzsanna</t>
  </si>
  <si>
    <t>Loriana</t>
  </si>
  <si>
    <t>Joann</t>
  </si>
  <si>
    <t>Argenis</t>
  </si>
  <si>
    <t>Chenequa</t>
  </si>
  <si>
    <t>Alisha</t>
  </si>
  <si>
    <t>Terry</t>
  </si>
  <si>
    <t>Nikyiah</t>
  </si>
  <si>
    <t>Kuntie</t>
  </si>
  <si>
    <t>Sintia</t>
  </si>
  <si>
    <t>Amy</t>
  </si>
  <si>
    <t>Avril</t>
  </si>
  <si>
    <t>Terrall</t>
  </si>
  <si>
    <t>Jamel</t>
  </si>
  <si>
    <t>Bernal</t>
  </si>
  <si>
    <t>Aurelinda</t>
  </si>
  <si>
    <t>Selena</t>
  </si>
  <si>
    <t>Francella</t>
  </si>
  <si>
    <t>Jackeline</t>
  </si>
  <si>
    <t>Robin</t>
  </si>
  <si>
    <t>Ingrid</t>
  </si>
  <si>
    <t>Eileen</t>
  </si>
  <si>
    <t>Aurora</t>
  </si>
  <si>
    <t>Miliana</t>
  </si>
  <si>
    <t>Xavier</t>
  </si>
  <si>
    <t>Ruben</t>
  </si>
  <si>
    <t>Nasgina</t>
  </si>
  <si>
    <t>Brittney</t>
  </si>
  <si>
    <t>Eugene</t>
  </si>
  <si>
    <t>Hank</t>
  </si>
  <si>
    <t>Yudy</t>
  </si>
  <si>
    <t>Basmattie</t>
  </si>
  <si>
    <t>Tamara</t>
  </si>
  <si>
    <t>Juliana</t>
  </si>
  <si>
    <t>Arturo</t>
  </si>
  <si>
    <t>Leonard</t>
  </si>
  <si>
    <t>Nizam</t>
  </si>
  <si>
    <t>Merrian</t>
  </si>
  <si>
    <t>Felicha</t>
  </si>
  <si>
    <t>Joanne</t>
  </si>
  <si>
    <t>Jasmine</t>
  </si>
  <si>
    <t>Rowson</t>
  </si>
  <si>
    <t>Allen</t>
  </si>
  <si>
    <t>Josephine</t>
  </si>
  <si>
    <t>Arthur</t>
  </si>
  <si>
    <t>Beenu</t>
  </si>
  <si>
    <t>Charline</t>
  </si>
  <si>
    <t>Iyanna</t>
  </si>
  <si>
    <t>Amber</t>
  </si>
  <si>
    <t>Shawntell</t>
  </si>
  <si>
    <t>Rosetta</t>
  </si>
  <si>
    <t>Dilara</t>
  </si>
  <si>
    <t>Valeria</t>
  </si>
  <si>
    <t>Lanita</t>
  </si>
  <si>
    <t>Mahawa</t>
  </si>
  <si>
    <t>Lachandra</t>
  </si>
  <si>
    <t>Atisha</t>
  </si>
  <si>
    <t>Dallas</t>
  </si>
  <si>
    <t>Jerry</t>
  </si>
  <si>
    <t>Itorobong</t>
  </si>
  <si>
    <t>Derrick</t>
  </si>
  <si>
    <t>Latesha</t>
  </si>
  <si>
    <t>Devona</t>
  </si>
  <si>
    <t>Anacelia</t>
  </si>
  <si>
    <t>Iftikhar</t>
  </si>
  <si>
    <t>Karline</t>
  </si>
  <si>
    <t>Michaelle</t>
  </si>
  <si>
    <t>Michelle</t>
  </si>
  <si>
    <t>Leonardo</t>
  </si>
  <si>
    <t>Tonesha</t>
  </si>
  <si>
    <t>Roseann</t>
  </si>
  <si>
    <t>Janet</t>
  </si>
  <si>
    <t>Mohamed</t>
  </si>
  <si>
    <t>Alla</t>
  </si>
  <si>
    <t>Jesus</t>
  </si>
  <si>
    <t>Elias</t>
  </si>
  <si>
    <t>Leanna</t>
  </si>
  <si>
    <t>Cory</t>
  </si>
  <si>
    <t>Pamela</t>
  </si>
  <si>
    <t>Mirlande</t>
  </si>
  <si>
    <t>Majorie</t>
  </si>
  <si>
    <t>Muhammad</t>
  </si>
  <si>
    <t>Shiniqua</t>
  </si>
  <si>
    <t>Farzana</t>
  </si>
  <si>
    <t>Maryse</t>
  </si>
  <si>
    <t>Silvia</t>
  </si>
  <si>
    <t>Tudor</t>
  </si>
  <si>
    <t>Doris</t>
  </si>
  <si>
    <t>Mushiev</t>
  </si>
  <si>
    <t>Oscar</t>
  </si>
  <si>
    <t>Sabrina</t>
  </si>
  <si>
    <t>Julia</t>
  </si>
  <si>
    <t>Villanzaca</t>
  </si>
  <si>
    <t>Letitia</t>
  </si>
  <si>
    <t>Shadira</t>
  </si>
  <si>
    <t>Trina</t>
  </si>
  <si>
    <t>Carla</t>
  </si>
  <si>
    <t>Neil</t>
  </si>
  <si>
    <t>Kerry</t>
  </si>
  <si>
    <t>Judith</t>
  </si>
  <si>
    <t>Cassia</t>
  </si>
  <si>
    <t>Carmen</t>
  </si>
  <si>
    <t>Marietta</t>
  </si>
  <si>
    <t>Veronica</t>
  </si>
  <si>
    <t>Keanna</t>
  </si>
  <si>
    <t>Jaime</t>
  </si>
  <si>
    <t>Rita</t>
  </si>
  <si>
    <t>Earline</t>
  </si>
  <si>
    <t>Latisha</t>
  </si>
  <si>
    <t>Xiomara</t>
  </si>
  <si>
    <t>Bano</t>
  </si>
  <si>
    <t>Tracey</t>
  </si>
  <si>
    <t>Dardai</t>
  </si>
  <si>
    <t>Jully</t>
  </si>
  <si>
    <t>Liz</t>
  </si>
  <si>
    <t>Fariha</t>
  </si>
  <si>
    <t>Nidia</t>
  </si>
  <si>
    <t>Dallan</t>
  </si>
  <si>
    <t>Roy</t>
  </si>
  <si>
    <t>Norly</t>
  </si>
  <si>
    <t>Leelofar</t>
  </si>
  <si>
    <t>Clara</t>
  </si>
  <si>
    <t>Melida</t>
  </si>
  <si>
    <t>Emma</t>
  </si>
  <si>
    <t>Garland</t>
  </si>
  <si>
    <t>Latishia</t>
  </si>
  <si>
    <t>Courtney</t>
  </si>
  <si>
    <t>Jan</t>
  </si>
  <si>
    <t>Sauquana</t>
  </si>
  <si>
    <t>Shawnette</t>
  </si>
  <si>
    <t>Violet</t>
  </si>
  <si>
    <t>Jaleesa</t>
  </si>
  <si>
    <t>Grace</t>
  </si>
  <si>
    <t>Shameka</t>
  </si>
  <si>
    <t>Lencola</t>
  </si>
  <si>
    <t>Kailani</t>
  </si>
  <si>
    <t>Jason</t>
  </si>
  <si>
    <t>Esau</t>
  </si>
  <si>
    <t>Alfred</t>
  </si>
  <si>
    <t>Nandanie</t>
  </si>
  <si>
    <t>MD</t>
  </si>
  <si>
    <t>Ralph</t>
  </si>
  <si>
    <t>Tiara</t>
  </si>
  <si>
    <t>Deneisha</t>
  </si>
  <si>
    <t>Serena</t>
  </si>
  <si>
    <t>Maazneen</t>
  </si>
  <si>
    <t>Olga</t>
  </si>
  <si>
    <t>Francis</t>
  </si>
  <si>
    <t>Pierre</t>
  </si>
  <si>
    <t>Abdel</t>
  </si>
  <si>
    <t>Elexa</t>
  </si>
  <si>
    <t>William</t>
  </si>
  <si>
    <t>Katrina</t>
  </si>
  <si>
    <t>Bechzad</t>
  </si>
  <si>
    <t>Raju</t>
  </si>
  <si>
    <t>Jogui</t>
  </si>
  <si>
    <t>Oswaldo</t>
  </si>
  <si>
    <t>Alissa</t>
  </si>
  <si>
    <t>Marilyn</t>
  </si>
  <si>
    <t>Axel</t>
  </si>
  <si>
    <t>Ayman</t>
  </si>
  <si>
    <t>LeShawn</t>
  </si>
  <si>
    <t>Compton</t>
  </si>
  <si>
    <t>Lanette</t>
  </si>
  <si>
    <t>Giovanni</t>
  </si>
  <si>
    <t>Natacha</t>
  </si>
  <si>
    <t>Claudia</t>
  </si>
  <si>
    <t>Elisa</t>
  </si>
  <si>
    <t>Nedra</t>
  </si>
  <si>
    <t>Marjorie</t>
  </si>
  <si>
    <t>Lauren</t>
  </si>
  <si>
    <t>Jada</t>
  </si>
  <si>
    <t>Dawn</t>
  </si>
  <si>
    <t>Lola</t>
  </si>
  <si>
    <t>Fantasia</t>
  </si>
  <si>
    <t>Cathy</t>
  </si>
  <si>
    <t>Mary Sue</t>
  </si>
  <si>
    <t>Waseem</t>
  </si>
  <si>
    <t>Kitora</t>
  </si>
  <si>
    <t>Tesha</t>
  </si>
  <si>
    <t>John</t>
  </si>
  <si>
    <t>Nykemia</t>
  </si>
  <si>
    <t>Yesenia</t>
  </si>
  <si>
    <t>Luigi</t>
  </si>
  <si>
    <t>Francisca</t>
  </si>
  <si>
    <t>Toinethia</t>
  </si>
  <si>
    <t>Felicia</t>
  </si>
  <si>
    <t>Semone</t>
  </si>
  <si>
    <t>Victoria</t>
  </si>
  <si>
    <t>Lakysha</t>
  </si>
  <si>
    <t>Francisco</t>
  </si>
  <si>
    <t>Jessie</t>
  </si>
  <si>
    <t>Paulino</t>
  </si>
  <si>
    <t>Lopez</t>
  </si>
  <si>
    <t>Greenwald</t>
  </si>
  <si>
    <t>Griffin</t>
  </si>
  <si>
    <t>Herrera</t>
  </si>
  <si>
    <t>Montalvo</t>
  </si>
  <si>
    <t>King</t>
  </si>
  <si>
    <t>Reyes</t>
  </si>
  <si>
    <t>Guzman</t>
  </si>
  <si>
    <t>Ortiz Fulgencio</t>
  </si>
  <si>
    <t>Sanchez</t>
  </si>
  <si>
    <t>Cruz</t>
  </si>
  <si>
    <t>Ward</t>
  </si>
  <si>
    <t>Clark</t>
  </si>
  <si>
    <t>Banks</t>
  </si>
  <si>
    <t>Gonzalez</t>
  </si>
  <si>
    <t>Garcia</t>
  </si>
  <si>
    <t>Kendall</t>
  </si>
  <si>
    <t>Sepulveda</t>
  </si>
  <si>
    <t>Sow</t>
  </si>
  <si>
    <t>Sepuya</t>
  </si>
  <si>
    <t>Santiago</t>
  </si>
  <si>
    <t>Rosado</t>
  </si>
  <si>
    <t>Morales Jacobo</t>
  </si>
  <si>
    <t>Hill</t>
  </si>
  <si>
    <t>Rodriguez</t>
  </si>
  <si>
    <t>Cortes</t>
  </si>
  <si>
    <t>Moncion</t>
  </si>
  <si>
    <t>Shand</t>
  </si>
  <si>
    <t>Henderson</t>
  </si>
  <si>
    <t>Jiles</t>
  </si>
  <si>
    <t>Hutaf</t>
  </si>
  <si>
    <t>Matos</t>
  </si>
  <si>
    <t>Johnson</t>
  </si>
  <si>
    <t>Marks</t>
  </si>
  <si>
    <t>Garzon</t>
  </si>
  <si>
    <t>Ortiz</t>
  </si>
  <si>
    <t>Batista</t>
  </si>
  <si>
    <t>Appleton</t>
  </si>
  <si>
    <t>Chacon</t>
  </si>
  <si>
    <t>Lewis</t>
  </si>
  <si>
    <t>Goldfeld</t>
  </si>
  <si>
    <t>Almonte</t>
  </si>
  <si>
    <t>Bieo</t>
  </si>
  <si>
    <t>Geronimo</t>
  </si>
  <si>
    <t>Sanroh</t>
  </si>
  <si>
    <t>McNeil</t>
  </si>
  <si>
    <t>Hairston</t>
  </si>
  <si>
    <t>Johannes</t>
  </si>
  <si>
    <t>Wallace</t>
  </si>
  <si>
    <t>Muñiz</t>
  </si>
  <si>
    <t>Cabrera</t>
  </si>
  <si>
    <t>Balbuena</t>
  </si>
  <si>
    <t>Ragin</t>
  </si>
  <si>
    <t>Espinal</t>
  </si>
  <si>
    <t>Perez</t>
  </si>
  <si>
    <t>Gonzalez Henriquez</t>
  </si>
  <si>
    <t>Duarte</t>
  </si>
  <si>
    <t>Caputo</t>
  </si>
  <si>
    <t>Dixon</t>
  </si>
  <si>
    <t>Cedeno</t>
  </si>
  <si>
    <t>Grayson</t>
  </si>
  <si>
    <t>Price</t>
  </si>
  <si>
    <t>Tavera</t>
  </si>
  <si>
    <t>Amador</t>
  </si>
  <si>
    <t>Hernandez</t>
  </si>
  <si>
    <t>Matias</t>
  </si>
  <si>
    <t>Montanez</t>
  </si>
  <si>
    <t>Caraballo</t>
  </si>
  <si>
    <t>Law</t>
  </si>
  <si>
    <t>Kwarteng</t>
  </si>
  <si>
    <t>martinez</t>
  </si>
  <si>
    <t>Thiam</t>
  </si>
  <si>
    <t>Tsai</t>
  </si>
  <si>
    <t>Susana</t>
  </si>
  <si>
    <t>Basora</t>
  </si>
  <si>
    <t>Petrie</t>
  </si>
  <si>
    <t>Calderon</t>
  </si>
  <si>
    <t>Rivera</t>
  </si>
  <si>
    <t>Diaz</t>
  </si>
  <si>
    <t>Davis</t>
  </si>
  <si>
    <t>Abadias</t>
  </si>
  <si>
    <t>Mejias</t>
  </si>
  <si>
    <t>Morante</t>
  </si>
  <si>
    <t>Ramirez</t>
  </si>
  <si>
    <t>Young</t>
  </si>
  <si>
    <t>Sweeting</t>
  </si>
  <si>
    <t>De Reynoso</t>
  </si>
  <si>
    <t>Collazo</t>
  </si>
  <si>
    <t>Collado</t>
  </si>
  <si>
    <t>DelaCruz</t>
  </si>
  <si>
    <t>DeJesus</t>
  </si>
  <si>
    <t>Duodo</t>
  </si>
  <si>
    <t>Disla</t>
  </si>
  <si>
    <t>Pitchai</t>
  </si>
  <si>
    <t>Mears</t>
  </si>
  <si>
    <t>Jimenez</t>
  </si>
  <si>
    <t>Solis</t>
  </si>
  <si>
    <t>Camacho</t>
  </si>
  <si>
    <t>Figueroa</t>
  </si>
  <si>
    <t>Kirk</t>
  </si>
  <si>
    <t>Fields</t>
  </si>
  <si>
    <t>Dominguez</t>
  </si>
  <si>
    <t>Dzaba</t>
  </si>
  <si>
    <t>Borden</t>
  </si>
  <si>
    <t>Deveaux</t>
  </si>
  <si>
    <t>Espinal Rivera</t>
  </si>
  <si>
    <t>Vasquez</t>
  </si>
  <si>
    <t>Briscoe</t>
  </si>
  <si>
    <t>Agostini</t>
  </si>
  <si>
    <t>Moore-Walters</t>
  </si>
  <si>
    <t>Olivera</t>
  </si>
  <si>
    <t>Dyer</t>
  </si>
  <si>
    <t>Gomez</t>
  </si>
  <si>
    <t>Ramos</t>
  </si>
  <si>
    <t>McDaniel</t>
  </si>
  <si>
    <t>Konate</t>
  </si>
  <si>
    <t>Colon</t>
  </si>
  <si>
    <t>Mercedes Pena</t>
  </si>
  <si>
    <t>Quinones</t>
  </si>
  <si>
    <t>Troche</t>
  </si>
  <si>
    <t>Weekes</t>
  </si>
  <si>
    <t>Powell</t>
  </si>
  <si>
    <t>Ginel</t>
  </si>
  <si>
    <t>Justiniano</t>
  </si>
  <si>
    <t>Robinson</t>
  </si>
  <si>
    <t>Encarnacion</t>
  </si>
  <si>
    <t>Bautista</t>
  </si>
  <si>
    <t>Mack</t>
  </si>
  <si>
    <t>Martin</t>
  </si>
  <si>
    <t>Miah</t>
  </si>
  <si>
    <t>Martinez</t>
  </si>
  <si>
    <t>Betances</t>
  </si>
  <si>
    <t>Holmes</t>
  </si>
  <si>
    <t>Madison</t>
  </si>
  <si>
    <t>McDuffy</t>
  </si>
  <si>
    <t>Ovalle</t>
  </si>
  <si>
    <t>Carter</t>
  </si>
  <si>
    <t>Mateen</t>
  </si>
  <si>
    <t>Gibson</t>
  </si>
  <si>
    <t>Smith</t>
  </si>
  <si>
    <t>Read</t>
  </si>
  <si>
    <t>DeLaRosa</t>
  </si>
  <si>
    <t>Buchanan</t>
  </si>
  <si>
    <t>Belcher</t>
  </si>
  <si>
    <t>Torres</t>
  </si>
  <si>
    <t>Wiley</t>
  </si>
  <si>
    <t>Stukes</t>
  </si>
  <si>
    <t>Alvarado</t>
  </si>
  <si>
    <t>Howell</t>
  </si>
  <si>
    <t>Toribio Hurtado</t>
  </si>
  <si>
    <t>Brown</t>
  </si>
  <si>
    <t>Natalio</t>
  </si>
  <si>
    <t>Dokie</t>
  </si>
  <si>
    <t>Mendez</t>
  </si>
  <si>
    <t>Zapata</t>
  </si>
  <si>
    <t>Cardenas</t>
  </si>
  <si>
    <t>Clemente- De Leon</t>
  </si>
  <si>
    <t>Feliz</t>
  </si>
  <si>
    <t>Byrd</t>
  </si>
  <si>
    <t>Jaikaran</t>
  </si>
  <si>
    <t>Ayala</t>
  </si>
  <si>
    <t>Cardwell</t>
  </si>
  <si>
    <t>Thompson</t>
  </si>
  <si>
    <t>JOBE</t>
  </si>
  <si>
    <t>Negron</t>
  </si>
  <si>
    <t>Morales</t>
  </si>
  <si>
    <t>Hanley</t>
  </si>
  <si>
    <t>RODRIGUEZ</t>
  </si>
  <si>
    <t>McCutter</t>
  </si>
  <si>
    <t>Donzo</t>
  </si>
  <si>
    <t>Kake</t>
  </si>
  <si>
    <t>Wilson</t>
  </si>
  <si>
    <t>Almarante</t>
  </si>
  <si>
    <t>Rincon</t>
  </si>
  <si>
    <t>Rosario</t>
  </si>
  <si>
    <t>WILLIAMS</t>
  </si>
  <si>
    <t>Flecha</t>
  </si>
  <si>
    <t>Howard</t>
  </si>
  <si>
    <t>Quinn</t>
  </si>
  <si>
    <t>Dembele</t>
  </si>
  <si>
    <t>Ortega</t>
  </si>
  <si>
    <t>Soto</t>
  </si>
  <si>
    <t>Campbell</t>
  </si>
  <si>
    <t>Estevez Bautista</t>
  </si>
  <si>
    <t>Thornton</t>
  </si>
  <si>
    <t>Reynoso</t>
  </si>
  <si>
    <t>Kelly</t>
  </si>
  <si>
    <t>Ash</t>
  </si>
  <si>
    <t>Yeardon</t>
  </si>
  <si>
    <t>Yeadon</t>
  </si>
  <si>
    <t>Santos</t>
  </si>
  <si>
    <t>Ferrer</t>
  </si>
  <si>
    <t>Minott</t>
  </si>
  <si>
    <t>Amadis</t>
  </si>
  <si>
    <t>Fofana</t>
  </si>
  <si>
    <t>Manzueta</t>
  </si>
  <si>
    <t>Bryant</t>
  </si>
  <si>
    <t>De La Nunez</t>
  </si>
  <si>
    <t>Suarez - Brice</t>
  </si>
  <si>
    <t>motley</t>
  </si>
  <si>
    <t>Williams</t>
  </si>
  <si>
    <t>Hamilton</t>
  </si>
  <si>
    <t>Samuel</t>
  </si>
  <si>
    <t>Jones</t>
  </si>
  <si>
    <t>Vizcarrando</t>
  </si>
  <si>
    <t>Urbaez</t>
  </si>
  <si>
    <t>Alvarez</t>
  </si>
  <si>
    <t>Lajara</t>
  </si>
  <si>
    <t>Hunt</t>
  </si>
  <si>
    <t>Davis-McMillian</t>
  </si>
  <si>
    <t>Lamberts</t>
  </si>
  <si>
    <t>Fernandez</t>
  </si>
  <si>
    <t>Atwaroo</t>
  </si>
  <si>
    <t>Novas</t>
  </si>
  <si>
    <t>Otero</t>
  </si>
  <si>
    <t>Aquino</t>
  </si>
  <si>
    <t>Brooks</t>
  </si>
  <si>
    <t>Harris</t>
  </si>
  <si>
    <t>Maggiolo</t>
  </si>
  <si>
    <t>Slowley</t>
  </si>
  <si>
    <t>Monell</t>
  </si>
  <si>
    <t>Parrot</t>
  </si>
  <si>
    <t>Reeves</t>
  </si>
  <si>
    <t>Prater</t>
  </si>
  <si>
    <t>Burgess</t>
  </si>
  <si>
    <t>Waiters-Vinson</t>
  </si>
  <si>
    <t>Ingram</t>
  </si>
  <si>
    <t>Garrick</t>
  </si>
  <si>
    <t>Moreno</t>
  </si>
  <si>
    <t>Castro</t>
  </si>
  <si>
    <t>Croffet</t>
  </si>
  <si>
    <t>Lugo</t>
  </si>
  <si>
    <t>Franks</t>
  </si>
  <si>
    <t>Pichardo</t>
  </si>
  <si>
    <t>Dematos</t>
  </si>
  <si>
    <t>Camara</t>
  </si>
  <si>
    <t>Gassama</t>
  </si>
  <si>
    <t>Lebron</t>
  </si>
  <si>
    <t>Corker</t>
  </si>
  <si>
    <t>Knight</t>
  </si>
  <si>
    <t>Medina</t>
  </si>
  <si>
    <t>Simpson</t>
  </si>
  <si>
    <t>ADAMS</t>
  </si>
  <si>
    <t>Caldwell</t>
  </si>
  <si>
    <t>Padillla</t>
  </si>
  <si>
    <t>Ancrum</t>
  </si>
  <si>
    <t>Demunn</t>
  </si>
  <si>
    <t>Liner</t>
  </si>
  <si>
    <t>Gunz</t>
  </si>
  <si>
    <t>Campaigner</t>
  </si>
  <si>
    <t>Carty</t>
  </si>
  <si>
    <t>Limardo</t>
  </si>
  <si>
    <t>Vargas</t>
  </si>
  <si>
    <t>Thomas</t>
  </si>
  <si>
    <t>Soilis</t>
  </si>
  <si>
    <t>Hatcher</t>
  </si>
  <si>
    <t>Cornelius</t>
  </si>
  <si>
    <t>Grullon</t>
  </si>
  <si>
    <t>BELL</t>
  </si>
  <si>
    <t>Lazo</t>
  </si>
  <si>
    <t>Zarzuela</t>
  </si>
  <si>
    <t>Fals</t>
  </si>
  <si>
    <t>Brandy</t>
  </si>
  <si>
    <t>White</t>
  </si>
  <si>
    <t>Carrasco</t>
  </si>
  <si>
    <t>Cardoza</t>
  </si>
  <si>
    <t>Carranza</t>
  </si>
  <si>
    <t>Omage</t>
  </si>
  <si>
    <t>Hopkins</t>
  </si>
  <si>
    <t>Cruz Mejia</t>
  </si>
  <si>
    <t>Lugo-Rivera</t>
  </si>
  <si>
    <t>Watters</t>
  </si>
  <si>
    <t>Taveras</t>
  </si>
  <si>
    <t>Washington</t>
  </si>
  <si>
    <t>Morgan</t>
  </si>
  <si>
    <t>Murray</t>
  </si>
  <si>
    <t>Sandy</t>
  </si>
  <si>
    <t>Finch</t>
  </si>
  <si>
    <t>McCullough</t>
  </si>
  <si>
    <t>Plaismond</t>
  </si>
  <si>
    <t>Manning</t>
  </si>
  <si>
    <t>Degannes</t>
  </si>
  <si>
    <t>Alberique</t>
  </si>
  <si>
    <t>McGhee</t>
  </si>
  <si>
    <t>Francois</t>
  </si>
  <si>
    <t>Josama</t>
  </si>
  <si>
    <t>Anderson</t>
  </si>
  <si>
    <t>Fair</t>
  </si>
  <si>
    <t>ZZaman</t>
  </si>
  <si>
    <t>Ciuro</t>
  </si>
  <si>
    <t>Chowdhury</t>
  </si>
  <si>
    <t>Franco</t>
  </si>
  <si>
    <t>Nucci</t>
  </si>
  <si>
    <t>Sampson</t>
  </si>
  <si>
    <t>Panos</t>
  </si>
  <si>
    <t>Mehmedaj</t>
  </si>
  <si>
    <t>Higgins</t>
  </si>
  <si>
    <t>Heras</t>
  </si>
  <si>
    <t>Crespo</t>
  </si>
  <si>
    <t>Colbert</t>
  </si>
  <si>
    <t>Montiel</t>
  </si>
  <si>
    <t>Heim</t>
  </si>
  <si>
    <t>Graham</t>
  </si>
  <si>
    <t>Savage</t>
  </si>
  <si>
    <t>Ospina</t>
  </si>
  <si>
    <t>Alleyne</t>
  </si>
  <si>
    <t>McGriff</t>
  </si>
  <si>
    <t>Moss</t>
  </si>
  <si>
    <t>Peace</t>
  </si>
  <si>
    <t>Iglesias</t>
  </si>
  <si>
    <t>Magnus</t>
  </si>
  <si>
    <t>Glover</t>
  </si>
  <si>
    <t>Rosas</t>
  </si>
  <si>
    <t>Levy</t>
  </si>
  <si>
    <t>Cunningham</t>
  </si>
  <si>
    <t>Ruebenstahl</t>
  </si>
  <si>
    <t>Tanksley</t>
  </si>
  <si>
    <t>Conti</t>
  </si>
  <si>
    <t>Polanco</t>
  </si>
  <si>
    <t>Marriott</t>
  </si>
  <si>
    <t>Beckles</t>
  </si>
  <si>
    <t>Amedee-Doctrine</t>
  </si>
  <si>
    <t>Antoine</t>
  </si>
  <si>
    <t>Marksman</t>
  </si>
  <si>
    <t>Wright</t>
  </si>
  <si>
    <t>Sebro</t>
  </si>
  <si>
    <t>Georges</t>
  </si>
  <si>
    <t>Momin</t>
  </si>
  <si>
    <t>Hendrickson</t>
  </si>
  <si>
    <t>Livingstone</t>
  </si>
  <si>
    <t>Consoro</t>
  </si>
  <si>
    <t>Gardner</t>
  </si>
  <si>
    <t>Sanders</t>
  </si>
  <si>
    <t>Hartley</t>
  </si>
  <si>
    <t>Darcy</t>
  </si>
  <si>
    <t>Verret</t>
  </si>
  <si>
    <t>McClean</t>
  </si>
  <si>
    <t>Jonesw</t>
  </si>
  <si>
    <t>Kuperman</t>
  </si>
  <si>
    <t>Simmons</t>
  </si>
  <si>
    <t>Castellano</t>
  </si>
  <si>
    <t>Bing</t>
  </si>
  <si>
    <t>Ellis</t>
  </si>
  <si>
    <t>Gadson</t>
  </si>
  <si>
    <t>Chaluisant</t>
  </si>
  <si>
    <t>Benson</t>
  </si>
  <si>
    <t>Hall</t>
  </si>
  <si>
    <t>Richardson</t>
  </si>
  <si>
    <t>Cooper</t>
  </si>
  <si>
    <t>Acevedo</t>
  </si>
  <si>
    <t>Wilson-Betesh</t>
  </si>
  <si>
    <t>Hinton</t>
  </si>
  <si>
    <t>Pollard</t>
  </si>
  <si>
    <t>Douglas</t>
  </si>
  <si>
    <t>Wells-Manning</t>
  </si>
  <si>
    <t>Wong</t>
  </si>
  <si>
    <t>Woods</t>
  </si>
  <si>
    <t>Shabazz</t>
  </si>
  <si>
    <t>Newkirk</t>
  </si>
  <si>
    <t>Bekele</t>
  </si>
  <si>
    <t>Bowen</t>
  </si>
  <si>
    <t>Desmoulin</t>
  </si>
  <si>
    <t>Jeffries</t>
  </si>
  <si>
    <t>DuSauzay</t>
  </si>
  <si>
    <t>Caston</t>
  </si>
  <si>
    <t>Ombrellino</t>
  </si>
  <si>
    <t>Contreras</t>
  </si>
  <si>
    <t>Silbe</t>
  </si>
  <si>
    <t>Raiford</t>
  </si>
  <si>
    <t>Atencio</t>
  </si>
  <si>
    <t>Grosvenor</t>
  </si>
  <si>
    <t>Skolnik</t>
  </si>
  <si>
    <t>Jean Baptiste</t>
  </si>
  <si>
    <t>Favors</t>
  </si>
  <si>
    <t>Nazaire</t>
  </si>
  <si>
    <t>Lucas</t>
  </si>
  <si>
    <t>Ibrahim</t>
  </si>
  <si>
    <t>Kaid</t>
  </si>
  <si>
    <t>Abuzaid</t>
  </si>
  <si>
    <t>Ingles</t>
  </si>
  <si>
    <t>Duncan</t>
  </si>
  <si>
    <t>Jackson</t>
  </si>
  <si>
    <t>Johnnie</t>
  </si>
  <si>
    <t>Denis</t>
  </si>
  <si>
    <t>Lenkovskaya</t>
  </si>
  <si>
    <t>Nunez</t>
  </si>
  <si>
    <t>Abdul-Mani</t>
  </si>
  <si>
    <t>Harley</t>
  </si>
  <si>
    <t>Greene</t>
  </si>
  <si>
    <t>Leak</t>
  </si>
  <si>
    <t>Barry</t>
  </si>
  <si>
    <t>Morillo</t>
  </si>
  <si>
    <t>Valdez</t>
  </si>
  <si>
    <t>Prentice</t>
  </si>
  <si>
    <t>Puente</t>
  </si>
  <si>
    <t>Bastista</t>
  </si>
  <si>
    <t>Do</t>
  </si>
  <si>
    <t>Coleman</t>
  </si>
  <si>
    <t>Foster</t>
  </si>
  <si>
    <t>Gaoussou</t>
  </si>
  <si>
    <t>Drammeh</t>
  </si>
  <si>
    <t>Fearon</t>
  </si>
  <si>
    <t>Moina</t>
  </si>
  <si>
    <t>Madero</t>
  </si>
  <si>
    <t>Newland</t>
  </si>
  <si>
    <t>Parker</t>
  </si>
  <si>
    <t>Leon</t>
  </si>
  <si>
    <t>Black</t>
  </si>
  <si>
    <t>Mance</t>
  </si>
  <si>
    <t>Chisom</t>
  </si>
  <si>
    <t>Damico</t>
  </si>
  <si>
    <t>Paulin</t>
  </si>
  <si>
    <t>Bah</t>
  </si>
  <si>
    <t>Pearson</t>
  </si>
  <si>
    <t>Goodine</t>
  </si>
  <si>
    <t>Connolly</t>
  </si>
  <si>
    <t>DelaRosa</t>
  </si>
  <si>
    <t>Whitehead</t>
  </si>
  <si>
    <t>Curet</t>
  </si>
  <si>
    <t>Danzy</t>
  </si>
  <si>
    <t>Woody</t>
  </si>
  <si>
    <t>Pena</t>
  </si>
  <si>
    <t>Seaward</t>
  </si>
  <si>
    <t>Evans</t>
  </si>
  <si>
    <t>Seck</t>
  </si>
  <si>
    <t>Bonifacio</t>
  </si>
  <si>
    <t>Rodriguez Suero</t>
  </si>
  <si>
    <t>Diallo</t>
  </si>
  <si>
    <t>Dailey</t>
  </si>
  <si>
    <t>Fouratt</t>
  </si>
  <si>
    <t>Corte Vasquez</t>
  </si>
  <si>
    <t>Carrasquillo</t>
  </si>
  <si>
    <t>Yang</t>
  </si>
  <si>
    <t>Tavarez</t>
  </si>
  <si>
    <t>Laing</t>
  </si>
  <si>
    <t>Jenkins</t>
  </si>
  <si>
    <t>Peek</t>
  </si>
  <si>
    <t>Moleah</t>
  </si>
  <si>
    <t>Orourke</t>
  </si>
  <si>
    <t>Villanueva</t>
  </si>
  <si>
    <t>Epps</t>
  </si>
  <si>
    <t>Kingsberry</t>
  </si>
  <si>
    <t>Weaver</t>
  </si>
  <si>
    <t>Pinckney</t>
  </si>
  <si>
    <t>Capriata</t>
  </si>
  <si>
    <t>Ye</t>
  </si>
  <si>
    <t>Choy</t>
  </si>
  <si>
    <t>Wang</t>
  </si>
  <si>
    <t>Neat</t>
  </si>
  <si>
    <t>Falet</t>
  </si>
  <si>
    <t>Flores</t>
  </si>
  <si>
    <t>Lunas</t>
  </si>
  <si>
    <t>Kluge</t>
  </si>
  <si>
    <t>Porter</t>
  </si>
  <si>
    <t>Bates</t>
  </si>
  <si>
    <t>Moreta</t>
  </si>
  <si>
    <t>Nagy</t>
  </si>
  <si>
    <t>Presley</t>
  </si>
  <si>
    <t>Grove</t>
  </si>
  <si>
    <t>Solomon</t>
  </si>
  <si>
    <t>Hicks</t>
  </si>
  <si>
    <t>Murphy</t>
  </si>
  <si>
    <t>Chan</t>
  </si>
  <si>
    <t>Liu</t>
  </si>
  <si>
    <t>Zheng</t>
  </si>
  <si>
    <t>Johnson-Freeman</t>
  </si>
  <si>
    <t>Legins</t>
  </si>
  <si>
    <t>Payton</t>
  </si>
  <si>
    <t>Garrido</t>
  </si>
  <si>
    <t>Irick</t>
  </si>
  <si>
    <t>Peralta</t>
  </si>
  <si>
    <t>Tirado</t>
  </si>
  <si>
    <t>Marquez</t>
  </si>
  <si>
    <t>De los Santos Mendez</t>
  </si>
  <si>
    <t>Wood</t>
  </si>
  <si>
    <t>Rojas</t>
  </si>
  <si>
    <t>Splunge</t>
  </si>
  <si>
    <t>Theodoro</t>
  </si>
  <si>
    <t>Sutton</t>
  </si>
  <si>
    <t>Suarrez</t>
  </si>
  <si>
    <t>Barr</t>
  </si>
  <si>
    <t>Brightbill</t>
  </si>
  <si>
    <t>Bey</t>
  </si>
  <si>
    <t>Sundar</t>
  </si>
  <si>
    <t>Suero</t>
  </si>
  <si>
    <t>Kopelowitz</t>
  </si>
  <si>
    <t>Largo</t>
  </si>
  <si>
    <t>O'Connor</t>
  </si>
  <si>
    <t>Longren</t>
  </si>
  <si>
    <t>Hoishman</t>
  </si>
  <si>
    <t>Robles</t>
  </si>
  <si>
    <t>Toussaint</t>
  </si>
  <si>
    <t>Porras</t>
  </si>
  <si>
    <t>Riley</t>
  </si>
  <si>
    <t>Apostol</t>
  </si>
  <si>
    <t>Meyers</t>
  </si>
  <si>
    <t>Gerrero</t>
  </si>
  <si>
    <t>Ferrebee</t>
  </si>
  <si>
    <t>Khalid</t>
  </si>
  <si>
    <t>Dhana</t>
  </si>
  <si>
    <t>Tsatsani</t>
  </si>
  <si>
    <t>Omar</t>
  </si>
  <si>
    <t>Corcino</t>
  </si>
  <si>
    <t>Lantigua</t>
  </si>
  <si>
    <t>Oviedo</t>
  </si>
  <si>
    <t>Castillo</t>
  </si>
  <si>
    <t>Gonzalez Peralta</t>
  </si>
  <si>
    <t>Migues</t>
  </si>
  <si>
    <t>Landi</t>
  </si>
  <si>
    <t>Hidegfoldi</t>
  </si>
  <si>
    <t>DeLacruz</t>
  </si>
  <si>
    <t>Jefferson</t>
  </si>
  <si>
    <t>Spinos</t>
  </si>
  <si>
    <t>Graniela</t>
  </si>
  <si>
    <t>Chambers</t>
  </si>
  <si>
    <t>Homeyer</t>
  </si>
  <si>
    <t>Gaspar</t>
  </si>
  <si>
    <t>Bennett</t>
  </si>
  <si>
    <t>Nicholas</t>
  </si>
  <si>
    <t>Roberts</t>
  </si>
  <si>
    <t>Madraveren</t>
  </si>
  <si>
    <t>Trantham</t>
  </si>
  <si>
    <t>Drummond</t>
  </si>
  <si>
    <t>Smalls</t>
  </si>
  <si>
    <t>Wells</t>
  </si>
  <si>
    <t>Belmosa</t>
  </si>
  <si>
    <t>Middleton</t>
  </si>
  <si>
    <t>Welch</t>
  </si>
  <si>
    <t>Cuevas</t>
  </si>
  <si>
    <t>Witcher</t>
  </si>
  <si>
    <t>Maxwell</t>
  </si>
  <si>
    <t>Matthews</t>
  </si>
  <si>
    <t>Duffer-Ordonez</t>
  </si>
  <si>
    <t>Ferguson</t>
  </si>
  <si>
    <t>Mitrov</t>
  </si>
  <si>
    <t>Govea</t>
  </si>
  <si>
    <t>Rivas</t>
  </si>
  <si>
    <t>Mashriqui</t>
  </si>
  <si>
    <t>Adams</t>
  </si>
  <si>
    <t>Dillon</t>
  </si>
  <si>
    <t>Poulson</t>
  </si>
  <si>
    <t>De Ricco</t>
  </si>
  <si>
    <t>Ramrathan</t>
  </si>
  <si>
    <t>Khaimova</t>
  </si>
  <si>
    <t>Salguero</t>
  </si>
  <si>
    <t>Xelo</t>
  </si>
  <si>
    <t>Kadisha</t>
  </si>
  <si>
    <t>Uddin</t>
  </si>
  <si>
    <t>Mulabay</t>
  </si>
  <si>
    <t>Gaillard</t>
  </si>
  <si>
    <t>Dadwah</t>
  </si>
  <si>
    <t>Guevara</t>
  </si>
  <si>
    <t>Levine</t>
  </si>
  <si>
    <t>Cartagena</t>
  </si>
  <si>
    <t>Vaswani</t>
  </si>
  <si>
    <t>Galindo</t>
  </si>
  <si>
    <t>Braunstein</t>
  </si>
  <si>
    <t>Aponte</t>
  </si>
  <si>
    <t>Whitely</t>
  </si>
  <si>
    <t>Cramer</t>
  </si>
  <si>
    <t>Lawrence</t>
  </si>
  <si>
    <t>Ricketts</t>
  </si>
  <si>
    <t>Kilikci</t>
  </si>
  <si>
    <t>Teekaram</t>
  </si>
  <si>
    <t>Sacko</t>
  </si>
  <si>
    <t>Firoz</t>
  </si>
  <si>
    <t>Mills</t>
  </si>
  <si>
    <t>Ekpo</t>
  </si>
  <si>
    <t>Chisolm</t>
  </si>
  <si>
    <t>Rasool</t>
  </si>
  <si>
    <t>Ramsey</t>
  </si>
  <si>
    <t>Serevine-Louis</t>
  </si>
  <si>
    <t>Velez</t>
  </si>
  <si>
    <t>Fantini</t>
  </si>
  <si>
    <t>Taylor</t>
  </si>
  <si>
    <t>LLanos</t>
  </si>
  <si>
    <t>Alongi</t>
  </si>
  <si>
    <t>Shanks</t>
  </si>
  <si>
    <t>Espinoza</t>
  </si>
  <si>
    <t>Goldshine</t>
  </si>
  <si>
    <t>Abozeid</t>
  </si>
  <si>
    <t>Yel</t>
  </si>
  <si>
    <t>Cabezas</t>
  </si>
  <si>
    <t>Tsahirides</t>
  </si>
  <si>
    <t>Simons</t>
  </si>
  <si>
    <t>Ford</t>
  </si>
  <si>
    <t>Fulwood</t>
  </si>
  <si>
    <t>Rivas Estevez</t>
  </si>
  <si>
    <t>Bullock</t>
  </si>
  <si>
    <t>Otten</t>
  </si>
  <si>
    <t>Belfomd</t>
  </si>
  <si>
    <t>Gaston</t>
  </si>
  <si>
    <t>Mughal</t>
  </si>
  <si>
    <t>Speed</t>
  </si>
  <si>
    <t>Impert</t>
  </si>
  <si>
    <t>Mercus</t>
  </si>
  <si>
    <t>Cimma</t>
  </si>
  <si>
    <t>Avalos</t>
  </si>
  <si>
    <t>Hutchinson</t>
  </si>
  <si>
    <t>Behor</t>
  </si>
  <si>
    <t>Dealecio</t>
  </si>
  <si>
    <t>Brouineaud</t>
  </si>
  <si>
    <t>Guambana</t>
  </si>
  <si>
    <t>Aida</t>
  </si>
  <si>
    <t>Tow</t>
  </si>
  <si>
    <t>Mercado</t>
  </si>
  <si>
    <t>McGuire</t>
  </si>
  <si>
    <t>Kollar</t>
  </si>
  <si>
    <t>Quitto</t>
  </si>
  <si>
    <t>Duchene</t>
  </si>
  <si>
    <t>Klein</t>
  </si>
  <si>
    <t>Mede</t>
  </si>
  <si>
    <t>Lafebre</t>
  </si>
  <si>
    <t>Plaza</t>
  </si>
  <si>
    <t>Cortez</t>
  </si>
  <si>
    <t>Parla-Edwards</t>
  </si>
  <si>
    <t>Abdus</t>
  </si>
  <si>
    <t>Goosby</t>
  </si>
  <si>
    <t>Allicock-Orderson</t>
  </si>
  <si>
    <t>Trozzi</t>
  </si>
  <si>
    <t>Derenoncourt</t>
  </si>
  <si>
    <t>Mejia</t>
  </si>
  <si>
    <t>Gasper</t>
  </si>
  <si>
    <t>Peguero</t>
  </si>
  <si>
    <t>Ramsood</t>
  </si>
  <si>
    <t>Layden</t>
  </si>
  <si>
    <t>Kawall</t>
  </si>
  <si>
    <t>Ragano</t>
  </si>
  <si>
    <t>Hidalgo</t>
  </si>
  <si>
    <t>Rojas Crisanto</t>
  </si>
  <si>
    <t>Klubek</t>
  </si>
  <si>
    <t>Razzaqi</t>
  </si>
  <si>
    <t>Fortuna</t>
  </si>
  <si>
    <t>Navia</t>
  </si>
  <si>
    <t>Arup</t>
  </si>
  <si>
    <t>Aviles</t>
  </si>
  <si>
    <t>Sheerinzada</t>
  </si>
  <si>
    <t>Tarazona</t>
  </si>
  <si>
    <t>Rashid</t>
  </si>
  <si>
    <t>Simbana</t>
  </si>
  <si>
    <t>Villafuerte</t>
  </si>
  <si>
    <t>Soriano</t>
  </si>
  <si>
    <t>Chang</t>
  </si>
  <si>
    <t>Posey</t>
  </si>
  <si>
    <t>Larsen</t>
  </si>
  <si>
    <t>Ohlerich</t>
  </si>
  <si>
    <t>Ashby</t>
  </si>
  <si>
    <t>Noriega</t>
  </si>
  <si>
    <t>Leveridge</t>
  </si>
  <si>
    <t>Mitchell</t>
  </si>
  <si>
    <t>Charlton</t>
  </si>
  <si>
    <t>Hunter</t>
  </si>
  <si>
    <t>Harrisingh</t>
  </si>
  <si>
    <t>Rahman</t>
  </si>
  <si>
    <t>Butler</t>
  </si>
  <si>
    <t>Jordan</t>
  </si>
  <si>
    <t>Wilds</t>
  </si>
  <si>
    <t>Daniels</t>
  </si>
  <si>
    <t>Mahadeo</t>
  </si>
  <si>
    <t>KHAN</t>
  </si>
  <si>
    <t>Blackman</t>
  </si>
  <si>
    <t>Fairclough</t>
  </si>
  <si>
    <t>Dividowsky</t>
  </si>
  <si>
    <t>Boyd-Lloyd</t>
  </si>
  <si>
    <t>Crawford</t>
  </si>
  <si>
    <t>Wohad</t>
  </si>
  <si>
    <t>Sobha</t>
  </si>
  <si>
    <t>Cueto</t>
  </si>
  <si>
    <t>Pointdujour</t>
  </si>
  <si>
    <t>Joaquin</t>
  </si>
  <si>
    <t>Saget</t>
  </si>
  <si>
    <t>Lee</t>
  </si>
  <si>
    <t>Cosme</t>
  </si>
  <si>
    <t>McGrane</t>
  </si>
  <si>
    <t>Attis</t>
  </si>
  <si>
    <t>Arias Molina</t>
  </si>
  <si>
    <t>Bravo</t>
  </si>
  <si>
    <t>Nicholson</t>
  </si>
  <si>
    <t>Javed</t>
  </si>
  <si>
    <t>Anwar</t>
  </si>
  <si>
    <t>Gurung</t>
  </si>
  <si>
    <t>Ludena Vasquez</t>
  </si>
  <si>
    <t>Miranda</t>
  </si>
  <si>
    <t>Loja</t>
  </si>
  <si>
    <t>Betancourt</t>
  </si>
  <si>
    <t>Savastano</t>
  </si>
  <si>
    <t>Tineo</t>
  </si>
  <si>
    <t>Chiluiza</t>
  </si>
  <si>
    <t>Elsayed</t>
  </si>
  <si>
    <t>Hampton</t>
  </si>
  <si>
    <t>Kalo</t>
  </si>
  <si>
    <t>Persaud</t>
  </si>
  <si>
    <t>Clowney</t>
  </si>
  <si>
    <t>Vaillant</t>
  </si>
  <si>
    <t>Armogan</t>
  </si>
  <si>
    <t>Martorella</t>
  </si>
  <si>
    <t>Gaffoor</t>
  </si>
  <si>
    <t>Zuleta</t>
  </si>
  <si>
    <t>Factora</t>
  </si>
  <si>
    <t>Maultsby</t>
  </si>
  <si>
    <t>Clarke</t>
  </si>
  <si>
    <t>Diomede</t>
  </si>
  <si>
    <t>Birmingham</t>
  </si>
  <si>
    <t>DeSantis Dowd</t>
  </si>
  <si>
    <t>Gibbs</t>
  </si>
  <si>
    <t>Nazon</t>
  </si>
  <si>
    <t>Arnez</t>
  </si>
  <si>
    <t>Braverman</t>
  </si>
  <si>
    <t>Ragins</t>
  </si>
  <si>
    <t>Vasser</t>
  </si>
  <si>
    <t>Sajjad</t>
  </si>
  <si>
    <t>Viegas</t>
  </si>
  <si>
    <t>Green</t>
  </si>
  <si>
    <t>Quian</t>
  </si>
  <si>
    <t>Shea</t>
  </si>
  <si>
    <t>Dames</t>
  </si>
  <si>
    <t>Rios</t>
  </si>
  <si>
    <t>Kendrick</t>
  </si>
  <si>
    <t>McCall</t>
  </si>
  <si>
    <t>Burgos</t>
  </si>
  <si>
    <t>Belovsky</t>
  </si>
  <si>
    <t>Gold</t>
  </si>
  <si>
    <t>Cavaliere</t>
  </si>
  <si>
    <t>Heredia</t>
  </si>
  <si>
    <t>Conway</t>
  </si>
  <si>
    <t>Franco-Delawrence</t>
  </si>
  <si>
    <t>Noel</t>
  </si>
  <si>
    <t>Neils</t>
  </si>
  <si>
    <t>Patora</t>
  </si>
  <si>
    <t>Bility</t>
  </si>
  <si>
    <t>Nieves</t>
  </si>
  <si>
    <t>2406 University Ave</t>
  </si>
  <si>
    <t>2300 Sedgwick Ave</t>
  </si>
  <si>
    <t>2300 Olinville Avenue</t>
  </si>
  <si>
    <t>36 Metropolitan Oval</t>
  </si>
  <si>
    <t>1944 Unionport Rd</t>
  </si>
  <si>
    <t>745 Fox St</t>
  </si>
  <si>
    <t>464 Et 159th St</t>
  </si>
  <si>
    <t>3038 Hull Avenue</t>
  </si>
  <si>
    <t>1711 Morris Ave</t>
  </si>
  <si>
    <t>2065 Creston Ave</t>
  </si>
  <si>
    <t>34 Featherbed Ln</t>
  </si>
  <si>
    <t>790 Grand Concourse</t>
  </si>
  <si>
    <t>820 Boynton Ave</t>
  </si>
  <si>
    <t>3260 Perry Ave</t>
  </si>
  <si>
    <t>3855 Orloff Ave</t>
  </si>
  <si>
    <t>333 E 181st St</t>
  </si>
  <si>
    <t>2104 Hughes Ave</t>
  </si>
  <si>
    <t>2230 Grand Concourse</t>
  </si>
  <si>
    <t>868 Faile St</t>
  </si>
  <si>
    <t>3817 Dyre Ave</t>
  </si>
  <si>
    <t>2555 Bainbridge Ave</t>
  </si>
  <si>
    <t>4754 Richardson Ave</t>
  </si>
  <si>
    <t>2755 Creston Ave</t>
  </si>
  <si>
    <t>735 Mace Ave</t>
  </si>
  <si>
    <t>3039 Wallace Ave</t>
  </si>
  <si>
    <t>3520 Dekalb Ave</t>
  </si>
  <si>
    <t>1715 Fowler Ave</t>
  </si>
  <si>
    <t>1815 Monroe Ave</t>
  </si>
  <si>
    <t>1855 Monroe Ave</t>
  </si>
  <si>
    <t>235 Cypress Ave</t>
  </si>
  <si>
    <t>815 Gerard Ave</t>
  </si>
  <si>
    <t>1020 Soundview Ave</t>
  </si>
  <si>
    <t>2322 Grand Ave</t>
  </si>
  <si>
    <t>1521 Unionport Rd</t>
  </si>
  <si>
    <t>2860 Decatur Ave</t>
  </si>
  <si>
    <t>40 Ann St</t>
  </si>
  <si>
    <t>1314 Seneca Ave</t>
  </si>
  <si>
    <t>2442 Morris Ave</t>
  </si>
  <si>
    <t>2701 Webb Ave</t>
  </si>
  <si>
    <t>3248 Olinville Ave</t>
  </si>
  <si>
    <t>414 E 204th St</t>
  </si>
  <si>
    <t>770 E 221st St</t>
  </si>
  <si>
    <t>635 E 211th St</t>
  </si>
  <si>
    <t>3660 Waldo Ave</t>
  </si>
  <si>
    <t>900 Lydig Ave</t>
  </si>
  <si>
    <t>2400 Valentine Ave</t>
  </si>
  <si>
    <t>1888 Valentine Ave</t>
  </si>
  <si>
    <t>1685 Morris Ave</t>
  </si>
  <si>
    <t>2000 Prospect Ave</t>
  </si>
  <si>
    <t>283 Cypress Ave</t>
  </si>
  <si>
    <t>2083 Creston Ave</t>
  </si>
  <si>
    <t>955 Walton Ave</t>
  </si>
  <si>
    <t>3593 Bainbridge Ave</t>
  </si>
  <si>
    <t>3091 Webster Ave</t>
  </si>
  <si>
    <t>235 E 196th St</t>
  </si>
  <si>
    <t>201 Mount Eden Pkwy</t>
  </si>
  <si>
    <t>1898 Harrison Ave</t>
  </si>
  <si>
    <t>2000 Anthony Ave</t>
  </si>
  <si>
    <t>630 Concord Ave</t>
  </si>
  <si>
    <t>25 E 193rd St</t>
  </si>
  <si>
    <t>2357 Walton Ave</t>
  </si>
  <si>
    <t>36 Bedford Park Boulevard East</t>
  </si>
  <si>
    <t>3521 Dekalb Ave</t>
  </si>
  <si>
    <t>774 Waring Ave</t>
  </si>
  <si>
    <t>3524 Hull Ave</t>
  </si>
  <si>
    <t>2161 Barnes Ave</t>
  </si>
  <si>
    <t>1561 Unionport Rd</t>
  </si>
  <si>
    <t>1026 E 180th St</t>
  </si>
  <si>
    <t>2103 Honeywell Ave</t>
  </si>
  <si>
    <t>217 E 176th St</t>
  </si>
  <si>
    <t>670 Garden Street</t>
  </si>
  <si>
    <t>1520 Sheridan Ave</t>
  </si>
  <si>
    <t>907 Avenue St. John</t>
  </si>
  <si>
    <t>721 Tinton Ave</t>
  </si>
  <si>
    <t>750 E 166th St</t>
  </si>
  <si>
    <t>769 Arnow Ave</t>
  </si>
  <si>
    <t>929 E 229th St</t>
  </si>
  <si>
    <t>735 Garden St</t>
  </si>
  <si>
    <t>946 Sherman Ave</t>
  </si>
  <si>
    <t>5 Buchanan Pl</t>
  </si>
  <si>
    <t>2385 Grand Ave</t>
  </si>
  <si>
    <t>3215 Bainbridge Ave</t>
  </si>
  <si>
    <t>300 Reservoir Pl</t>
  </si>
  <si>
    <t>2026 Westchester Ave</t>
  </si>
  <si>
    <t>2246 Grand Concourse</t>
  </si>
  <si>
    <t>666 Adee Ave</t>
  </si>
  <si>
    <t>723 E 222nd St</t>
  </si>
  <si>
    <t>1462 Rosedale Ave</t>
  </si>
  <si>
    <t>2136 Wallace Ave</t>
  </si>
  <si>
    <t>2315 University Ave</t>
  </si>
  <si>
    <t>2629 Sedgwick Ave</t>
  </si>
  <si>
    <t>2636 University Ave</t>
  </si>
  <si>
    <t>920 E 225th St</t>
  </si>
  <si>
    <t>2157 Wallace Ave</t>
  </si>
  <si>
    <t>1595 Metropolitan Ave</t>
  </si>
  <si>
    <t>1861 Victor St</t>
  </si>
  <si>
    <t>1018 E 163rd st</t>
  </si>
  <si>
    <t>751 Walton Ave</t>
  </si>
  <si>
    <t>755 White Plains Rd</t>
  </si>
  <si>
    <t>175 Father Zeiser Pl</t>
  </si>
  <si>
    <t>111 Father Zeiser Place</t>
  </si>
  <si>
    <t>2353 Davidson Ave</t>
  </si>
  <si>
    <t>709 E 215th St</t>
  </si>
  <si>
    <t>690 Allerton avenue</t>
  </si>
  <si>
    <t>681 Magenta St</t>
  </si>
  <si>
    <t>91 Van Cortlandt Ave</t>
  </si>
  <si>
    <t>265 E 181st St</t>
  </si>
  <si>
    <t>611 E 179th St</t>
  </si>
  <si>
    <t>1767 Weeks Ave</t>
  </si>
  <si>
    <t>1755 Weeks Ave</t>
  </si>
  <si>
    <t>1805 Crotona Ave</t>
  </si>
  <si>
    <t>1585 Washington Ave</t>
  </si>
  <si>
    <t>1353 Sheridan Ave</t>
  </si>
  <si>
    <t>960 Sheridan Ave</t>
  </si>
  <si>
    <t>639 E 169th St</t>
  </si>
  <si>
    <t>30 Richman Plz</t>
  </si>
  <si>
    <t>1480 Popham Ave</t>
  </si>
  <si>
    <t>730 Grand Concourse</t>
  </si>
  <si>
    <t>816 Manida Street</t>
  </si>
  <si>
    <t>2855 Grand Concourse</t>
  </si>
  <si>
    <t>2825 Claflin Ave</t>
  </si>
  <si>
    <t>729 Adee Ave</t>
  </si>
  <si>
    <t>700 Rosewood St</t>
  </si>
  <si>
    <t>2911 Barnes Avenue</t>
  </si>
  <si>
    <t>400 East Gun Hill Road</t>
  </si>
  <si>
    <t>3035 White Plains Road</t>
  </si>
  <si>
    <t>3155 Rochambeau Avenue</t>
  </si>
  <si>
    <t>1424 Parker Street</t>
  </si>
  <si>
    <t>2224 Lyon Ave</t>
  </si>
  <si>
    <t>2045 Holland Ave</t>
  </si>
  <si>
    <t>2167 Cruger Ave</t>
  </si>
  <si>
    <t>2434 Prospect Ave</t>
  </si>
  <si>
    <t>2414 Belmont Ave</t>
  </si>
  <si>
    <t>365 E 183rd St</t>
  </si>
  <si>
    <t>2274 Grand Concourse</t>
  </si>
  <si>
    <t>1880 Valentine Ave</t>
  </si>
  <si>
    <t>1061 Teller Ave</t>
  </si>
  <si>
    <t>388 E 141st St</t>
  </si>
  <si>
    <t>600 E 141st St</t>
  </si>
  <si>
    <t>100 Asch Loop</t>
  </si>
  <si>
    <t>3482 Wilson Ave</t>
  </si>
  <si>
    <t>2701 Grand Concourse</t>
  </si>
  <si>
    <t>2277 Andrews Ave</t>
  </si>
  <si>
    <t>2830 Olinville Ave</t>
  </si>
  <si>
    <t>2140 Cruger Ave</t>
  </si>
  <si>
    <t>1118 Westchester Ave</t>
  </si>
  <si>
    <t>425 Claremont Parkway</t>
  </si>
  <si>
    <t>1191 Boston Rd</t>
  </si>
  <si>
    <t>1188 Grand Concourse</t>
  </si>
  <si>
    <t>1901 Hennessy Pl</t>
  </si>
  <si>
    <t>294 E 162nd St</t>
  </si>
  <si>
    <t>1189 Tinton Ave</t>
  </si>
  <si>
    <t>435 E 146th St</t>
  </si>
  <si>
    <t>2334 Creston Ave</t>
  </si>
  <si>
    <t>162 E 184th St</t>
  </si>
  <si>
    <t>58 E 190th St</t>
  </si>
  <si>
    <t>2817 Barker Ave</t>
  </si>
  <si>
    <t>684 E 222nd St</t>
  </si>
  <si>
    <t>2170 Bathgate Ave</t>
  </si>
  <si>
    <t>2268 Washington Ave</t>
  </si>
  <si>
    <t>1820 Phelan Pl</t>
  </si>
  <si>
    <t>1515 Macombs Rd</t>
  </si>
  <si>
    <t>2865 University Ave</t>
  </si>
  <si>
    <t>3204 Holland Ave</t>
  </si>
  <si>
    <t>622 E 187th St</t>
  </si>
  <si>
    <t>1704 Morris Ave</t>
  </si>
  <si>
    <t>163 W 170th st</t>
  </si>
  <si>
    <t>342 E 146th St</t>
  </si>
  <si>
    <t>305 E 153rd St</t>
  </si>
  <si>
    <t>1350 Clay Avenue</t>
  </si>
  <si>
    <t>1669 Randall Ave</t>
  </si>
  <si>
    <t>1245 Stratford Ave</t>
  </si>
  <si>
    <t>6200 Riverdale Ave</t>
  </si>
  <si>
    <t>1027 E 227th St</t>
  </si>
  <si>
    <t>964 E 229th St</t>
  </si>
  <si>
    <t>721 E 223rd St</t>
  </si>
  <si>
    <t>3950 Bronx Blvd</t>
  </si>
  <si>
    <t>4130 Carpenter Ave</t>
  </si>
  <si>
    <t>3324 Kingsbridge Ave</t>
  </si>
  <si>
    <t>1995 Birchall Ave</t>
  </si>
  <si>
    <t>2095 Daly Ave</t>
  </si>
  <si>
    <t>1695 Hoe Ave</t>
  </si>
  <si>
    <t>797 Crotona Park N</t>
  </si>
  <si>
    <t>1516 Leland Ave</t>
  </si>
  <si>
    <t>987 Union Ave</t>
  </si>
  <si>
    <t>1412 Longfellow Ave</t>
  </si>
  <si>
    <t>1094 Longfellow Ave</t>
  </si>
  <si>
    <t>950 Union Ave</t>
  </si>
  <si>
    <t>1106 W Farms Rd</t>
  </si>
  <si>
    <t>2330 Valentine Ave</t>
  </si>
  <si>
    <t>3000 Marion Ave</t>
  </si>
  <si>
    <t>340 E 194th St</t>
  </si>
  <si>
    <t>2833 Briggs Ave</t>
  </si>
  <si>
    <t>1744 Clay Ave</t>
  </si>
  <si>
    <t>717 Crotona Park N</t>
  </si>
  <si>
    <t>1214 Sheridan Ave</t>
  </si>
  <si>
    <t>225 Mcclellan St</t>
  </si>
  <si>
    <t>1230 Teller Ave</t>
  </si>
  <si>
    <t>1294 Grant Ave</t>
  </si>
  <si>
    <t>1056 Findlay Ave</t>
  </si>
  <si>
    <t>576 Timpson Pl</t>
  </si>
  <si>
    <t>778 Union Ave</t>
  </si>
  <si>
    <t>345 Cypress Ave</t>
  </si>
  <si>
    <t>175 Alexander Ave</t>
  </si>
  <si>
    <t>40 Richman Plz</t>
  </si>
  <si>
    <t>1800 Davidson Ave</t>
  </si>
  <si>
    <t>190 W Burnside Ave</t>
  </si>
  <si>
    <t>1705 Andrews Ave</t>
  </si>
  <si>
    <t>917 Ogden Ave</t>
  </si>
  <si>
    <t>974 Anderson Ave</t>
  </si>
  <si>
    <t>3135 Park Ave</t>
  </si>
  <si>
    <t>300 E 143rd St</t>
  </si>
  <si>
    <t>175 E 151st St</t>
  </si>
  <si>
    <t>603 Morris Ave</t>
  </si>
  <si>
    <t>2401 Davidson Ave</t>
  </si>
  <si>
    <t>3038 Hull Ave</t>
  </si>
  <si>
    <t>3433 Gates Pl</t>
  </si>
  <si>
    <t>4152 Carpenter Ave</t>
  </si>
  <si>
    <t>4152 Carpenter Avenue</t>
  </si>
  <si>
    <t>1663 Eastburn Ave</t>
  </si>
  <si>
    <t>1114 Morris Ave</t>
  </si>
  <si>
    <t>3320A Fish Ave</t>
  </si>
  <si>
    <t>2280 Andrews Ave</t>
  </si>
  <si>
    <t>1935 Mcgraw Ave</t>
  </si>
  <si>
    <t>250 E 178th St</t>
  </si>
  <si>
    <t>280 E Burnside Ave</t>
  </si>
  <si>
    <t>1504 Sheridan Ave</t>
  </si>
  <si>
    <t>628 E 141st St</t>
  </si>
  <si>
    <t>2084 Morris Ave</t>
  </si>
  <si>
    <t>2143 Blackrock Ave</t>
  </si>
  <si>
    <t>401 Bronx River Ave</t>
  </si>
  <si>
    <t>3303 Fenton Avenue</t>
  </si>
  <si>
    <t>4350 Furman Ave</t>
  </si>
  <si>
    <t>2696 Marion Ave</t>
  </si>
  <si>
    <t>4278 3rd Ave</t>
  </si>
  <si>
    <t>230 Echo Pl</t>
  </si>
  <si>
    <t>586 E 170th St</t>
  </si>
  <si>
    <t>420 E 169th St</t>
  </si>
  <si>
    <t>1916 Crotona Ave</t>
  </si>
  <si>
    <t>1682 Seward Avenue</t>
  </si>
  <si>
    <t>2280 Randall Ave</t>
  </si>
  <si>
    <t>710 Croes Ave</t>
  </si>
  <si>
    <t>735 Magenta St</t>
  </si>
  <si>
    <t>275 E Gun Hill Rd</t>
  </si>
  <si>
    <t>1551 Williamsbridge Rd</t>
  </si>
  <si>
    <t>748 E Tremont Ave</t>
  </si>
  <si>
    <t>228 E Tremont Ave</t>
  </si>
  <si>
    <t>1520 Sedgwick Ave</t>
  </si>
  <si>
    <t>1105 Jerome Ave</t>
  </si>
  <si>
    <t>2783 Claflin Ave</t>
  </si>
  <si>
    <t>2515 Olinville Ave</t>
  </si>
  <si>
    <t>3525 Decatur Ave</t>
  </si>
  <si>
    <t>1975 Birchall Ave</t>
  </si>
  <si>
    <t>2007 Lafontaine Ave</t>
  </si>
  <si>
    <t>1590 Undercliff Ave</t>
  </si>
  <si>
    <t>721 Walton Ave</t>
  </si>
  <si>
    <t>3121 Villa Ave</t>
  </si>
  <si>
    <t>2829 Sedgwick Ave</t>
  </si>
  <si>
    <t>2810 Olinville Ave</t>
  </si>
  <si>
    <t>3318 Perry Ave</t>
  </si>
  <si>
    <t>2505 Olinville Ave</t>
  </si>
  <si>
    <t>1507 Metropolitan Ave</t>
  </si>
  <si>
    <t>1574 Beach Ave</t>
  </si>
  <si>
    <t>1763 Fulton Ave</t>
  </si>
  <si>
    <t>1085 Washington Ave</t>
  </si>
  <si>
    <t>674 E 136th St</t>
  </si>
  <si>
    <t>777 Mace Ave</t>
  </si>
  <si>
    <t>2086 Bronx Park E</t>
  </si>
  <si>
    <t>1546 Selwyn Ave</t>
  </si>
  <si>
    <t>2055 Anthony Ave</t>
  </si>
  <si>
    <t>20 Richman Plz</t>
  </si>
  <si>
    <t>2875 Sedgwick Ave</t>
  </si>
  <si>
    <t>20 W Mosholu Pkwy S</t>
  </si>
  <si>
    <t>3644 Holland Ave</t>
  </si>
  <si>
    <t>983 E 181st St</t>
  </si>
  <si>
    <t>481 E 171st St</t>
  </si>
  <si>
    <t>1997 Davidson Ave</t>
  </si>
  <si>
    <t>769 Bryant Ave</t>
  </si>
  <si>
    <t>1115 Virginia Ave</t>
  </si>
  <si>
    <t>175 Field Pl</t>
  </si>
  <si>
    <t>3160 Webster Ave</t>
  </si>
  <si>
    <t>1851 Schieffelin Pl</t>
  </si>
  <si>
    <t>1598 Unionport Rd</t>
  </si>
  <si>
    <t>2257 Haviland Ave</t>
  </si>
  <si>
    <t>1840 Grand Concourse</t>
  </si>
  <si>
    <t>3930 3rd Ave</t>
  </si>
  <si>
    <t>1950 Andrews Ave</t>
  </si>
  <si>
    <t>3080 Park Ave</t>
  </si>
  <si>
    <t>2418 Olinville Avenue</t>
  </si>
  <si>
    <t>2050 Valentine Ave</t>
  </si>
  <si>
    <t>173-175 East 151st Street</t>
  </si>
  <si>
    <t>582 Courtlandt Ave</t>
  </si>
  <si>
    <t>5550 Fieldston Rd</t>
  </si>
  <si>
    <t>2305 Grand Ave</t>
  </si>
  <si>
    <t>823 E 217th St</t>
  </si>
  <si>
    <t>3865 Baychester Ave</t>
  </si>
  <si>
    <t>2082 Crotona Pkwy</t>
  </si>
  <si>
    <t>2100 Tiebout Ave</t>
  </si>
  <si>
    <t>2881 Heath Ave</t>
  </si>
  <si>
    <t>800 Concourse Vlg W</t>
  </si>
  <si>
    <t>880 Boynton Ave</t>
  </si>
  <si>
    <t>145 Father Zeiser Pl</t>
  </si>
  <si>
    <t>1971 Webster Ave</t>
  </si>
  <si>
    <t>442 E 176th St</t>
  </si>
  <si>
    <t>2985 Botanical Sq</t>
  </si>
  <si>
    <t>1771 Monroe Ave</t>
  </si>
  <si>
    <t>4459 Matilda Ave</t>
  </si>
  <si>
    <t>911 East 219th Street</t>
  </si>
  <si>
    <t>2388 Creston Ave</t>
  </si>
  <si>
    <t>3055 Perry Ave</t>
  </si>
  <si>
    <t>2245 Barker Ave</t>
  </si>
  <si>
    <t>789 Astor Ave</t>
  </si>
  <si>
    <t>272 E Gun Hill Rd</t>
  </si>
  <si>
    <t>739 Arnow Ave</t>
  </si>
  <si>
    <t>3500 Perry Ave</t>
  </si>
  <si>
    <t>3464 Knox Pl</t>
  </si>
  <si>
    <t>4331 Richardson Ave</t>
  </si>
  <si>
    <t>763 Edison Ave</t>
  </si>
  <si>
    <t>2122 Starling Ave</t>
  </si>
  <si>
    <t>1702 Wallace Ave</t>
  </si>
  <si>
    <t>1496 Longfellow Avenue</t>
  </si>
  <si>
    <t>186 e 164th st</t>
  </si>
  <si>
    <t>1535 Undercliff Ave</t>
  </si>
  <si>
    <t>477 Washington Ave</t>
  </si>
  <si>
    <t>230 President St</t>
  </si>
  <si>
    <t>760 Rogers Ave</t>
  </si>
  <si>
    <t>346 Montgomery St</t>
  </si>
  <si>
    <t>245 Midwood St</t>
  </si>
  <si>
    <t>940 Gates Ave</t>
  </si>
  <si>
    <t>557 Rockaway Ave</t>
  </si>
  <si>
    <t>2045 Rockaway Pkwy</t>
  </si>
  <si>
    <t>755 Ocean Ave</t>
  </si>
  <si>
    <t>841 Gates Ave</t>
  </si>
  <si>
    <t>57 Herkimer St</t>
  </si>
  <si>
    <t>2537 Bedford Ave</t>
  </si>
  <si>
    <t>101 Lenox Rd</t>
  </si>
  <si>
    <t>350 E 31st St</t>
  </si>
  <si>
    <t>420 E 21st St</t>
  </si>
  <si>
    <t>2111 Beekman Pl</t>
  </si>
  <si>
    <t>436 New York Ave</t>
  </si>
  <si>
    <t>910 Dekalb Ave</t>
  </si>
  <si>
    <t>988 Bergen St</t>
  </si>
  <si>
    <t>107 Linden St</t>
  </si>
  <si>
    <t>1506 Avenue L</t>
  </si>
  <si>
    <t>340 E 5th St</t>
  </si>
  <si>
    <t>185 Nevins St</t>
  </si>
  <si>
    <t>1221 Atlantic Ave</t>
  </si>
  <si>
    <t>100 Marine Ave</t>
  </si>
  <si>
    <t>175 E 52nd st</t>
  </si>
  <si>
    <t>365 Lincoln Pl</t>
  </si>
  <si>
    <t>954 E 104th St</t>
  </si>
  <si>
    <t>626 Flatbush Ave</t>
  </si>
  <si>
    <t>198 Bond St</t>
  </si>
  <si>
    <t>552 Parkside Ave</t>
  </si>
  <si>
    <t>1820 Cortelyou Rd</t>
  </si>
  <si>
    <t>1107 Nostrand Ave</t>
  </si>
  <si>
    <t>49 Crown St</t>
  </si>
  <si>
    <t>29 Avenue W</t>
  </si>
  <si>
    <t>1040 Park Pl</t>
  </si>
  <si>
    <t>333 New Lots Avenue</t>
  </si>
  <si>
    <t>130 Moore St</t>
  </si>
  <si>
    <t>295 Washington Ave</t>
  </si>
  <si>
    <t>1963 73rd St</t>
  </si>
  <si>
    <t>828 Midwood St</t>
  </si>
  <si>
    <t>1084 New York Ave</t>
  </si>
  <si>
    <t>454 Empire Blvd</t>
  </si>
  <si>
    <t>92 Crystal St</t>
  </si>
  <si>
    <t>112 Stagg St</t>
  </si>
  <si>
    <t>305 Ocean Ave</t>
  </si>
  <si>
    <t>995 Gates Ave</t>
  </si>
  <si>
    <t>333 Mcdonald Ave</t>
  </si>
  <si>
    <t>111 Bridge St</t>
  </si>
  <si>
    <t>220 Troutman St</t>
  </si>
  <si>
    <t>815 Eats 14th Street</t>
  </si>
  <si>
    <t>405 E 16th St</t>
  </si>
  <si>
    <t>711 Ocean Ave</t>
  </si>
  <si>
    <t>181 Hawthorne St</t>
  </si>
  <si>
    <t>2929 W 31st St</t>
  </si>
  <si>
    <t>301 100th St</t>
  </si>
  <si>
    <t>818 Bergen St</t>
  </si>
  <si>
    <t>1801 Dorchester Rd</t>
  </si>
  <si>
    <t>2220 W 11th St</t>
  </si>
  <si>
    <t>2215 Newkirk Ave</t>
  </si>
  <si>
    <t>11 Maple St</t>
  </si>
  <si>
    <t>570 E 26th street</t>
  </si>
  <si>
    <t>579 Grand Ave</t>
  </si>
  <si>
    <t>1305 E 83rd St</t>
  </si>
  <si>
    <t>1919 Bay Ave</t>
  </si>
  <si>
    <t>1051 Ocean Ave</t>
  </si>
  <si>
    <t>600 E 21st St</t>
  </si>
  <si>
    <t>681 Ocean Ave</t>
  </si>
  <si>
    <t>9565 Tuckerton St</t>
  </si>
  <si>
    <t>409 E 21st St</t>
  </si>
  <si>
    <t>250 Clarkson Ave</t>
  </si>
  <si>
    <t>55 Linden Blvd</t>
  </si>
  <si>
    <t>222 Lenox Rd</t>
  </si>
  <si>
    <t>334 Foster Ave</t>
  </si>
  <si>
    <t>420 Eastern Pkwy</t>
  </si>
  <si>
    <t>425 61st St</t>
  </si>
  <si>
    <t>1087 Carroll St</t>
  </si>
  <si>
    <t>1035 Wahington Avenue</t>
  </si>
  <si>
    <t>485 Fountain Ave</t>
  </si>
  <si>
    <t>501 Lefferts Ave</t>
  </si>
  <si>
    <t>11 Mckeever Pl</t>
  </si>
  <si>
    <t>245 Hawthorne St</t>
  </si>
  <si>
    <t>718 Saint Marks Ave</t>
  </si>
  <si>
    <t>341 10th St</t>
  </si>
  <si>
    <t>935 Eastern Pkwy</t>
  </si>
  <si>
    <t>36 Kenilworth Pl</t>
  </si>
  <si>
    <t>1405 New York Ave</t>
  </si>
  <si>
    <t>31 Leonard St</t>
  </si>
  <si>
    <t>645 Ocean Ave</t>
  </si>
  <si>
    <t>301 Cumberland St</t>
  </si>
  <si>
    <t>218 Gates Ave</t>
  </si>
  <si>
    <t>789 Macdonough St</t>
  </si>
  <si>
    <t>15 Crooke Ave</t>
  </si>
  <si>
    <t>38 Winthrop St</t>
  </si>
  <si>
    <t>120 Palmetto St</t>
  </si>
  <si>
    <t>355 Mcdonald ave</t>
  </si>
  <si>
    <t>165 New York Ave</t>
  </si>
  <si>
    <t>490 Myrtle Ave</t>
  </si>
  <si>
    <t>763 Lenox Rd</t>
  </si>
  <si>
    <t>285 E 35th St</t>
  </si>
  <si>
    <t>5605 4th Avenue</t>
  </si>
  <si>
    <t>60 Moore St</t>
  </si>
  <si>
    <t>644 E 89th St</t>
  </si>
  <si>
    <t>274 Malcolm X Blvd</t>
  </si>
  <si>
    <t>120 Chauncey St</t>
  </si>
  <si>
    <t>124 Humboldt St</t>
  </si>
  <si>
    <t>2356 Bragg St</t>
  </si>
  <si>
    <t>451 Kingston Ave</t>
  </si>
  <si>
    <t>64 Hancock St</t>
  </si>
  <si>
    <t>418 2nd St</t>
  </si>
  <si>
    <t>1710 Union St</t>
  </si>
  <si>
    <t>293 Harman St Apt 3r</t>
  </si>
  <si>
    <t>615 Westminster Rd</t>
  </si>
  <si>
    <t>415 Lefferts Ave</t>
  </si>
  <si>
    <t>1208 E 95th St</t>
  </si>
  <si>
    <t>1381 E 105th St</t>
  </si>
  <si>
    <t>161 Putnam Ave</t>
  </si>
  <si>
    <t>363 Grand Ave</t>
  </si>
  <si>
    <t>2950 W 35th St</t>
  </si>
  <si>
    <t>1013 BROADWAY</t>
  </si>
  <si>
    <t>235 60th St</t>
  </si>
  <si>
    <t>130 3rd Ave</t>
  </si>
  <si>
    <t>Van Sicklen Street</t>
  </si>
  <si>
    <t>123 Albany Ave</t>
  </si>
  <si>
    <t>592 Quincy St</t>
  </si>
  <si>
    <t>505 Howard Ave</t>
  </si>
  <si>
    <t>49 E 19th St</t>
  </si>
  <si>
    <t>1015 Hancock St</t>
  </si>
  <si>
    <t>333 McDonald Ave</t>
  </si>
  <si>
    <t>8200 Bay Pkwy</t>
  </si>
  <si>
    <t>1 Tennis Ct</t>
  </si>
  <si>
    <t>57 Lincoln Rd</t>
  </si>
  <si>
    <t>690 Gates Ave</t>
  </si>
  <si>
    <t>15 Bay 37th St</t>
  </si>
  <si>
    <t>78 Havemeyer St</t>
  </si>
  <si>
    <t>639 Union St</t>
  </si>
  <si>
    <t>1372 New York Ave</t>
  </si>
  <si>
    <t>1 Saint Pauls Ct</t>
  </si>
  <si>
    <t>585 E 21st St</t>
  </si>
  <si>
    <t>2070 Union St</t>
  </si>
  <si>
    <t>2770 W 33rd St</t>
  </si>
  <si>
    <t>8 Saint Nicholas Ter</t>
  </si>
  <si>
    <t>130 Malcolm X Blvd</t>
  </si>
  <si>
    <t>868 Amsterdam Ave 3F</t>
  </si>
  <si>
    <t>865 Amsterdam Ave</t>
  </si>
  <si>
    <t>120 W 91st St</t>
  </si>
  <si>
    <t>15 Saint James Pl</t>
  </si>
  <si>
    <t>1833  Amsterdam Avenue 2H</t>
  </si>
  <si>
    <t>503 W 147th St</t>
  </si>
  <si>
    <t>2445 Frederick Douglass Blvd</t>
  </si>
  <si>
    <t>176 W 94th St</t>
  </si>
  <si>
    <t>208 W 151st St</t>
  </si>
  <si>
    <t>1989 Amsterdam Ave</t>
  </si>
  <si>
    <t>3333 Broadway</t>
  </si>
  <si>
    <t>52 Saint Nicholas Pl</t>
  </si>
  <si>
    <t>531 W 143rd St</t>
  </si>
  <si>
    <t>609 W 135th St</t>
  </si>
  <si>
    <t>320 E 115th St</t>
  </si>
  <si>
    <t>500 W 30th St</t>
  </si>
  <si>
    <t>301 W 138TH ST</t>
  </si>
  <si>
    <t>2509 7th Ave</t>
  </si>
  <si>
    <t>201 W 145th St</t>
  </si>
  <si>
    <t>555 W 159th St</t>
  </si>
  <si>
    <t>561 W 141st St</t>
  </si>
  <si>
    <t>601 W 135th St</t>
  </si>
  <si>
    <t>1726 Amsterdam Ave</t>
  </si>
  <si>
    <t>670 Riverside Dr</t>
  </si>
  <si>
    <t>541 W 142nd St</t>
  </si>
  <si>
    <t>640 Riverside Dr</t>
  </si>
  <si>
    <t>526 W 147th St</t>
  </si>
  <si>
    <t>100 W 139th St</t>
  </si>
  <si>
    <t>217 W 127th St</t>
  </si>
  <si>
    <t>3170 Broadway</t>
  </si>
  <si>
    <t>1470 Amsterdam Ave</t>
  </si>
  <si>
    <t>151 W 123rd St</t>
  </si>
  <si>
    <t>172 W 127th St</t>
  </si>
  <si>
    <t>171 W 131st St</t>
  </si>
  <si>
    <t>282 Manhattan Ave</t>
  </si>
  <si>
    <t>126 W 112th St</t>
  </si>
  <si>
    <t>60 Saint Nicholas Ave</t>
  </si>
  <si>
    <t>600 W 113th St</t>
  </si>
  <si>
    <t>131 Broome St</t>
  </si>
  <si>
    <t>417 Riverside Dr</t>
  </si>
  <si>
    <t>68 Cumberland Walk</t>
  </si>
  <si>
    <t>525 Fdr Dr</t>
  </si>
  <si>
    <t>656 W 162nd St</t>
  </si>
  <si>
    <t>772 Saint Nicholas Ave</t>
  </si>
  <si>
    <t>611 W 148th St</t>
  </si>
  <si>
    <t>345 E 101st St</t>
  </si>
  <si>
    <t>452 Saint Nicholas Ave</t>
  </si>
  <si>
    <t>312 W 112th St</t>
  </si>
  <si>
    <t>201 West 108th Street # 36</t>
  </si>
  <si>
    <t>868 Amsterdam Ave</t>
  </si>
  <si>
    <t>840 Columbus Ave</t>
  </si>
  <si>
    <t>248 Sherman Ave</t>
  </si>
  <si>
    <t>314 E 100th St</t>
  </si>
  <si>
    <t>367 Lenox Avenue 2E</t>
  </si>
  <si>
    <t>2070 Adam Clayton Powell Jr Blvd</t>
  </si>
  <si>
    <t>742 E 6th St</t>
  </si>
  <si>
    <t>560 Lenox Ave</t>
  </si>
  <si>
    <t>552 W 185th St</t>
  </si>
  <si>
    <t>567 West 149th St Apt # 45</t>
  </si>
  <si>
    <t>120 W 116th St</t>
  </si>
  <si>
    <t>47 Saint Nicholas Ave</t>
  </si>
  <si>
    <t>72 West 109th Street</t>
  </si>
  <si>
    <t>227 Waverly Pl</t>
  </si>
  <si>
    <t>903 E 6th St</t>
  </si>
  <si>
    <t>318 Madison St</t>
  </si>
  <si>
    <t>75 Allen St</t>
  </si>
  <si>
    <t>567 W 191st St</t>
  </si>
  <si>
    <t>709 W 170th St</t>
  </si>
  <si>
    <t>561 W 144th St</t>
  </si>
  <si>
    <t>1 W 127th St</t>
  </si>
  <si>
    <t>410 W 128th St</t>
  </si>
  <si>
    <t>545 W 126th St</t>
  </si>
  <si>
    <t>146 W 111th St</t>
  </si>
  <si>
    <t>290 Riverside Dr</t>
  </si>
  <si>
    <t>241 W 113th St</t>
  </si>
  <si>
    <t>342 E 13th St</t>
  </si>
  <si>
    <t>605 W 42nd St</t>
  </si>
  <si>
    <t>100 Hamilton Pl</t>
  </si>
  <si>
    <t>114 W 143rd St</t>
  </si>
  <si>
    <t>2034 7th Ave</t>
  </si>
  <si>
    <t>31-33 West  124th Street 3D</t>
  </si>
  <si>
    <t>101 W 130th St</t>
  </si>
  <si>
    <t>533 W 112th St</t>
  </si>
  <si>
    <t>875 Amsterdam Ave</t>
  </si>
  <si>
    <t>38 W 31st St</t>
  </si>
  <si>
    <t>130 Fort Washington Ave</t>
  </si>
  <si>
    <t>96 Baxter St</t>
  </si>
  <si>
    <t>211 Madison</t>
  </si>
  <si>
    <t>830 Amsterdam Ave</t>
  </si>
  <si>
    <t>625 W 152nd St</t>
  </si>
  <si>
    <t>1365 Saint Nicholas Ave</t>
  </si>
  <si>
    <t>170 Avenue D</t>
  </si>
  <si>
    <t>40 Morningside Ave</t>
  </si>
  <si>
    <t>105 Duane St</t>
  </si>
  <si>
    <t>123 Division St</t>
  </si>
  <si>
    <t>2395 1st Ave</t>
  </si>
  <si>
    <t>501 W 184th St</t>
  </si>
  <si>
    <t>512 W 135th St</t>
  </si>
  <si>
    <t>517 W 147th Street #1</t>
  </si>
  <si>
    <t>719 Saint Nicholas Ave</t>
  </si>
  <si>
    <t>212 Saint Nicholas Ave</t>
  </si>
  <si>
    <t>41 Saint Nicholas Ter</t>
  </si>
  <si>
    <t>550 W 125th St</t>
  </si>
  <si>
    <t>65 W 96th St</t>
  </si>
  <si>
    <t>2612 Broadway 902</t>
  </si>
  <si>
    <t>495 W End Ave</t>
  </si>
  <si>
    <t>204 W 149th St</t>
  </si>
  <si>
    <t>50 Amsterdam Ave</t>
  </si>
  <si>
    <t>49 W 127th St</t>
  </si>
  <si>
    <t>74 W 103rd St</t>
  </si>
  <si>
    <t>12-14 Pell St</t>
  </si>
  <si>
    <t>58 Orchard St</t>
  </si>
  <si>
    <t>201 E 89th St</t>
  </si>
  <si>
    <t>2949 8th Ave</t>
  </si>
  <si>
    <t>10 W 135th St</t>
  </si>
  <si>
    <t>667 W 177th St</t>
  </si>
  <si>
    <t>820 Riverside Dr</t>
  </si>
  <si>
    <t>529 W 158th St</t>
  </si>
  <si>
    <t>530 W 136th St</t>
  </si>
  <si>
    <t>600 W 142nd St</t>
  </si>
  <si>
    <t>512 W 136th St</t>
  </si>
  <si>
    <t>516 W 143rd St</t>
  </si>
  <si>
    <t>500 W 135th St</t>
  </si>
  <si>
    <t>2698 8th Ave</t>
  </si>
  <si>
    <t>347 W 141st St</t>
  </si>
  <si>
    <t>6 Convent Ave</t>
  </si>
  <si>
    <t>15 W 123rd St</t>
  </si>
  <si>
    <t>145 Morningside Ave</t>
  </si>
  <si>
    <t>55 Tiemann Pl</t>
  </si>
  <si>
    <t>71 W 112th St</t>
  </si>
  <si>
    <t>95 Lenox Ave</t>
  </si>
  <si>
    <t>101 West 118th Street 2B</t>
  </si>
  <si>
    <t>10 Manhattan Ave</t>
  </si>
  <si>
    <t>133 West 104th Street 6B</t>
  </si>
  <si>
    <t>241 6th Ave</t>
  </si>
  <si>
    <t>535 W 43rd St</t>
  </si>
  <si>
    <t>461 West 148th Street 1C</t>
  </si>
  <si>
    <t>230 W 131st St</t>
  </si>
  <si>
    <t>1295 Amsterdam Ave</t>
  </si>
  <si>
    <t>117 W 111th St</t>
  </si>
  <si>
    <t>225 W 106th St</t>
  </si>
  <si>
    <t>171 Beach 91st St</t>
  </si>
  <si>
    <t>16844 127th Ave</t>
  </si>
  <si>
    <t>11057 Union Hall St</t>
  </si>
  <si>
    <t>10656 160th St</t>
  </si>
  <si>
    <t>21620 110th Rd</t>
  </si>
  <si>
    <t>13503 Hawtree St</t>
  </si>
  <si>
    <t>1877 Woodbine St</t>
  </si>
  <si>
    <t>68-10 Grand Avenue</t>
  </si>
  <si>
    <t>3950 60th St</t>
  </si>
  <si>
    <t>4222 Ketcham St</t>
  </si>
  <si>
    <t>2162 80th St</t>
  </si>
  <si>
    <t>9711 Horace Harding Expy</t>
  </si>
  <si>
    <t>22482 Horace Harding Expy</t>
  </si>
  <si>
    <t>171-04 Baisley Blvd</t>
  </si>
  <si>
    <t>17040 130th Ave</t>
  </si>
  <si>
    <t>9233 170th St</t>
  </si>
  <si>
    <t>15011 109th Rd</t>
  </si>
  <si>
    <t>8508 Aspen Pl</t>
  </si>
  <si>
    <t>5102 67th St</t>
  </si>
  <si>
    <t>5155 Van Kleeck St</t>
  </si>
  <si>
    <t>4216 80th St</t>
  </si>
  <si>
    <t>20920 18th Ave</t>
  </si>
  <si>
    <t>3633 29th St</t>
  </si>
  <si>
    <t>16401 Foch Blvd</t>
  </si>
  <si>
    <t>17230 133rd Ave</t>
  </si>
  <si>
    <t>19302 99th Ave</t>
  </si>
  <si>
    <t>7508 Jamaica Ave</t>
  </si>
  <si>
    <t>9138 Lefferts Blvd</t>
  </si>
  <si>
    <t>12416 84th Rd</t>
  </si>
  <si>
    <t>11845 Metropolitan Ave</t>
  </si>
  <si>
    <t>6009 Metropolitan Ave</t>
  </si>
  <si>
    <t>8434 60th Ave</t>
  </si>
  <si>
    <t>8435 62nd Dr</t>
  </si>
  <si>
    <t>3308 84th St</t>
  </si>
  <si>
    <t>5505 103rd St</t>
  </si>
  <si>
    <t>3314 102nd St</t>
  </si>
  <si>
    <t>192-15A 69thAve</t>
  </si>
  <si>
    <t>1520 College Point Blvd</t>
  </si>
  <si>
    <t>14212 56th Rd</t>
  </si>
  <si>
    <t>204 Astoria Blvd</t>
  </si>
  <si>
    <t>11738 141st St</t>
  </si>
  <si>
    <t>10212 184th St</t>
  </si>
  <si>
    <t>8501 101st St</t>
  </si>
  <si>
    <t>18310 144th Ave</t>
  </si>
  <si>
    <t>7403 Myrtle Ave</t>
  </si>
  <si>
    <t>376 Woodward ave</t>
  </si>
  <si>
    <t>9610 57th Ave</t>
  </si>
  <si>
    <t>8802 Rockaway Beach Blvd</t>
  </si>
  <si>
    <t>11942 177th St</t>
  </si>
  <si>
    <t>169-28 110th Rd</t>
  </si>
  <si>
    <t>15028 122nd Ave</t>
  </si>
  <si>
    <t>11919 Inwood St</t>
  </si>
  <si>
    <t>14814 90th Ave</t>
  </si>
  <si>
    <t>150-29 Forch Blvd</t>
  </si>
  <si>
    <t>13449 166th pl</t>
  </si>
  <si>
    <t>11436 Sutphin Blvd</t>
  </si>
  <si>
    <t>17024 130th ave</t>
  </si>
  <si>
    <t>10636 156th St</t>
  </si>
  <si>
    <t>10824 174th St</t>
  </si>
  <si>
    <t>17711 105th Ave</t>
  </si>
  <si>
    <t>16225 112th Rd</t>
  </si>
  <si>
    <t>10725 171st Pl</t>
  </si>
  <si>
    <t>10630 159th St</t>
  </si>
  <si>
    <t>16320 108th Ave</t>
  </si>
  <si>
    <t>9319 197th St</t>
  </si>
  <si>
    <t>10343 107th St</t>
  </si>
  <si>
    <t>8333 118th St</t>
  </si>
  <si>
    <t>14027 183rd St</t>
  </si>
  <si>
    <t>7122 Myrtle Ave</t>
  </si>
  <si>
    <t>4033 74th St</t>
  </si>
  <si>
    <t>3335 81st St</t>
  </si>
  <si>
    <t>3749 83rd St</t>
  </si>
  <si>
    <t>11119 43rd Ave</t>
  </si>
  <si>
    <t>4339 158th St</t>
  </si>
  <si>
    <t>12560 Sutphin Blvd</t>
  </si>
  <si>
    <t>11938 Guy R Brewer Blvd</t>
  </si>
  <si>
    <t>13445 166th Pl</t>
  </si>
  <si>
    <t>10736 Merrick Blvd</t>
  </si>
  <si>
    <t>10114 134th St</t>
  </si>
  <si>
    <t>10716 122nd St</t>
  </si>
  <si>
    <t>8396 118th st</t>
  </si>
  <si>
    <t>3415 74th St</t>
  </si>
  <si>
    <t>9710 Northern Blvd</t>
  </si>
  <si>
    <t>9838 57th Ave</t>
  </si>
  <si>
    <t>1243 117th St</t>
  </si>
  <si>
    <t>9011 149th St</t>
  </si>
  <si>
    <t>14202 84th Dr</t>
  </si>
  <si>
    <t>13725 159th St</t>
  </si>
  <si>
    <t>8915 218th Pl</t>
  </si>
  <si>
    <t>8720 109th St</t>
  </si>
  <si>
    <t>8793 109th St</t>
  </si>
  <si>
    <t>11126 106th St</t>
  </si>
  <si>
    <t>11155 77th Ave</t>
  </si>
  <si>
    <t>3421 21st St</t>
  </si>
  <si>
    <t>12008 Farmers Blvd</t>
  </si>
  <si>
    <t>11604 Liberty Ave</t>
  </si>
  <si>
    <t>8850 81st Ave</t>
  </si>
  <si>
    <t>6446 Madison St</t>
  </si>
  <si>
    <t>2516 87th St</t>
  </si>
  <si>
    <t>67-35 Kissena Bouleevard</t>
  </si>
  <si>
    <t>3415 12th St</t>
  </si>
  <si>
    <t>3072 45th St</t>
  </si>
  <si>
    <t>8824 Merrick Blvd</t>
  </si>
  <si>
    <t>21883 Hempstead Ave</t>
  </si>
  <si>
    <t>11040 207th St</t>
  </si>
  <si>
    <t>22289 Braddock Ave</t>
  </si>
  <si>
    <t>1715 Greene Ave</t>
  </si>
  <si>
    <t>15910 71st Ave</t>
  </si>
  <si>
    <t>14661 Shore Ave</t>
  </si>
  <si>
    <t>88-09 149th Street</t>
  </si>
  <si>
    <t>14473 177th St</t>
  </si>
  <si>
    <t>15533 Linden Blvd</t>
  </si>
  <si>
    <t>15035 118th Ave</t>
  </si>
  <si>
    <t>15029 Foch Blvd</t>
  </si>
  <si>
    <t>11422 158th St</t>
  </si>
  <si>
    <t>15707 Rockaway Blvd</t>
  </si>
  <si>
    <t>11524 168th St</t>
  </si>
  <si>
    <t>11640 Guy R Brewer Blvd</t>
  </si>
  <si>
    <t>11512 168th St</t>
  </si>
  <si>
    <t>17132 108th Ave</t>
  </si>
  <si>
    <t>10850 171st Pl</t>
  </si>
  <si>
    <t>17117 107th Ave</t>
  </si>
  <si>
    <t>10615 217th St</t>
  </si>
  <si>
    <t>8670 Francis Lewis Blvd</t>
  </si>
  <si>
    <t>9161 B 193rd St</t>
  </si>
  <si>
    <t>10019 204th St</t>
  </si>
  <si>
    <t>10312 112th St</t>
  </si>
  <si>
    <t>44 Church St</t>
  </si>
  <si>
    <t>14235 231st St</t>
  </si>
  <si>
    <t>6082 Catalpa Ave</t>
  </si>
  <si>
    <t>6091 70th Ave</t>
  </si>
  <si>
    <t>1718 Putnam Ave</t>
  </si>
  <si>
    <t>10460 Queens Blvd</t>
  </si>
  <si>
    <t>10446 43rd Ave</t>
  </si>
  <si>
    <t>9815 Horace Harding Expy</t>
  </si>
  <si>
    <t>7711 Park Dr E</t>
  </si>
  <si>
    <t>2124 Crescent St</t>
  </si>
  <si>
    <t>4215 43rd Ave</t>
  </si>
  <si>
    <t>3169 37th St</t>
  </si>
  <si>
    <t>4213 28th Ave</t>
  </si>
  <si>
    <t>8945 Doran Ave</t>
  </si>
  <si>
    <t>3920 Greenpoint Ave</t>
  </si>
  <si>
    <t>10944 160th St</t>
  </si>
  <si>
    <t>19524 Jamaica Ave</t>
  </si>
  <si>
    <t>4746 98th Pl</t>
  </si>
  <si>
    <t>14137 Pershing Cres</t>
  </si>
  <si>
    <t>170-25 171st Pl</t>
  </si>
  <si>
    <t>10702 Merrick Blvd</t>
  </si>
  <si>
    <t>22122 105th Ave</t>
  </si>
  <si>
    <t>8035 Springfield Blvd</t>
  </si>
  <si>
    <t>9427 77th St</t>
  </si>
  <si>
    <t>9531 90th St</t>
  </si>
  <si>
    <t>12360 83rd Ave</t>
  </si>
  <si>
    <t>18716 Mangin Ave</t>
  </si>
  <si>
    <t>1715 Gates Ave</t>
  </si>
  <si>
    <t>4346 69th St</t>
  </si>
  <si>
    <t>4116 51st St</t>
  </si>
  <si>
    <t>4129 53rd St</t>
  </si>
  <si>
    <t>3917 Woodside Ave</t>
  </si>
  <si>
    <t>99-05 63rd Drive, 9F</t>
  </si>
  <si>
    <t>3548 94th St</t>
  </si>
  <si>
    <t>3458 90th St</t>
  </si>
  <si>
    <t>4721 98th Pl</t>
  </si>
  <si>
    <t>3422 105th St</t>
  </si>
  <si>
    <t>14711 71st Rd</t>
  </si>
  <si>
    <t>6704 Parsons Blvd</t>
  </si>
  <si>
    <t>20218 43rd Ave</t>
  </si>
  <si>
    <t>3404 24th St</t>
  </si>
  <si>
    <t>1913 23rd Dr</t>
  </si>
  <si>
    <t>4524 39th Pl</t>
  </si>
  <si>
    <t>30-43 33red st</t>
  </si>
  <si>
    <t>4006 10th St</t>
  </si>
  <si>
    <t>13429 166th Pl</t>
  </si>
  <si>
    <t>12002 Sutphin Blvd</t>
  </si>
  <si>
    <t>17745 Ursina Rd</t>
  </si>
  <si>
    <t>4726 44th St</t>
  </si>
  <si>
    <t>4040 Elbertson St</t>
  </si>
  <si>
    <t>5610 94th St</t>
  </si>
  <si>
    <t>4156 Denman St</t>
  </si>
  <si>
    <t>13215 155th St</t>
  </si>
  <si>
    <t>16819 118th Rd</t>
  </si>
  <si>
    <t>10930 160th St</t>
  </si>
  <si>
    <t>8415 109th Ave</t>
  </si>
  <si>
    <t>23107 148th Ave</t>
  </si>
  <si>
    <t>7939 Myrtle Ave</t>
  </si>
  <si>
    <t>6935 166th St</t>
  </si>
  <si>
    <t>21709 120th Ave</t>
  </si>
  <si>
    <t>14845 89th Ave</t>
  </si>
  <si>
    <t>16820 127th Ave</t>
  </si>
  <si>
    <t>13211 Bennett Ct</t>
  </si>
  <si>
    <t>16329 130th Ave</t>
  </si>
  <si>
    <t>12052 168th St</t>
  </si>
  <si>
    <t>9212 175th St</t>
  </si>
  <si>
    <t>10844 160th St</t>
  </si>
  <si>
    <t>8415 86th St</t>
  </si>
  <si>
    <t>10932 Lefferts Blvd</t>
  </si>
  <si>
    <t>10919 96th St</t>
  </si>
  <si>
    <t>5906 Catalpa Ave</t>
  </si>
  <si>
    <t>1665 Palmetto St</t>
  </si>
  <si>
    <t>5417 43rd St</t>
  </si>
  <si>
    <t>4847 47th St</t>
  </si>
  <si>
    <t>4094 Denman St</t>
  </si>
  <si>
    <t>8008 45th Ave</t>
  </si>
  <si>
    <t>4123 76th St</t>
  </si>
  <si>
    <t>9335 Lamont Ave</t>
  </si>
  <si>
    <t>4207 Elberston st</t>
  </si>
  <si>
    <t>7911 41st Ave</t>
  </si>
  <si>
    <t>15016 72nd Rd</t>
  </si>
  <si>
    <t>15702 59th Ave</t>
  </si>
  <si>
    <t>13224 Maple Ave</t>
  </si>
  <si>
    <t>2314 28th St</t>
  </si>
  <si>
    <t>3168 47th St</t>
  </si>
  <si>
    <t>4710 48th Ave</t>
  </si>
  <si>
    <t>3538 94th St</t>
  </si>
  <si>
    <t>424 Astoria Blvd</t>
  </si>
  <si>
    <t>1351 Boston Rd</t>
  </si>
  <si>
    <t>17404 110th Ave</t>
  </si>
  <si>
    <t>6117 68th Ave</t>
  </si>
  <si>
    <t>4036 67th St</t>
  </si>
  <si>
    <t>108 E 6th Rd</t>
  </si>
  <si>
    <t>6921 Burchell Ave</t>
  </si>
  <si>
    <t>408 Beach 25th St</t>
  </si>
  <si>
    <t>413 Beach 44th St</t>
  </si>
  <si>
    <t>333 Beach 32nd St</t>
  </si>
  <si>
    <t>125-60 Suphin Boulevard</t>
  </si>
  <si>
    <t>12365 147th St</t>
  </si>
  <si>
    <t>14642 Lakewood Ave</t>
  </si>
  <si>
    <t>13901 Archer Ave</t>
  </si>
  <si>
    <t>8818 150th St</t>
  </si>
  <si>
    <t>11635 Sutphin Blvd</t>
  </si>
  <si>
    <t>17034 130th Ave</t>
  </si>
  <si>
    <t>11417 166th St</t>
  </si>
  <si>
    <t>17210 133rd Ave</t>
  </si>
  <si>
    <t>15323 Arlington Ter</t>
  </si>
  <si>
    <t>10716 165th St</t>
  </si>
  <si>
    <t>16819 110th Ave</t>
  </si>
  <si>
    <t>10538 170th St</t>
  </si>
  <si>
    <t>10702 154th St</t>
  </si>
  <si>
    <t>8815 168th St</t>
  </si>
  <si>
    <t>16909 Jamaica Ave</t>
  </si>
  <si>
    <t>8850 179th St</t>
  </si>
  <si>
    <t>8704 Avon St</t>
  </si>
  <si>
    <t>21253 Jamaica Ave</t>
  </si>
  <si>
    <t>9010 Winchester Blvd</t>
  </si>
  <si>
    <t>9150 195th St</t>
  </si>
  <si>
    <t>8743 86th St</t>
  </si>
  <si>
    <t>13316 131st St</t>
  </si>
  <si>
    <t>95-18 111 street</t>
  </si>
  <si>
    <t>10333 116th St</t>
  </si>
  <si>
    <t>10515 79th St</t>
  </si>
  <si>
    <t>146-23 228th st</t>
  </si>
  <si>
    <t>11627 Newburgh St</t>
  </si>
  <si>
    <t>19912 Hollis Ave</t>
  </si>
  <si>
    <t>11723 203rd St</t>
  </si>
  <si>
    <t>7132 66th Pl</t>
  </si>
  <si>
    <t>1817 Bleecker St</t>
  </si>
  <si>
    <t>1894 CORNELIA ST</t>
  </si>
  <si>
    <t>4601 67th St</t>
  </si>
  <si>
    <t>4720 48th St</t>
  </si>
  <si>
    <t>4718 46th St</t>
  </si>
  <si>
    <t>6314 Woodhaven Blvd</t>
  </si>
  <si>
    <t>9825 64th Rd</t>
  </si>
  <si>
    <t>8050 Baxter Ave</t>
  </si>
  <si>
    <t>7422 Woodside Ave</t>
  </si>
  <si>
    <t>5305 92nd St</t>
  </si>
  <si>
    <t>4343 91st Pl</t>
  </si>
  <si>
    <t>8015 41st Ave</t>
  </si>
  <si>
    <t>3755 79th St</t>
  </si>
  <si>
    <t>9722 57th Ave</t>
  </si>
  <si>
    <t>5829 Van Cleef St</t>
  </si>
  <si>
    <t>11021 Northern Blvd</t>
  </si>
  <si>
    <t>15476 71st Ave</t>
  </si>
  <si>
    <t>37-34 Parsons Blvd</t>
  </si>
  <si>
    <t>1830 121st St</t>
  </si>
  <si>
    <t>188 Beach 97th St</t>
  </si>
  <si>
    <t>25965 148th Ave</t>
  </si>
  <si>
    <t>11148B Lefferts Boulevard</t>
  </si>
  <si>
    <t>9727 117th St</t>
  </si>
  <si>
    <t>10601 79th St</t>
  </si>
  <si>
    <t>13708 Westgate St</t>
  </si>
  <si>
    <t>18620 Jordan Ave</t>
  </si>
  <si>
    <t>5433 Metropolitan Ave</t>
  </si>
  <si>
    <t>6717 Kissena Blvd</t>
  </si>
  <si>
    <t>7020 Parsons Blvd</t>
  </si>
  <si>
    <t>13425 Franklin Ave</t>
  </si>
  <si>
    <t>14624 58th RD</t>
  </si>
  <si>
    <t>15601 N Conduit Ave</t>
  </si>
  <si>
    <t>9160 193rd St</t>
  </si>
  <si>
    <t>7032 69th St</t>
  </si>
  <si>
    <t>8921 Elmhurst Ave</t>
  </si>
  <si>
    <t>8905 55th Ave</t>
  </si>
  <si>
    <t>3015 34th Ave</t>
  </si>
  <si>
    <t>125 Freedom Ave</t>
  </si>
  <si>
    <t>45 Seaver Ave</t>
  </si>
  <si>
    <t>655 Tysens Ln</t>
  </si>
  <si>
    <t>23 Fingerboard Rd</t>
  </si>
  <si>
    <t>247 Westwood Ave</t>
  </si>
  <si>
    <t>275 Westwood Ave</t>
  </si>
  <si>
    <t>131 N Mada Ave</t>
  </si>
  <si>
    <t>31 Markham Ln</t>
  </si>
  <si>
    <t>197 Gordon St</t>
  </si>
  <si>
    <t>65 Holland Ave</t>
  </si>
  <si>
    <t>17 Slaight St</t>
  </si>
  <si>
    <t>186 Elvin St</t>
  </si>
  <si>
    <t>773 Manor Rd</t>
  </si>
  <si>
    <t>51 Markham Ln</t>
  </si>
  <si>
    <t>1077 Castleton Ave</t>
  </si>
  <si>
    <t>1754 Richmond Rd</t>
  </si>
  <si>
    <t>51 Hill St</t>
  </si>
  <si>
    <t>173 Brabant St</t>
  </si>
  <si>
    <t>208 Lockman Ave</t>
  </si>
  <si>
    <t>165 Saint Marks Pl</t>
  </si>
  <si>
    <t>141 Chestnut Ave</t>
  </si>
  <si>
    <t>179 Brabant St</t>
  </si>
  <si>
    <t>911 Willowbrook Rd</t>
  </si>
  <si>
    <t>801 Manor Rd</t>
  </si>
  <si>
    <t>557 Eltingville Blvd</t>
  </si>
  <si>
    <t>97 Englewood Ave</t>
  </si>
  <si>
    <t>408 Lincoln Ave</t>
  </si>
  <si>
    <t>26 Robin Rd</t>
  </si>
  <si>
    <t>181 Gordon St</t>
  </si>
  <si>
    <t>176 Schmidts Ln</t>
  </si>
  <si>
    <t>40 Skinner Ln</t>
  </si>
  <si>
    <t>778 Henderson Ave</t>
  </si>
  <si>
    <t>778 Henderson Avenue</t>
  </si>
  <si>
    <t>305 Osgood Ave</t>
  </si>
  <si>
    <t>18a Richmond Ct</t>
  </si>
  <si>
    <t>80 Roxbury St</t>
  </si>
  <si>
    <t>74 Roxbury Street</t>
  </si>
  <si>
    <t>4EW</t>
  </si>
  <si>
    <t>4-0</t>
  </si>
  <si>
    <t>1G</t>
  </si>
  <si>
    <t>1F</t>
  </si>
  <si>
    <t>3I</t>
  </si>
  <si>
    <t>1B</t>
  </si>
  <si>
    <t>6A</t>
  </si>
  <si>
    <t>1I</t>
  </si>
  <si>
    <t>5B</t>
  </si>
  <si>
    <t>6AN</t>
  </si>
  <si>
    <t>7D</t>
  </si>
  <si>
    <t>6H</t>
  </si>
  <si>
    <t>2E</t>
  </si>
  <si>
    <t>4F</t>
  </si>
  <si>
    <t>5E</t>
  </si>
  <si>
    <t>3C</t>
  </si>
  <si>
    <t>B11</t>
  </si>
  <si>
    <t>4E</t>
  </si>
  <si>
    <t>6F</t>
  </si>
  <si>
    <t>5C</t>
  </si>
  <si>
    <t>7E</t>
  </si>
  <si>
    <t>B2</t>
  </si>
  <si>
    <t>B53</t>
  </si>
  <si>
    <t>2A</t>
  </si>
  <si>
    <t>3A</t>
  </si>
  <si>
    <t>1A</t>
  </si>
  <si>
    <t>4D</t>
  </si>
  <si>
    <t>8B</t>
  </si>
  <si>
    <t>2M</t>
  </si>
  <si>
    <t>4A</t>
  </si>
  <si>
    <t>4H</t>
  </si>
  <si>
    <t>5J</t>
  </si>
  <si>
    <t>2G</t>
  </si>
  <si>
    <t>C4</t>
  </si>
  <si>
    <t>4B</t>
  </si>
  <si>
    <t>3D</t>
  </si>
  <si>
    <t>8C (THIRD FLOOR)</t>
  </si>
  <si>
    <t>15C</t>
  </si>
  <si>
    <t>3E</t>
  </si>
  <si>
    <t>E44</t>
  </si>
  <si>
    <t>47A</t>
  </si>
  <si>
    <t>4G</t>
  </si>
  <si>
    <t>4f</t>
  </si>
  <si>
    <t>5G</t>
  </si>
  <si>
    <t>1C</t>
  </si>
  <si>
    <t>3H</t>
  </si>
  <si>
    <t>2B</t>
  </si>
  <si>
    <t>3U</t>
  </si>
  <si>
    <t>2F</t>
  </si>
  <si>
    <t>6N</t>
  </si>
  <si>
    <t>12E</t>
  </si>
  <si>
    <t>6c</t>
  </si>
  <si>
    <t>5BW</t>
  </si>
  <si>
    <t>6C</t>
  </si>
  <si>
    <t>6E</t>
  </si>
  <si>
    <t>2nd Floor</t>
  </si>
  <si>
    <t>4C</t>
  </si>
  <si>
    <t>B1</t>
  </si>
  <si>
    <t>6G</t>
  </si>
  <si>
    <t>DW</t>
  </si>
  <si>
    <t>3F</t>
  </si>
  <si>
    <t>A2</t>
  </si>
  <si>
    <t>10C</t>
  </si>
  <si>
    <t>2D</t>
  </si>
  <si>
    <t>17G</t>
  </si>
  <si>
    <t>5M</t>
  </si>
  <si>
    <t>5N</t>
  </si>
  <si>
    <t>4N</t>
  </si>
  <si>
    <t>10B</t>
  </si>
  <si>
    <t>10D</t>
  </si>
  <si>
    <t>WI</t>
  </si>
  <si>
    <t>2 D</t>
  </si>
  <si>
    <t>Apt. 1A</t>
  </si>
  <si>
    <t>4DN</t>
  </si>
  <si>
    <t>Bsmt</t>
  </si>
  <si>
    <t>19E</t>
  </si>
  <si>
    <t>23C</t>
  </si>
  <si>
    <t>3B</t>
  </si>
  <si>
    <t>2nd FL</t>
  </si>
  <si>
    <t>22A</t>
  </si>
  <si>
    <t>6a</t>
  </si>
  <si>
    <t>7F</t>
  </si>
  <si>
    <t>4P</t>
  </si>
  <si>
    <t>K51</t>
  </si>
  <si>
    <t>2C</t>
  </si>
  <si>
    <t>A1</t>
  </si>
  <si>
    <t>D10</t>
  </si>
  <si>
    <t>2J</t>
  </si>
  <si>
    <t>5W</t>
  </si>
  <si>
    <t>5-J</t>
  </si>
  <si>
    <t>6B</t>
  </si>
  <si>
    <t>E4</t>
  </si>
  <si>
    <t>6K</t>
  </si>
  <si>
    <t>7B</t>
  </si>
  <si>
    <t>1ST</t>
  </si>
  <si>
    <t>B</t>
  </si>
  <si>
    <t>9E</t>
  </si>
  <si>
    <t>BM</t>
  </si>
  <si>
    <t>4I</t>
  </si>
  <si>
    <t>5D</t>
  </si>
  <si>
    <t>5GH</t>
  </si>
  <si>
    <t>C</t>
  </si>
  <si>
    <t>2S</t>
  </si>
  <si>
    <t>21W</t>
  </si>
  <si>
    <t>8H</t>
  </si>
  <si>
    <t>11E</t>
  </si>
  <si>
    <t>39A</t>
  </si>
  <si>
    <t>17B</t>
  </si>
  <si>
    <t>2K</t>
  </si>
  <si>
    <t>2R</t>
  </si>
  <si>
    <t>17N</t>
  </si>
  <si>
    <t>8F</t>
  </si>
  <si>
    <t>1D</t>
  </si>
  <si>
    <t>1J</t>
  </si>
  <si>
    <t>32B</t>
  </si>
  <si>
    <t>Ground loor</t>
  </si>
  <si>
    <t>8E</t>
  </si>
  <si>
    <t>12B</t>
  </si>
  <si>
    <t>2L</t>
  </si>
  <si>
    <t>2-C</t>
  </si>
  <si>
    <t>Floor 2</t>
  </si>
  <si>
    <t>15F</t>
  </si>
  <si>
    <t>7C</t>
  </si>
  <si>
    <t>Apt 9G</t>
  </si>
  <si>
    <t>3G</t>
  </si>
  <si>
    <t>2H</t>
  </si>
  <si>
    <t>1W</t>
  </si>
  <si>
    <t>1M</t>
  </si>
  <si>
    <t>9H</t>
  </si>
  <si>
    <t>F12</t>
  </si>
  <si>
    <t>3R</t>
  </si>
  <si>
    <t>1Q</t>
  </si>
  <si>
    <t>BB15</t>
  </si>
  <si>
    <t>A-10</t>
  </si>
  <si>
    <t>B5</t>
  </si>
  <si>
    <t>J</t>
  </si>
  <si>
    <t>4-3F</t>
  </si>
  <si>
    <t>06H</t>
  </si>
  <si>
    <t>4M</t>
  </si>
  <si>
    <t>32A</t>
  </si>
  <si>
    <t>4a</t>
  </si>
  <si>
    <t>D</t>
  </si>
  <si>
    <t>3M</t>
  </si>
  <si>
    <t>19D</t>
  </si>
  <si>
    <t>6D</t>
  </si>
  <si>
    <t>2T</t>
  </si>
  <si>
    <t>basement</t>
  </si>
  <si>
    <t>5O</t>
  </si>
  <si>
    <t>2h</t>
  </si>
  <si>
    <t>#6J</t>
  </si>
  <si>
    <t>D3</t>
  </si>
  <si>
    <t>5-E</t>
  </si>
  <si>
    <t>#2 C</t>
  </si>
  <si>
    <t>D4</t>
  </si>
  <si>
    <t>#3-A</t>
  </si>
  <si>
    <t>D5</t>
  </si>
  <si>
    <t>Apt 1B</t>
  </si>
  <si>
    <t>1st Floor</t>
  </si>
  <si>
    <t>10G</t>
  </si>
  <si>
    <t>3f</t>
  </si>
  <si>
    <t>2-F</t>
  </si>
  <si>
    <t>C9</t>
  </si>
  <si>
    <t>2 R4</t>
  </si>
  <si>
    <t>#4G</t>
  </si>
  <si>
    <t>#2A</t>
  </si>
  <si>
    <t>2 room 2</t>
  </si>
  <si>
    <t>E1</t>
  </si>
  <si>
    <t>5A</t>
  </si>
  <si>
    <t>24J</t>
  </si>
  <si>
    <t>Apt. 7B</t>
  </si>
  <si>
    <t>C6</t>
  </si>
  <si>
    <t>Apt. 2F</t>
  </si>
  <si>
    <t>#2D</t>
  </si>
  <si>
    <t>B10</t>
  </si>
  <si>
    <t>1R</t>
  </si>
  <si>
    <t>#E6</t>
  </si>
  <si>
    <t>13 E</t>
  </si>
  <si>
    <t>6k5</t>
  </si>
  <si>
    <t>Apt. 1-B</t>
  </si>
  <si>
    <t>apt 7A</t>
  </si>
  <si>
    <t>#C</t>
  </si>
  <si>
    <t>Private House</t>
  </si>
  <si>
    <t>3T</t>
  </si>
  <si>
    <t>5p</t>
  </si>
  <si>
    <t>A6</t>
  </si>
  <si>
    <t>5th Fl O</t>
  </si>
  <si>
    <t>B12</t>
  </si>
  <si>
    <t>GR3</t>
  </si>
  <si>
    <t>#511</t>
  </si>
  <si>
    <t>#6E</t>
  </si>
  <si>
    <t>A9</t>
  </si>
  <si>
    <t>6M</t>
  </si>
  <si>
    <t>Apt 6A</t>
  </si>
  <si>
    <t>#18H</t>
  </si>
  <si>
    <t>C1</t>
  </si>
  <si>
    <t>F-7</t>
  </si>
  <si>
    <t>10L1</t>
  </si>
  <si>
    <t>3L</t>
  </si>
  <si>
    <t>4L</t>
  </si>
  <si>
    <t>#2B</t>
  </si>
  <si>
    <t>1L</t>
  </si>
  <si>
    <t>#2F</t>
  </si>
  <si>
    <t>C-8</t>
  </si>
  <si>
    <t>12C</t>
  </si>
  <si>
    <t>C11</t>
  </si>
  <si>
    <t>#1</t>
  </si>
  <si>
    <t>#2-B1</t>
  </si>
  <si>
    <t>#2</t>
  </si>
  <si>
    <t>13H</t>
  </si>
  <si>
    <t>#5</t>
  </si>
  <si>
    <t>3rd Floor</t>
  </si>
  <si>
    <t>B21</t>
  </si>
  <si>
    <t>A41</t>
  </si>
  <si>
    <t>2nd floor</t>
  </si>
  <si>
    <t>20F</t>
  </si>
  <si>
    <t>3-H</t>
  </si>
  <si>
    <t>3-D</t>
  </si>
  <si>
    <t>#3F</t>
  </si>
  <si>
    <t>16D</t>
  </si>
  <si>
    <t>5K</t>
  </si>
  <si>
    <t>52C</t>
  </si>
  <si>
    <t>A22</t>
  </si>
  <si>
    <t>D31g</t>
  </si>
  <si>
    <t>31E</t>
  </si>
  <si>
    <t>13A</t>
  </si>
  <si>
    <t>4k</t>
  </si>
  <si>
    <t>3N</t>
  </si>
  <si>
    <t>11B1</t>
  </si>
  <si>
    <t>21C</t>
  </si>
  <si>
    <t>5d</t>
  </si>
  <si>
    <t>02G</t>
  </si>
  <si>
    <t>16H</t>
  </si>
  <si>
    <t>5R</t>
  </si>
  <si>
    <t>D10G</t>
  </si>
  <si>
    <t>19I</t>
  </si>
  <si>
    <t>13D</t>
  </si>
  <si>
    <t>39V</t>
  </si>
  <si>
    <t>7G</t>
  </si>
  <si>
    <t>12A</t>
  </si>
  <si>
    <t>11C</t>
  </si>
  <si>
    <t>14C</t>
  </si>
  <si>
    <t>8P</t>
  </si>
  <si>
    <t>7-G</t>
  </si>
  <si>
    <t>10A</t>
  </si>
  <si>
    <t>18I</t>
  </si>
  <si>
    <t>25D</t>
  </si>
  <si>
    <t>12G</t>
  </si>
  <si>
    <t>Apt. 3C</t>
  </si>
  <si>
    <t>1E</t>
  </si>
  <si>
    <t>8N</t>
  </si>
  <si>
    <t>21A</t>
  </si>
  <si>
    <t>2nd fl</t>
  </si>
  <si>
    <t>Apt. 4E</t>
  </si>
  <si>
    <t>11O</t>
  </si>
  <si>
    <t>5F</t>
  </si>
  <si>
    <t>S7K</t>
  </si>
  <si>
    <t>6-D</t>
  </si>
  <si>
    <t>9D</t>
  </si>
  <si>
    <t>1st. Fl</t>
  </si>
  <si>
    <t>7-D</t>
  </si>
  <si>
    <t>Basement</t>
  </si>
  <si>
    <t>B45</t>
  </si>
  <si>
    <t>11B</t>
  </si>
  <si>
    <t>17E</t>
  </si>
  <si>
    <t>A</t>
  </si>
  <si>
    <t>3J</t>
  </si>
  <si>
    <t>Gr. Front 100M</t>
  </si>
  <si>
    <t>1st fl</t>
  </si>
  <si>
    <t>Apt 3D</t>
  </si>
  <si>
    <t>1c</t>
  </si>
  <si>
    <t>12-B</t>
  </si>
  <si>
    <t>2nd Fl</t>
  </si>
  <si>
    <t>9B</t>
  </si>
  <si>
    <t>T24</t>
  </si>
  <si>
    <t>2b</t>
  </si>
  <si>
    <t>Upper unit</t>
  </si>
  <si>
    <t>Bsmnt</t>
  </si>
  <si>
    <t>3e</t>
  </si>
  <si>
    <t>1st</t>
  </si>
  <si>
    <t>5L</t>
  </si>
  <si>
    <t>3K</t>
  </si>
  <si>
    <t>42 - 4th fl</t>
  </si>
  <si>
    <t>L324</t>
  </si>
  <si>
    <t>3V</t>
  </si>
  <si>
    <t>06D</t>
  </si>
  <si>
    <t>Basement apt</t>
  </si>
  <si>
    <t>Second Floor</t>
  </si>
  <si>
    <t>A5</t>
  </si>
  <si>
    <t>B61</t>
  </si>
  <si>
    <t>PH</t>
  </si>
  <si>
    <t>18m</t>
  </si>
  <si>
    <t>6ST</t>
  </si>
  <si>
    <t>F-17</t>
  </si>
  <si>
    <t>AO7</t>
  </si>
  <si>
    <t>rents the house</t>
  </si>
  <si>
    <t>1st floor</t>
  </si>
  <si>
    <t>9F</t>
  </si>
  <si>
    <t>P3</t>
  </si>
  <si>
    <t>311A</t>
  </si>
  <si>
    <t>Apt 7C</t>
  </si>
  <si>
    <t>05G</t>
  </si>
  <si>
    <t>13C</t>
  </si>
  <si>
    <t>D106</t>
  </si>
  <si>
    <t>12-A</t>
  </si>
  <si>
    <t>A324</t>
  </si>
  <si>
    <t>7N</t>
  </si>
  <si>
    <t>B509</t>
  </si>
  <si>
    <t>C2</t>
  </si>
  <si>
    <t>1CP</t>
  </si>
  <si>
    <t>2c</t>
  </si>
  <si>
    <t>4g</t>
  </si>
  <si>
    <t>Attic</t>
  </si>
  <si>
    <t>Room A201-2</t>
  </si>
  <si>
    <t>#B</t>
  </si>
  <si>
    <t>19k</t>
  </si>
  <si>
    <t>C105</t>
  </si>
  <si>
    <t>D9</t>
  </si>
  <si>
    <t>10E</t>
  </si>
  <si>
    <t>01-F</t>
  </si>
  <si>
    <t>Basement, Back Entrance</t>
  </si>
  <si>
    <t>bsmnt</t>
  </si>
  <si>
    <t>First Floor</t>
  </si>
  <si>
    <t>3FT</t>
  </si>
  <si>
    <t>6gg</t>
  </si>
  <si>
    <t>Apt 4L</t>
  </si>
  <si>
    <t>10--O</t>
  </si>
  <si>
    <t>54A</t>
  </si>
  <si>
    <t>entire house</t>
  </si>
  <si>
    <t>03A</t>
  </si>
  <si>
    <t>1st FL</t>
  </si>
  <si>
    <t>C28</t>
  </si>
  <si>
    <t>Apt 330</t>
  </si>
  <si>
    <t>6L</t>
  </si>
  <si>
    <t>9A</t>
  </si>
  <si>
    <t>1H</t>
  </si>
  <si>
    <t>2 Floor</t>
  </si>
  <si>
    <t>7A</t>
  </si>
  <si>
    <t>Bronx</t>
  </si>
  <si>
    <t>New York</t>
  </si>
  <si>
    <t>bronx</t>
  </si>
  <si>
    <t>Brooklyn</t>
  </si>
  <si>
    <t>Jamaica</t>
  </si>
  <si>
    <t>NEW YORK</t>
  </si>
  <si>
    <t>Rockaway Bch</t>
  </si>
  <si>
    <t>Queens Village</t>
  </si>
  <si>
    <t>Ozone Park</t>
  </si>
  <si>
    <t>Ridgewood</t>
  </si>
  <si>
    <t>Maspeth</t>
  </si>
  <si>
    <t>Woodside</t>
  </si>
  <si>
    <t>Elmhurst</t>
  </si>
  <si>
    <t>East Elmhurst</t>
  </si>
  <si>
    <t>Corona</t>
  </si>
  <si>
    <t>Oakland Gdns</t>
  </si>
  <si>
    <t>Bayside</t>
  </si>
  <si>
    <t>Astoria</t>
  </si>
  <si>
    <t>Hollis</t>
  </si>
  <si>
    <t>Woodhaven</t>
  </si>
  <si>
    <t>Richmond Hill</t>
  </si>
  <si>
    <t>Kew Gardens</t>
  </si>
  <si>
    <t>Middle Vlg</t>
  </si>
  <si>
    <t>Jackson Hts</t>
  </si>
  <si>
    <t>Fresh Meadows</t>
  </si>
  <si>
    <t>College Point</t>
  </si>
  <si>
    <t>Flushing</t>
  </si>
  <si>
    <t>Sprngfld Gdns</t>
  </si>
  <si>
    <t>Glendale</t>
  </si>
  <si>
    <t>Rockaway Beach</t>
  </si>
  <si>
    <t>Springfield Gardens</t>
  </si>
  <si>
    <t>Jackson Heights</t>
  </si>
  <si>
    <t>S Richmond Hl</t>
  </si>
  <si>
    <t>South Richmond Hill</t>
  </si>
  <si>
    <t>Forest Hills</t>
  </si>
  <si>
    <t>Saint Albans</t>
  </si>
  <si>
    <t>Queens Vlg</t>
  </si>
  <si>
    <t>Howard Beach</t>
  </si>
  <si>
    <t>Laurelton</t>
  </si>
  <si>
    <t>Sunnyside</t>
  </si>
  <si>
    <t>Rego Park</t>
  </si>
  <si>
    <t>Long Island City</t>
  </si>
  <si>
    <t>Cambria Heights</t>
  </si>
  <si>
    <t>South Ozone Park</t>
  </si>
  <si>
    <t>Broad Channel</t>
  </si>
  <si>
    <t>Arverne</t>
  </si>
  <si>
    <t>Far Rockaway</t>
  </si>
  <si>
    <t>RIDGEWOOD</t>
  </si>
  <si>
    <t>Rosedale</t>
  </si>
  <si>
    <t>Staten Island</t>
  </si>
  <si>
    <t>NY</t>
  </si>
  <si>
    <t>Yes</t>
  </si>
  <si>
    <t xml:space="preserve"> </t>
  </si>
  <si>
    <t>No</t>
  </si>
  <si>
    <t>HRA</t>
  </si>
  <si>
    <t>Court Referral-NON HRA</t>
  </si>
  <si>
    <t>Community Organization</t>
  </si>
  <si>
    <t>Returning Client</t>
  </si>
  <si>
    <t>Word of mouth</t>
  </si>
  <si>
    <t>In-House</t>
  </si>
  <si>
    <t>Self-referred</t>
  </si>
  <si>
    <t>Other City Agency</t>
  </si>
  <si>
    <t>Other</t>
  </si>
  <si>
    <t>Outreach</t>
  </si>
  <si>
    <t>Home base</t>
  </si>
  <si>
    <t>Elected Official</t>
  </si>
  <si>
    <t>3-1-1</t>
  </si>
  <si>
    <t>Friends/Family</t>
  </si>
  <si>
    <t>HRA ELS Part F Brooklyn</t>
  </si>
  <si>
    <t>ADP Hotline</t>
  </si>
  <si>
    <t>Court</t>
  </si>
  <si>
    <t>HRA ELS (Assigned Counsel)</t>
  </si>
  <si>
    <t>LT-026297-19/BX</t>
  </si>
  <si>
    <t>LT-047695-19/BX</t>
  </si>
  <si>
    <t>L&amp;T-047198-19/BX</t>
  </si>
  <si>
    <t>LT-044352-19/BX</t>
  </si>
  <si>
    <t>LT-043947-19/BX</t>
  </si>
  <si>
    <t>none</t>
  </si>
  <si>
    <t>LT-44933/19</t>
  </si>
  <si>
    <t>LT-032006-19/BX</t>
  </si>
  <si>
    <t>LT-045545-19/BX</t>
  </si>
  <si>
    <t>LT-38463-19/BX</t>
  </si>
  <si>
    <t>LT-061706-18/BX</t>
  </si>
  <si>
    <t>LT-044399-19/BX</t>
  </si>
  <si>
    <t>LT-042234-19/BX</t>
  </si>
  <si>
    <t>LT-035706-19/BX</t>
  </si>
  <si>
    <t>LT-045179-19/BX</t>
  </si>
  <si>
    <t>LT-044929-19/BX</t>
  </si>
  <si>
    <t>LT-048006-19/BX</t>
  </si>
  <si>
    <t>LT-044398-19/BX</t>
  </si>
  <si>
    <t>LT-045947-19/BX</t>
  </si>
  <si>
    <t>LT-030280-19/BX</t>
  </si>
  <si>
    <t>LT-039057-19/BX</t>
  </si>
  <si>
    <t>LT-027123-19/BX</t>
  </si>
  <si>
    <t>LT-034574-19/BX</t>
  </si>
  <si>
    <t>LT-028831-19/BX</t>
  </si>
  <si>
    <t>LT-043433-19/BX</t>
  </si>
  <si>
    <t>LT-040648-19/BX</t>
  </si>
  <si>
    <t>LT-035834-19/BX</t>
  </si>
  <si>
    <t>LT-041268-19/BX</t>
  </si>
  <si>
    <t>LT-001985-19/BX</t>
  </si>
  <si>
    <t>LT-807157-19/BX</t>
  </si>
  <si>
    <t>CV-300197-18/BX</t>
  </si>
  <si>
    <t>LT-46179-19</t>
  </si>
  <si>
    <t>LT-067219-18/BX</t>
  </si>
  <si>
    <t>LT-030390-19/BX</t>
  </si>
  <si>
    <t>LT-042372-19/BX</t>
  </si>
  <si>
    <t>LT-047968-19/BX</t>
  </si>
  <si>
    <t>LT-021614-19/BX</t>
  </si>
  <si>
    <t>LT-037310-19/BX</t>
  </si>
  <si>
    <t>LT-043143-19/BX</t>
  </si>
  <si>
    <t>LT-048124-19/BX</t>
  </si>
  <si>
    <t>LT-026480-19/BX</t>
  </si>
  <si>
    <t>LT-031892-19/BX</t>
  </si>
  <si>
    <t>LT-040771-19/BX</t>
  </si>
  <si>
    <t>LT-033743-19/BX</t>
  </si>
  <si>
    <t>LT-045323-19/BX</t>
  </si>
  <si>
    <t>LT-025057</t>
  </si>
  <si>
    <t>LT-066911-18/BX</t>
  </si>
  <si>
    <t>LT-044508-19/BX</t>
  </si>
  <si>
    <t>LT-039285-19/BX</t>
  </si>
  <si>
    <t>LT-036069-19/BX</t>
  </si>
  <si>
    <t>LT-046876-19/BX</t>
  </si>
  <si>
    <t>LT-052689-18/BX</t>
  </si>
  <si>
    <t>LT-023949-19/BX</t>
  </si>
  <si>
    <t>LT-021330-19/BX</t>
  </si>
  <si>
    <t>LT-027756-19/BX</t>
  </si>
  <si>
    <t>LT-068277-18/BX</t>
  </si>
  <si>
    <t>LT-043415-19/BX</t>
  </si>
  <si>
    <t>L&amp;T-46832-19/BX</t>
  </si>
  <si>
    <t>LT-025970-19/BX</t>
  </si>
  <si>
    <t>LT-042923-19/BX</t>
  </si>
  <si>
    <t>LT-042626-19/BX</t>
  </si>
  <si>
    <t>LT-055947-18/BX</t>
  </si>
  <si>
    <t>LT-067825-18/Bx</t>
  </si>
  <si>
    <t>LT-014787-19/BX</t>
  </si>
  <si>
    <t>LT-026976-19/BX</t>
  </si>
  <si>
    <t>L&amp;T-047052-19/BX</t>
  </si>
  <si>
    <t>LT-021432-19/BX</t>
  </si>
  <si>
    <t>903278-NB-2018</t>
  </si>
  <si>
    <t>LT-802471- 16/BX</t>
  </si>
  <si>
    <t>LT-012718-19/BX</t>
  </si>
  <si>
    <t>LT-031634-19/BX</t>
  </si>
  <si>
    <t>LT-036153-19/BX</t>
  </si>
  <si>
    <t>LT-04437-19/BX</t>
  </si>
  <si>
    <t>LT 039558-19/BX</t>
  </si>
  <si>
    <t>LT-042029-19/BX</t>
  </si>
  <si>
    <t>LT-045664-19/BX</t>
  </si>
  <si>
    <t>LT-044721-19/BX</t>
  </si>
  <si>
    <t>LT-045175-19/BX</t>
  </si>
  <si>
    <t>LT-044956-19/BX</t>
  </si>
  <si>
    <t>LT-803083-15/BX</t>
  </si>
  <si>
    <t>LT-041354-19/BX</t>
  </si>
  <si>
    <t>LT-044786-19/BX</t>
  </si>
  <si>
    <t>LT-034003-19/BX</t>
  </si>
  <si>
    <t>LT-042066-19/BX</t>
  </si>
  <si>
    <t>LT-043887-19/BX</t>
  </si>
  <si>
    <t>LT-044886-19/BX</t>
  </si>
  <si>
    <t>LT- 044394-19/BX</t>
  </si>
  <si>
    <t>LT-042064-19/BX</t>
  </si>
  <si>
    <t>LT-042361-19/BX</t>
  </si>
  <si>
    <t>LT-046942-19/BX</t>
  </si>
  <si>
    <t>LT-042096-19/BX</t>
  </si>
  <si>
    <t>LT-041682-19/BX</t>
  </si>
  <si>
    <t>LT-006229-19/BX</t>
  </si>
  <si>
    <t>LT-029949-19/BX</t>
  </si>
  <si>
    <t>LT-022315-19/BX</t>
  </si>
  <si>
    <t>LT-040467-19/BX</t>
  </si>
  <si>
    <t>LT-040706-19/BX</t>
  </si>
  <si>
    <t>LT-039338-19/BX</t>
  </si>
  <si>
    <t>LT-004539-19/BX</t>
  </si>
  <si>
    <t>LT-012424-18/BX</t>
  </si>
  <si>
    <t>LT-027113-19/BX</t>
  </si>
  <si>
    <t>LT-042956-19/BX</t>
  </si>
  <si>
    <t>LT-036473-19/BX</t>
  </si>
  <si>
    <t>LT-045416-19/BX</t>
  </si>
  <si>
    <t>LT-033842-19/BX</t>
  </si>
  <si>
    <t>LT-021554-19/BX</t>
  </si>
  <si>
    <t>LT-028963-19/BX</t>
  </si>
  <si>
    <t>LT-054650-18/BX</t>
  </si>
  <si>
    <t>LT-025758-19/BX</t>
  </si>
  <si>
    <t>LT-038793-18/BX</t>
  </si>
  <si>
    <t>LT-043250-19/BX</t>
  </si>
  <si>
    <t>LT-038624-18/BX</t>
  </si>
  <si>
    <t>LT-044460-16/BX</t>
  </si>
  <si>
    <t>LT-040707-19/BX</t>
  </si>
  <si>
    <t>LT-28833/19</t>
  </si>
  <si>
    <t>L&amp;T-45557-19/BX</t>
  </si>
  <si>
    <t>L&amp;T-47447-19/BX</t>
  </si>
  <si>
    <t>L&amp;T-41626-19/BX</t>
  </si>
  <si>
    <t>LT-067070-18/BX</t>
  </si>
  <si>
    <t>LT-032435-19/BX</t>
  </si>
  <si>
    <t>LT-040380-19/BX</t>
  </si>
  <si>
    <t>LT-032075-19/BX</t>
  </si>
  <si>
    <t>LT-035614-19/BX</t>
  </si>
  <si>
    <t>LT-022488-19/BX</t>
  </si>
  <si>
    <t>LT-810376-17/BX</t>
  </si>
  <si>
    <t>LT-045407-19/BX</t>
  </si>
  <si>
    <t>LT-041333-19/BX</t>
  </si>
  <si>
    <t>LT-009656-19/BX</t>
  </si>
  <si>
    <t>LT-031906-19/BX</t>
  </si>
  <si>
    <t>LT-038118-19/BX</t>
  </si>
  <si>
    <t>LT-005595-19/BX</t>
  </si>
  <si>
    <t>LT-022940-19/BX</t>
  </si>
  <si>
    <t>L&amp;T-46483-19/BX</t>
  </si>
  <si>
    <t>LT-021706-19/BX</t>
  </si>
  <si>
    <t>L&amp;T-042631-19/BX</t>
  </si>
  <si>
    <t>19-421</t>
  </si>
  <si>
    <t>LT-023383-19/BX</t>
  </si>
  <si>
    <t>LT-030388-19/BX</t>
  </si>
  <si>
    <t>LT-044376-19/BX</t>
  </si>
  <si>
    <t>LT-035590-19/BX</t>
  </si>
  <si>
    <t>LT-41742-19/BX</t>
  </si>
  <si>
    <t>LT-064844-18/BX</t>
  </si>
  <si>
    <t>LT-015463-19/BX</t>
  </si>
  <si>
    <t>LT-013325-19/BX</t>
  </si>
  <si>
    <t>LT-041106-19/BX</t>
  </si>
  <si>
    <t>LT-043580-19/BX</t>
  </si>
  <si>
    <t>LT-036395-19/BX</t>
  </si>
  <si>
    <t>LT-040575-19/BX</t>
  </si>
  <si>
    <t>LT-039693-19/BX</t>
  </si>
  <si>
    <t>LT-044028-19/BX</t>
  </si>
  <si>
    <t>LT-043229-19/BX</t>
  </si>
  <si>
    <t>LT-039600-19/BX</t>
  </si>
  <si>
    <t>LT-045649-19/BX</t>
  </si>
  <si>
    <t>LT-048153-19/BX</t>
  </si>
  <si>
    <t>LT-040328-19/BX</t>
  </si>
  <si>
    <t>LT-031781-19/BX</t>
  </si>
  <si>
    <t>LT-033072-19/BX</t>
  </si>
  <si>
    <t>LT-041712-19/BX</t>
  </si>
  <si>
    <t>LT-047453-19/BX</t>
  </si>
  <si>
    <t>LT-048095-19/BX</t>
  </si>
  <si>
    <t>LT-037263-19/BX</t>
  </si>
  <si>
    <t>LT-046036-19/BX</t>
  </si>
  <si>
    <t>LT-038183-19/BX</t>
  </si>
  <si>
    <t>LT-035321-19/BX</t>
  </si>
  <si>
    <t>LT-042379-19/BX</t>
  </si>
  <si>
    <t>LT-036200-19/BX</t>
  </si>
  <si>
    <t>LT-032890-19/BX</t>
  </si>
  <si>
    <t>LT-039628-19/BX</t>
  </si>
  <si>
    <t>LT-037742-19/BX</t>
  </si>
  <si>
    <t>LT-027440-19/BX</t>
  </si>
  <si>
    <t>LT-033409-19/BX</t>
  </si>
  <si>
    <t>LT-033939-19/BX</t>
  </si>
  <si>
    <t>LT-040782-19/BX</t>
  </si>
  <si>
    <t>LT-014875-19/BX</t>
  </si>
  <si>
    <t>LT-033453-19/BX</t>
  </si>
  <si>
    <t>LT-016768-19/BX</t>
  </si>
  <si>
    <t>LT-039947-19/BX</t>
  </si>
  <si>
    <t>LT-019189-19/BX</t>
  </si>
  <si>
    <t>LT-043231-19/BX</t>
  </si>
  <si>
    <t>LT-023705/17-BX</t>
  </si>
  <si>
    <t>LT-804027-19/BX</t>
  </si>
  <si>
    <t>LT-031522-19/BX</t>
  </si>
  <si>
    <t>LT-030833-19/BX</t>
  </si>
  <si>
    <t>LT-036362-19/BX</t>
  </si>
  <si>
    <t>LT-046138-19/BX</t>
  </si>
  <si>
    <t>LT-038363-19/BX</t>
  </si>
  <si>
    <t>LT-033199-19/BX</t>
  </si>
  <si>
    <t>LT-805496-19/BX</t>
  </si>
  <si>
    <t>LT-802225-15/BX</t>
  </si>
  <si>
    <t>LT-028536-19/BX</t>
  </si>
  <si>
    <t>LT-047943-19/BX</t>
  </si>
  <si>
    <t>LT-047824-19/BX</t>
  </si>
  <si>
    <t>LT-044924-19/BX</t>
  </si>
  <si>
    <t>044780-19/BX</t>
  </si>
  <si>
    <t>LT-6448-19/BX</t>
  </si>
  <si>
    <t>LT-006448-19/BX</t>
  </si>
  <si>
    <t>LT-043097-19/BX</t>
  </si>
  <si>
    <t>LT-036792-19/BX</t>
  </si>
  <si>
    <t>LT-034311-19/BX</t>
  </si>
  <si>
    <t>LT-037962-19/BX</t>
  </si>
  <si>
    <t>LT-036472-19/BX</t>
  </si>
  <si>
    <t>LT-043602-19/BX</t>
  </si>
  <si>
    <t>LT-046367-19/BX</t>
  </si>
  <si>
    <t>LT-047222-19/BX</t>
  </si>
  <si>
    <t>LT-061984-11/BX</t>
  </si>
  <si>
    <t>LT-041254-19/BX</t>
  </si>
  <si>
    <t>LT-035598-19/BX</t>
  </si>
  <si>
    <t>LT-018136-19/BX</t>
  </si>
  <si>
    <t>LT-020421-19/BX</t>
  </si>
  <si>
    <t>002783/2016</t>
  </si>
  <si>
    <t>LT-043193-19/BX</t>
  </si>
  <si>
    <t>LT-036474-19/BX</t>
  </si>
  <si>
    <t>LT-042370-19/BX</t>
  </si>
  <si>
    <t>LT-045303-19/BX</t>
  </si>
  <si>
    <t>LT-011376-19/BX</t>
  </si>
  <si>
    <t>GV 610104 R</t>
  </si>
  <si>
    <t>LT-813600-18/BX</t>
  </si>
  <si>
    <t>LT-813127-18/BX</t>
  </si>
  <si>
    <t>LT-043778-19/BX</t>
  </si>
  <si>
    <t>LT-044262-19/BX</t>
  </si>
  <si>
    <t>LT-046742-19/BX</t>
  </si>
  <si>
    <t>LT 030923-19/BX</t>
  </si>
  <si>
    <t>LT-044873-19/BX</t>
  </si>
  <si>
    <t>LT-054606-18/BX</t>
  </si>
  <si>
    <t>LT-027986-19/BX</t>
  </si>
  <si>
    <t>LT-042235-19/BX</t>
  </si>
  <si>
    <t>LT-021961-19/BX</t>
  </si>
  <si>
    <t>LT-044156-19/BX</t>
  </si>
  <si>
    <t>LT-032886-19/BX</t>
  </si>
  <si>
    <t>LT-035266-19/BX</t>
  </si>
  <si>
    <t>LT-033054-19/BX</t>
  </si>
  <si>
    <t>LT-041119-19/BX</t>
  </si>
  <si>
    <t>LT-031077-19/BX</t>
  </si>
  <si>
    <t>LT-045651-19/BX</t>
  </si>
  <si>
    <t>LT-028131-19/BX</t>
  </si>
  <si>
    <t>LT-004808-19/BX</t>
  </si>
  <si>
    <t>LT-039340-19/BX</t>
  </si>
  <si>
    <t>LT-030036-19/BX</t>
  </si>
  <si>
    <t>LT-045677-19/BX</t>
  </si>
  <si>
    <t>LT-043538-19/BX</t>
  </si>
  <si>
    <t>LT- 022580-19/BX</t>
  </si>
  <si>
    <t>LT 020871-19/BX</t>
  </si>
  <si>
    <t>LT-045801-19/BX</t>
  </si>
  <si>
    <t>LT-044842-19/BX</t>
  </si>
  <si>
    <t>LT-041118-19/BX</t>
  </si>
  <si>
    <t>48206/19</t>
  </si>
  <si>
    <t>LT-044591-19/BX</t>
  </si>
  <si>
    <t>LT-020266-19/BX</t>
  </si>
  <si>
    <t>LT-007186-19/BX</t>
  </si>
  <si>
    <t>LT-026818-19/BX</t>
  </si>
  <si>
    <t>LT-043435-19/BX</t>
  </si>
  <si>
    <t>LT-067779-18/BX</t>
  </si>
  <si>
    <t>LT-043038-19/BX</t>
  </si>
  <si>
    <t>LT-045630-19/BX</t>
  </si>
  <si>
    <t>LT-039663-19/BX</t>
  </si>
  <si>
    <t>LT-041445-19/BX</t>
  </si>
  <si>
    <t>LT-002252-19/BX</t>
  </si>
  <si>
    <t>LT-036527-19/BX</t>
  </si>
  <si>
    <t>LT- 043397-19/BX</t>
  </si>
  <si>
    <t>LT-017024-17/BX</t>
  </si>
  <si>
    <t>LT-802311-17/BX</t>
  </si>
  <si>
    <t>LT-001744-19/BX</t>
  </si>
  <si>
    <t>LT-038794-18/BX</t>
  </si>
  <si>
    <t>LT-017044-19/BX</t>
  </si>
  <si>
    <t>LT-065030-16/BX</t>
  </si>
  <si>
    <t>LT-058934-18/BX</t>
  </si>
  <si>
    <t>LT-050784-18/BX</t>
  </si>
  <si>
    <t>LT-32295-19/BX</t>
  </si>
  <si>
    <t>LT-032393-19/BX</t>
  </si>
  <si>
    <t>911637-AN-2019</t>
  </si>
  <si>
    <t>none yet</t>
  </si>
  <si>
    <t>LT-033418-19/BX</t>
  </si>
  <si>
    <t>LT-041099-19/BX</t>
  </si>
  <si>
    <t>LT-044397-19/BX</t>
  </si>
  <si>
    <t>LT-045674-19/BX</t>
  </si>
  <si>
    <t>LT-002694-19/BX</t>
  </si>
  <si>
    <t>LT 045694-19/BX</t>
  </si>
  <si>
    <t>LT-032256-19/BX</t>
  </si>
  <si>
    <t>LT-049350-18/BX</t>
  </si>
  <si>
    <t>LT-068421-18/BX</t>
  </si>
  <si>
    <t>LT-008596-19/BX</t>
  </si>
  <si>
    <t>LT-033769-19/BX</t>
  </si>
  <si>
    <t>LT-031687-19/BX</t>
  </si>
  <si>
    <t>LT-019073-19/BX</t>
  </si>
  <si>
    <t>LT-020245-19/BX</t>
  </si>
  <si>
    <t>LT-014213-19/BX</t>
  </si>
  <si>
    <t>LT-033211-19/BX</t>
  </si>
  <si>
    <t>LT-037494-19/BX</t>
  </si>
  <si>
    <t>LT-006247-19/BX</t>
  </si>
  <si>
    <t>LT-032622-19/BX</t>
  </si>
  <si>
    <t>LT-010673-19/BX</t>
  </si>
  <si>
    <t>LT-033312-19/BX</t>
  </si>
  <si>
    <t>LT-024280-19/BX</t>
  </si>
  <si>
    <t>LT-068290-18/BX</t>
  </si>
  <si>
    <t>LT-010998-19/BX</t>
  </si>
  <si>
    <t>LT-061363-19/KI</t>
  </si>
  <si>
    <t>LT-089380-18/KI</t>
  </si>
  <si>
    <t>L&amp;T-17553-19</t>
  </si>
  <si>
    <t>LT-023159-17/KI</t>
  </si>
  <si>
    <t>LT-063387-19/KI</t>
  </si>
  <si>
    <t>LT-012137-19/KI</t>
  </si>
  <si>
    <t>LT-080677-19/KI</t>
  </si>
  <si>
    <t>LT-090289-18/KI</t>
  </si>
  <si>
    <t>LT-082200-19/ki</t>
  </si>
  <si>
    <t>LT-081396-19/KI</t>
  </si>
  <si>
    <t>LT-067543-18/KI</t>
  </si>
  <si>
    <t>LT-082203-18/KI</t>
  </si>
  <si>
    <t>LT-089219-18/KI</t>
  </si>
  <si>
    <t>06355727-19</t>
  </si>
  <si>
    <t>LT-081714-19/KI</t>
  </si>
  <si>
    <t>LT-075327-19/KI</t>
  </si>
  <si>
    <t>LT-058871-19/KI</t>
  </si>
  <si>
    <t>LT-052329-19/KI</t>
  </si>
  <si>
    <t>LT-072061-19/KI</t>
  </si>
  <si>
    <t>LT-064893-19/KI</t>
  </si>
  <si>
    <t>LT-018395-18/KI</t>
  </si>
  <si>
    <t>LT-094225-18/KI</t>
  </si>
  <si>
    <t>LT-075930-19/KI</t>
  </si>
  <si>
    <t>LT-069605-19/KI</t>
  </si>
  <si>
    <t>LT-81021-19/KI</t>
  </si>
  <si>
    <t>LT-14080-19/KI</t>
  </si>
  <si>
    <t>LT-086911-18/KI</t>
  </si>
  <si>
    <t>L&amp;T-094615-18/KI</t>
  </si>
  <si>
    <t>HP 2384/2018</t>
  </si>
  <si>
    <t>LT-061180-19/KI</t>
  </si>
  <si>
    <t>LT-073621-19/KI</t>
  </si>
  <si>
    <t>L&amp;T-061805-19/KI</t>
  </si>
  <si>
    <t>LT-003977-18/KI</t>
  </si>
  <si>
    <t>73467/2014</t>
  </si>
  <si>
    <t>LT-088538-18/KI</t>
  </si>
  <si>
    <t>LT-093816-18/KI</t>
  </si>
  <si>
    <t>LT-068253-19/KI</t>
  </si>
  <si>
    <t>LT-064181-19/KI</t>
  </si>
  <si>
    <t>LT-090218-18/KI</t>
  </si>
  <si>
    <t>LT-60358-17/KI</t>
  </si>
  <si>
    <t>LT-052525-19/KI</t>
  </si>
  <si>
    <t>LT-072855-19/KI</t>
  </si>
  <si>
    <t>LT-077283-19/KI</t>
  </si>
  <si>
    <t>LT-079495-19/KI</t>
  </si>
  <si>
    <t>LT-073094-19/KI</t>
  </si>
  <si>
    <t>LT-052288-19/KI</t>
  </si>
  <si>
    <t>LT-056789-19/KI</t>
  </si>
  <si>
    <t>LT-075535/KI</t>
  </si>
  <si>
    <t>LT-082675-19/KI</t>
  </si>
  <si>
    <t>LT-069059-19/KI</t>
  </si>
  <si>
    <t>LT-064199-19/KI</t>
  </si>
  <si>
    <t>LT-064083-19/KI</t>
  </si>
  <si>
    <t>LT-74111-2019/KI</t>
  </si>
  <si>
    <t>LT-090565-18/KI</t>
  </si>
  <si>
    <t>LT-051987-19/KI</t>
  </si>
  <si>
    <t>L&amp;T-19128-17/KI</t>
  </si>
  <si>
    <t>LT-050684-18/KI</t>
  </si>
  <si>
    <t>LT-070486-19/KI</t>
  </si>
  <si>
    <t>LT-082813-19/KI</t>
  </si>
  <si>
    <t>L&amp;T-071608-19/KI</t>
  </si>
  <si>
    <t>LT-078008-19/KI</t>
  </si>
  <si>
    <t>LT-076853-19/KI</t>
  </si>
  <si>
    <t>LT-057818-19/KI</t>
  </si>
  <si>
    <t>LT-076926-19/KI</t>
  </si>
  <si>
    <t>LT-053792-19/KI</t>
  </si>
  <si>
    <t>19-1911704</t>
  </si>
  <si>
    <t>LT-094133-18/KI</t>
  </si>
  <si>
    <t>LT-068361-19/KI</t>
  </si>
  <si>
    <t>LT-080663-19/KI</t>
  </si>
  <si>
    <t>LT-064495-18/KI</t>
  </si>
  <si>
    <t>LT-066127-19/KI</t>
  </si>
  <si>
    <t>83468/14</t>
  </si>
  <si>
    <t>LT-067874-19/KI</t>
  </si>
  <si>
    <t>LT-012282-18/KI</t>
  </si>
  <si>
    <t>LT-13486-18/KI</t>
  </si>
  <si>
    <t>LT-067719-19/KI</t>
  </si>
  <si>
    <t>LT-078569-18/KI</t>
  </si>
  <si>
    <t>LT-079173-19/KI</t>
  </si>
  <si>
    <t>LT-75157-17/KI</t>
  </si>
  <si>
    <t>94369/13</t>
  </si>
  <si>
    <t>L&amp;T-77037-17/KI</t>
  </si>
  <si>
    <t>LT-65002-18/KI</t>
  </si>
  <si>
    <t>LT-069625-18/KI</t>
  </si>
  <si>
    <t>LT-18158-19/KI</t>
  </si>
  <si>
    <t>LT-074837-19/KI</t>
  </si>
  <si>
    <t>LT- 019671-16/KI</t>
  </si>
  <si>
    <t>LT-077112-19/KI</t>
  </si>
  <si>
    <t>LT-063180-19/KI</t>
  </si>
  <si>
    <t>LT-056157/19-KI</t>
  </si>
  <si>
    <t>lt 075958/19</t>
  </si>
  <si>
    <t>L&amp;T - 07351619</t>
  </si>
  <si>
    <t>LT-066979-19/KI</t>
  </si>
  <si>
    <t>LT-084354-19/KI</t>
  </si>
  <si>
    <t>LT-014641-19/KI</t>
  </si>
  <si>
    <t>LT-085018-18/KI</t>
  </si>
  <si>
    <t>LT-072488-19/KI</t>
  </si>
  <si>
    <t>LT-084118-18/KI</t>
  </si>
  <si>
    <t>LT-081497-18/KI</t>
  </si>
  <si>
    <t>LT-50155-19/KI</t>
  </si>
  <si>
    <t>LT-090290-18/KI</t>
  </si>
  <si>
    <t>LT-074977-19/KI</t>
  </si>
  <si>
    <t>LT-060119-18/KI</t>
  </si>
  <si>
    <t>51180/2014</t>
  </si>
  <si>
    <t>L&amp;T-74956-17/KI</t>
  </si>
  <si>
    <t>LT-056370-19/KI</t>
  </si>
  <si>
    <t>LT-3402-17/KI</t>
  </si>
  <si>
    <t>LT-068551-19/KI</t>
  </si>
  <si>
    <t>LT-067485-18/NY</t>
  </si>
  <si>
    <t>LT-058530-19/NY</t>
  </si>
  <si>
    <t>LT-012758-19/NY</t>
  </si>
  <si>
    <t>906402-NB-2018</t>
  </si>
  <si>
    <t>LT-077113-18/NY</t>
  </si>
  <si>
    <t>LT-078059-18/NY</t>
  </si>
  <si>
    <t>LT-65750-17/NY</t>
  </si>
  <si>
    <t>LT-089842-13/NY</t>
  </si>
  <si>
    <t>LT-068567-18/NY</t>
  </si>
  <si>
    <t>LT-056211-18/NY</t>
  </si>
  <si>
    <t>LT-061404-18/NY</t>
  </si>
  <si>
    <t>LT-050987-19/NY</t>
  </si>
  <si>
    <t>LT-067904-19/NY</t>
  </si>
  <si>
    <t>LT-068642-19/NY</t>
  </si>
  <si>
    <t>LT-063580-19/NY</t>
  </si>
  <si>
    <t>LT-013600-18/NY</t>
  </si>
  <si>
    <t>LT-016063-19/NY</t>
  </si>
  <si>
    <t>LT-018671-17/NY</t>
  </si>
  <si>
    <t>LT-067858-19/NY</t>
  </si>
  <si>
    <t>LT-071304-19/NY</t>
  </si>
  <si>
    <t>LT-064889-19.NY</t>
  </si>
  <si>
    <t>LT-073066-18/NY</t>
  </si>
  <si>
    <t>LT-077195-18/NY</t>
  </si>
  <si>
    <t>LT-069961-18/NY</t>
  </si>
  <si>
    <t>LT-072012-08/NY</t>
  </si>
  <si>
    <t>LT-069355-18/NY</t>
  </si>
  <si>
    <t>LT-052290-19/NY</t>
  </si>
  <si>
    <t>LT-016533-19/NY</t>
  </si>
  <si>
    <t>LT-052817-19/NY</t>
  </si>
  <si>
    <t>LT-063772-19/NY</t>
  </si>
  <si>
    <t>LT-013323-18/NY</t>
  </si>
  <si>
    <t>LT-051895-19/NY</t>
  </si>
  <si>
    <t>LT-081373-18/NY</t>
  </si>
  <si>
    <t>LT-075041-18/NY</t>
  </si>
  <si>
    <t>LT-079782-18/NY</t>
  </si>
  <si>
    <t>LT-060641-19/NY</t>
  </si>
  <si>
    <t>LT-252616-17/HA</t>
  </si>
  <si>
    <t>LT-061674-18/NY</t>
  </si>
  <si>
    <t>LT-075402-18/NY</t>
  </si>
  <si>
    <t>LT-067012-18/NY</t>
  </si>
  <si>
    <t>LT-070200-19/NY</t>
  </si>
  <si>
    <t>LT-075005-16/NY</t>
  </si>
  <si>
    <t>LT-016278-17/NY</t>
  </si>
  <si>
    <t>LT-082076-17/NY</t>
  </si>
  <si>
    <t>LT-060812-18/NY</t>
  </si>
  <si>
    <t>LT-056948-18/NY</t>
  </si>
  <si>
    <t>LT-052950-19/NY</t>
  </si>
  <si>
    <t>LT-056378-19/NY</t>
  </si>
  <si>
    <t>LT-057984-19/NY</t>
  </si>
  <si>
    <t>LT-067538-18/NY</t>
  </si>
  <si>
    <t>LT-070211-19/NY</t>
  </si>
  <si>
    <t>LT-069387-19/NY</t>
  </si>
  <si>
    <t>LT-070830-19/NY</t>
  </si>
  <si>
    <t>LT-073070-18/NY</t>
  </si>
  <si>
    <t>LT-066623-19/NY</t>
  </si>
  <si>
    <t>LT-079965-18/NY</t>
  </si>
  <si>
    <t>LT-080332-18/NY</t>
  </si>
  <si>
    <t>LT-062388-19/NY</t>
  </si>
  <si>
    <t>LT-052435-19/NY</t>
  </si>
  <si>
    <t>LT-011990-19/NY</t>
  </si>
  <si>
    <t>LT-014957-19/NY</t>
  </si>
  <si>
    <t>LT-065907-18/NY</t>
  </si>
  <si>
    <t>LT-064595-19/NY</t>
  </si>
  <si>
    <t>LT-060781-19/NY</t>
  </si>
  <si>
    <t>LT-067613-19/NY</t>
  </si>
  <si>
    <t>LT-068954-19/NY</t>
  </si>
  <si>
    <t>LT-075411-17/NY</t>
  </si>
  <si>
    <t>LT-089774-13/NY</t>
  </si>
  <si>
    <t>LT-211453-16/NY</t>
  </si>
  <si>
    <t>LT-078915-18/NY</t>
  </si>
  <si>
    <t>LT-052280-19/NY</t>
  </si>
  <si>
    <t>0151596/2019</t>
  </si>
  <si>
    <t>LT-014518-17/NY</t>
  </si>
  <si>
    <t>LT-050207-19/NY</t>
  </si>
  <si>
    <t>LT-012271-19/NY</t>
  </si>
  <si>
    <t>LT-057534-19/NY</t>
  </si>
  <si>
    <t>LT-076566-18/NY</t>
  </si>
  <si>
    <t>LT-012860-18/NY</t>
  </si>
  <si>
    <t>LT-080022-17/NY</t>
  </si>
  <si>
    <t>LT-250713-19/NY</t>
  </si>
  <si>
    <t>LT-250343-18/HA</t>
  </si>
  <si>
    <t>LT-060780-18/NY</t>
  </si>
  <si>
    <t>LT-062738-18/NY</t>
  </si>
  <si>
    <t>LT-053595-17/NY</t>
  </si>
  <si>
    <t>LT-063091-18/NY</t>
  </si>
  <si>
    <t>LT-062930-19/NY</t>
  </si>
  <si>
    <t>LT-013070-18/NY</t>
  </si>
  <si>
    <t>LT-060915-18/NY</t>
  </si>
  <si>
    <t>LT-070871-18/NY</t>
  </si>
  <si>
    <t>078920/18</t>
  </si>
  <si>
    <t>LT-012800-19/NY</t>
  </si>
  <si>
    <t>LT-054751-19/NY</t>
  </si>
  <si>
    <t>LT-067500-18/NY</t>
  </si>
  <si>
    <t>LT-061344-19/NY</t>
  </si>
  <si>
    <t>LT-067247-17/NY</t>
  </si>
  <si>
    <t>LT-075030-18/NY</t>
  </si>
  <si>
    <t>LT-019874-16/NY</t>
  </si>
  <si>
    <t>LT-019609-18/NY</t>
  </si>
  <si>
    <t>LT-057937-19/NY</t>
  </si>
  <si>
    <t>LT-001630-18/QU</t>
  </si>
  <si>
    <t>LT-057238-19/QU</t>
  </si>
  <si>
    <t>LT-070335-19/QU</t>
  </si>
  <si>
    <t>LT-012589-19/QU</t>
  </si>
  <si>
    <t>LT68852-19/QU</t>
  </si>
  <si>
    <t>LT-066507-17/QU</t>
  </si>
  <si>
    <t>LT-069375-19/QU</t>
  </si>
  <si>
    <t>LT-067998-18/QU</t>
  </si>
  <si>
    <t>LT-063478-19/QU</t>
  </si>
  <si>
    <t>LT-068515-19/QU</t>
  </si>
  <si>
    <t>LT-066105-19/QU</t>
  </si>
  <si>
    <t>LT-050674-18/QU</t>
  </si>
  <si>
    <t>LT-57069-19/QU</t>
  </si>
  <si>
    <t>LT-053033-19/QU</t>
  </si>
  <si>
    <t>LT-10859-19/QU</t>
  </si>
  <si>
    <t>LT-61566-19/QU</t>
  </si>
  <si>
    <t>LT-012742-19/QU</t>
  </si>
  <si>
    <t>LT-077889-18/QU</t>
  </si>
  <si>
    <t>LT-071653-18/QU</t>
  </si>
  <si>
    <t>LT-63960-19/QU</t>
  </si>
  <si>
    <t>LT-72762-16/QU</t>
  </si>
  <si>
    <t>LT-78943-18/QU</t>
  </si>
  <si>
    <t>LT-011423-19/QU</t>
  </si>
  <si>
    <t>LT-053348-19/QU</t>
  </si>
  <si>
    <t>LT-052797-19/QU</t>
  </si>
  <si>
    <t>LT-063096-18/QU</t>
  </si>
  <si>
    <t>LT-067322-19/QU</t>
  </si>
  <si>
    <t>LT-077428-18/QU</t>
  </si>
  <si>
    <t>LT-075283-18/QU</t>
  </si>
  <si>
    <t>LT-050969-19/QU</t>
  </si>
  <si>
    <t>LT-053965-19/QU</t>
  </si>
  <si>
    <t>LT-077681-18/QU</t>
  </si>
  <si>
    <t>LT-058574-19/QU</t>
  </si>
  <si>
    <t>LT-071549-18/QU</t>
  </si>
  <si>
    <t>LT-077375-18/QU</t>
  </si>
  <si>
    <t>LT-069960-18/QU</t>
  </si>
  <si>
    <t>LT-069481-18/QU</t>
  </si>
  <si>
    <t>LT-077861-18/QU</t>
  </si>
  <si>
    <t>LT-050080-19/QU</t>
  </si>
  <si>
    <t>LT-068355-18/QU</t>
  </si>
  <si>
    <t>LT-063993-18/QU</t>
  </si>
  <si>
    <t>LT-066796-18/QU</t>
  </si>
  <si>
    <t>LT-064694-19/QU</t>
  </si>
  <si>
    <t>LT-067054-19/QU</t>
  </si>
  <si>
    <t>LT-069689-19/QU</t>
  </si>
  <si>
    <t>LT-068410-19/QU</t>
  </si>
  <si>
    <t>LT-062394-19/QU</t>
  </si>
  <si>
    <t>LT-061421-19/QU</t>
  </si>
  <si>
    <t>LT-61911-19/QU</t>
  </si>
  <si>
    <t>LT-61360-19/QU</t>
  </si>
  <si>
    <t>LT-63320-19/QU</t>
  </si>
  <si>
    <t>LT-077252-18/QU</t>
  </si>
  <si>
    <t>LT-050126-19/QU</t>
  </si>
  <si>
    <t>LT-064782-19/QU</t>
  </si>
  <si>
    <t>LT-064677-19/QU</t>
  </si>
  <si>
    <t>LT-068865-19/QU</t>
  </si>
  <si>
    <t>LT-68907-19/QU</t>
  </si>
  <si>
    <t>LT-011765-18/QU</t>
  </si>
  <si>
    <t>LT-075821-18/QU</t>
  </si>
  <si>
    <t>LT-57062-16/QU</t>
  </si>
  <si>
    <t>LT-068922-19/QU</t>
  </si>
  <si>
    <t>LT-61903-19/QU</t>
  </si>
  <si>
    <t>LT-61784-19/QU</t>
  </si>
  <si>
    <t>LT-061278-19/QU</t>
  </si>
  <si>
    <t>LT-64712-19/QU</t>
  </si>
  <si>
    <t>LT-068831-19/QU</t>
  </si>
  <si>
    <t>LT-060275-19/QU</t>
  </si>
  <si>
    <t>2019-00586 Q C</t>
  </si>
  <si>
    <t>LT:070256-19/QU</t>
  </si>
  <si>
    <t>LT-070511-19/QU</t>
  </si>
  <si>
    <t>LT-68427-19/QU</t>
  </si>
  <si>
    <t>LT-050521-19/QU</t>
  </si>
  <si>
    <t>LT-065832-19/QU</t>
  </si>
  <si>
    <t>LT-078777-18/QU</t>
  </si>
  <si>
    <t>LT-050328-18/QU</t>
  </si>
  <si>
    <t>LT-074489-18/QU</t>
  </si>
  <si>
    <t>LT-074902-18/QU</t>
  </si>
  <si>
    <t>LT-060810-19/QU</t>
  </si>
  <si>
    <t>LT-069092-19/QU</t>
  </si>
  <si>
    <t>LT-067329-19/QU</t>
  </si>
  <si>
    <t>LT-062226-19/QU</t>
  </si>
  <si>
    <t>LT-064756-19/QU</t>
  </si>
  <si>
    <t>LT-068645-19/QU</t>
  </si>
  <si>
    <t>LT-070664-19/QU</t>
  </si>
  <si>
    <t>LT-064869-19/QU</t>
  </si>
  <si>
    <t>LT-011930-19-QU</t>
  </si>
  <si>
    <t>LT-056467-19/QU</t>
  </si>
  <si>
    <t>LT-073312-18/QU</t>
  </si>
  <si>
    <t>LT-57014-19/QU</t>
  </si>
  <si>
    <t>LT-059928-18/Qu</t>
  </si>
  <si>
    <t>LT-068216-18/QU</t>
  </si>
  <si>
    <t>LT-11700-19/QU</t>
  </si>
  <si>
    <t>LT-000000-19/QU</t>
  </si>
  <si>
    <t>LT-078824-18/QU</t>
  </si>
  <si>
    <t>LT-65632-17/QU</t>
  </si>
  <si>
    <t>LT-63490-17/QU</t>
  </si>
  <si>
    <t>LT-068039-17/QU</t>
  </si>
  <si>
    <t>LT-054007-19/QU</t>
  </si>
  <si>
    <t>LT-056657-18/QU</t>
  </si>
  <si>
    <t>LT-077774-18/QU</t>
  </si>
  <si>
    <t>LT-066839-19/QU</t>
  </si>
  <si>
    <t>LT-06263-7/QU</t>
  </si>
  <si>
    <t>LT-062561-16/QU</t>
  </si>
  <si>
    <t>LT-076175-18/QU</t>
  </si>
  <si>
    <t>LT-050757-19/QU</t>
  </si>
  <si>
    <t>LT-061422-19/QU</t>
  </si>
  <si>
    <t>LT-063938-19/QU</t>
  </si>
  <si>
    <t>LT-065410-19/QU</t>
  </si>
  <si>
    <t>LT-0058453-19/Qu</t>
  </si>
  <si>
    <t>LT-10915-19/QU</t>
  </si>
  <si>
    <t>LT-071211-18/QU</t>
  </si>
  <si>
    <t>LT-075356-18/QU</t>
  </si>
  <si>
    <t>LT-66534-19/QU</t>
  </si>
  <si>
    <t>LT-076840-16/QU</t>
  </si>
  <si>
    <t>LT-076285-17/QU</t>
  </si>
  <si>
    <t>LT-069982-19/QU</t>
  </si>
  <si>
    <t>LT-067164-18/QU</t>
  </si>
  <si>
    <t>LT-070106-17/QU</t>
  </si>
  <si>
    <t>LT-063911-19/QU</t>
  </si>
  <si>
    <t>LT-062122-19/QU</t>
  </si>
  <si>
    <t>LT-63821/19</t>
  </si>
  <si>
    <t>LT-66470-19/QU</t>
  </si>
  <si>
    <t>LT-058228/18</t>
  </si>
  <si>
    <t>LT-054856-19/QU</t>
  </si>
  <si>
    <t>LT-52553-15/QU</t>
  </si>
  <si>
    <t>LT-60371-19/QU</t>
  </si>
  <si>
    <t>LT-065453-19/QU</t>
  </si>
  <si>
    <t>LT-063125-18/QU</t>
  </si>
  <si>
    <t>LT-060765-19/QU</t>
  </si>
  <si>
    <t>LT-069742-19/QU</t>
  </si>
  <si>
    <t>LT- 067436-19/QU</t>
  </si>
  <si>
    <t>LT-011417-19/QU</t>
  </si>
  <si>
    <t>LT-063681-19/QU</t>
  </si>
  <si>
    <t>LT-070645-19/QU</t>
  </si>
  <si>
    <t>LT-057693-18/QU</t>
  </si>
  <si>
    <t>LT-69919-19/QU</t>
  </si>
  <si>
    <t>LT-052927-18/QU</t>
  </si>
  <si>
    <t>LT-62758-19</t>
  </si>
  <si>
    <t>LT-059140-17/QU</t>
  </si>
  <si>
    <t>LT-06793-19/QU</t>
  </si>
  <si>
    <t>LT-050058-19/QU</t>
  </si>
  <si>
    <t>LT-680152-19/QU</t>
  </si>
  <si>
    <t>HP-0001400-17/QU</t>
  </si>
  <si>
    <t>LT-068621-19/QU</t>
  </si>
  <si>
    <t>LT-069299-19/QU</t>
  </si>
  <si>
    <t>LT-058918-19/QU</t>
  </si>
  <si>
    <t>LT-57535-19/QU</t>
  </si>
  <si>
    <t>LT-</t>
  </si>
  <si>
    <t>LT-67431-19/QU</t>
  </si>
  <si>
    <t>LT-059029-19/QU</t>
  </si>
  <si>
    <t>LT-068385-19/QU</t>
  </si>
  <si>
    <t>LT-069964-19/QU</t>
  </si>
  <si>
    <t>LT-070178-19/QU</t>
  </si>
  <si>
    <t>LT-064539-19/QU</t>
  </si>
  <si>
    <t>LT-068109-19/QU</t>
  </si>
  <si>
    <t>LT-52949-19/QU</t>
  </si>
  <si>
    <t>LT-068049-19/QU</t>
  </si>
  <si>
    <t>LT-063304-19/QU</t>
  </si>
  <si>
    <t>LT-64798-19/QU</t>
  </si>
  <si>
    <t>LT-011427-19/QU</t>
  </si>
  <si>
    <t>LT-065746-19/QU</t>
  </si>
  <si>
    <t>LT-067625-19/QU</t>
  </si>
  <si>
    <t>LT-070095-19/QU</t>
  </si>
  <si>
    <t>LT-065176-19/QU</t>
  </si>
  <si>
    <t>LT-067639-19/QU</t>
  </si>
  <si>
    <t>LT-066874-19/QU</t>
  </si>
  <si>
    <t>LT-064933-19/QU</t>
  </si>
  <si>
    <t>LT-063992-18/QU</t>
  </si>
  <si>
    <t>LT-061873-18/QU</t>
  </si>
  <si>
    <t>LT-063205-19/QU</t>
  </si>
  <si>
    <t>LT-066483-19/QU</t>
  </si>
  <si>
    <t>LT-011640-18/QU</t>
  </si>
  <si>
    <t>LT-069899-18/QU</t>
  </si>
  <si>
    <t>LT-069179-19</t>
  </si>
  <si>
    <t>LT-069849-19/QU</t>
  </si>
  <si>
    <t>LT-064718-19/QU</t>
  </si>
  <si>
    <t>LT-068915-19/QU</t>
  </si>
  <si>
    <t>LT-051181-19/QU</t>
  </si>
  <si>
    <t>LT-070559-18/QU</t>
  </si>
  <si>
    <t>LT-052681-19/QU</t>
  </si>
  <si>
    <t>LT-058483-19/QU</t>
  </si>
  <si>
    <t>LT-062711-19/QU</t>
  </si>
  <si>
    <t>LT-077047-18/QU</t>
  </si>
  <si>
    <t>LT-052834-19/QU</t>
  </si>
  <si>
    <t>LT-068069-19/QU</t>
  </si>
  <si>
    <t>LT-067993-19/QU</t>
  </si>
  <si>
    <t>LT-073101-18/QU</t>
  </si>
  <si>
    <t>LT-066499-18/QU</t>
  </si>
  <si>
    <t>LT-054464-19/QU</t>
  </si>
  <si>
    <t>LT-078224-19/QU</t>
  </si>
  <si>
    <t>LT-051451-18/QU</t>
  </si>
  <si>
    <t>LT-51825-15/QU</t>
  </si>
  <si>
    <t>LT-12725-19/QU</t>
  </si>
  <si>
    <t>LT-063337-18/QU</t>
  </si>
  <si>
    <t>LT-080986-14/QU</t>
  </si>
  <si>
    <t>LT-072819-18/QU</t>
  </si>
  <si>
    <t>LT-62440-19/QU</t>
  </si>
  <si>
    <t>LT-076923-18/QU</t>
  </si>
  <si>
    <t>LT-058540-18/QU</t>
  </si>
  <si>
    <t>LT-069923-18/QU</t>
  </si>
  <si>
    <t>LT-060995-19/QU</t>
  </si>
  <si>
    <t>LT-079859-17/QU</t>
  </si>
  <si>
    <t>LT-012520-19/QU</t>
  </si>
  <si>
    <t>LT-071627-18/QU</t>
  </si>
  <si>
    <t>LT-064881-19/QU</t>
  </si>
  <si>
    <t>LT-69395-19/QU</t>
  </si>
  <si>
    <t>LT-069656-19/QU</t>
  </si>
  <si>
    <t>LT-078686-17/QU</t>
  </si>
  <si>
    <t>LT-059424-17/QU</t>
  </si>
  <si>
    <t>LT-056886-18/QU</t>
  </si>
  <si>
    <t>LT-072071-18/QU</t>
  </si>
  <si>
    <t>LT-54375-19/QU</t>
  </si>
  <si>
    <t>LT-063687-19/QU</t>
  </si>
  <si>
    <t>SC 11164-16/QU</t>
  </si>
  <si>
    <t>LT-069282-18/QU</t>
  </si>
  <si>
    <t>LT:62844-14/QU</t>
  </si>
  <si>
    <t>LT-53608-17/QU</t>
  </si>
  <si>
    <t>LT-059955-19/QU</t>
  </si>
  <si>
    <t>LT-065872-19/QU</t>
  </si>
  <si>
    <t>LT-063582-17/QU</t>
  </si>
  <si>
    <t>LT-070232-19/QU</t>
  </si>
  <si>
    <t>LT-74475-17/QU</t>
  </si>
  <si>
    <t>LT-069063-18/QU</t>
  </si>
  <si>
    <t>LT-064227-19/QU</t>
  </si>
  <si>
    <t>LT-052223-19/QU</t>
  </si>
  <si>
    <t>LT-074289-17/QU</t>
  </si>
  <si>
    <t>LT-077409-18/QU</t>
  </si>
  <si>
    <t>LT-067837-19/QU</t>
  </si>
  <si>
    <t>LT-075484-18/QU</t>
  </si>
  <si>
    <t>LT-068123-17/QU</t>
  </si>
  <si>
    <t>LT-057405-18/QU</t>
  </si>
  <si>
    <t>LT-073888-18/QU</t>
  </si>
  <si>
    <t>LT-078610-16/QU</t>
  </si>
  <si>
    <t>LT-057661-18/QU</t>
  </si>
  <si>
    <t>LT-071107-18/QU</t>
  </si>
  <si>
    <t>LT-064570-19/QU</t>
  </si>
  <si>
    <t>LT-070558-18/QU</t>
  </si>
  <si>
    <t>LT-69266-19-QU</t>
  </si>
  <si>
    <t>LT-074122-16/QU</t>
  </si>
  <si>
    <t>LT-83896-14/QN</t>
  </si>
  <si>
    <t>LT-070478-19/QU</t>
  </si>
  <si>
    <t>LT-60616-14/QN</t>
  </si>
  <si>
    <t>LT-063360-18/QU</t>
  </si>
  <si>
    <t>LT-068749-18/QU</t>
  </si>
  <si>
    <t>LT-012069-16/QU</t>
  </si>
  <si>
    <t>LT-059180-17/QU</t>
  </si>
  <si>
    <t>LT-66784-17/QU</t>
  </si>
  <si>
    <t>LT-064088-19/QU</t>
  </si>
  <si>
    <t>LT-070076-19/QU</t>
  </si>
  <si>
    <t>LT-052310-19/QU</t>
  </si>
  <si>
    <t>LT-065442-19/QU</t>
  </si>
  <si>
    <t>LT-076825-18/QU</t>
  </si>
  <si>
    <t>LT-059619-19/QU</t>
  </si>
  <si>
    <t>LT-051155-19/QU</t>
  </si>
  <si>
    <t>LT-076071-18/QU</t>
  </si>
  <si>
    <t>LT-075002-17/QU</t>
  </si>
  <si>
    <t>LT-014432-18/QU</t>
  </si>
  <si>
    <t>LT-014451-18/QU</t>
  </si>
  <si>
    <t>LT-071816-18/QU</t>
  </si>
  <si>
    <t>LT-011801-18/QU</t>
  </si>
  <si>
    <t>LT-054530-19/QU</t>
  </si>
  <si>
    <t>LT-064603-18/QU</t>
  </si>
  <si>
    <t>LT-68807-19/QU</t>
  </si>
  <si>
    <t>LT-059691-19/QU</t>
  </si>
  <si>
    <t>LT-068372-19/QU</t>
  </si>
  <si>
    <t>LT-068315-19/QU</t>
  </si>
  <si>
    <t>LT-050913-19/RI</t>
  </si>
  <si>
    <t>LT-010877-18/RI</t>
  </si>
  <si>
    <t>LT-53406-18/RI</t>
  </si>
  <si>
    <t>LT-10825-19/RI</t>
  </si>
  <si>
    <t>LT-010713-18/RI</t>
  </si>
  <si>
    <t>LT-10215-19/RI</t>
  </si>
  <si>
    <t>LT-050579-19/RI</t>
  </si>
  <si>
    <t>152337/2017</t>
  </si>
  <si>
    <t>no case</t>
  </si>
  <si>
    <t>052356-19</t>
  </si>
  <si>
    <t>NYCHA Hearing</t>
  </si>
  <si>
    <t>911337-TD2019</t>
  </si>
  <si>
    <t>LT-010821-19/RI</t>
  </si>
  <si>
    <t>LT-010875-19/RI</t>
  </si>
  <si>
    <t>LT-052630-19/RI</t>
  </si>
  <si>
    <t>LT-053717-18/RI</t>
  </si>
  <si>
    <t>906205-NB-2018</t>
  </si>
  <si>
    <t>LT-052288-19/RI</t>
  </si>
  <si>
    <t>LT-010617-19/RI</t>
  </si>
  <si>
    <t>908310-TD-2019</t>
  </si>
  <si>
    <t>LT-052276-19/RI</t>
  </si>
  <si>
    <t>HP-173-19/RI</t>
  </si>
  <si>
    <t>LT-052384-19/RI</t>
  </si>
  <si>
    <t>LT-052442-19/RI</t>
  </si>
  <si>
    <t>LT 010712-19</t>
  </si>
  <si>
    <t>LT-053435-18/RI</t>
  </si>
  <si>
    <t>LT-052419-19/RI</t>
  </si>
  <si>
    <t>052256-19</t>
  </si>
  <si>
    <t>Non-payment</t>
  </si>
  <si>
    <t>Holdover</t>
  </si>
  <si>
    <t>Sec. 8 Termination</t>
  </si>
  <si>
    <t>HP Action</t>
  </si>
  <si>
    <t>Affirmative Litigation Supreme</t>
  </si>
  <si>
    <t>NYCHA Housing Termination</t>
  </si>
  <si>
    <t>Section 8 other</t>
  </si>
  <si>
    <t>No Case</t>
  </si>
  <si>
    <t>Appeal-Appellate Term</t>
  </si>
  <si>
    <t>Illegal Lockout</t>
  </si>
  <si>
    <t>Article 78</t>
  </si>
  <si>
    <t>Other Civil Court</t>
  </si>
  <si>
    <t>DHCR Administrative Action</t>
  </si>
  <si>
    <t>Affirmative Litigation Federal</t>
  </si>
  <si>
    <t>NYCHA RFM</t>
  </si>
  <si>
    <t>Section 8 share</t>
  </si>
  <si>
    <t>SCRIE/DRIE</t>
  </si>
  <si>
    <t>Other Administrative Proceeding</t>
  </si>
  <si>
    <t>NYCHA Housing Grievance</t>
  </si>
  <si>
    <t>Appeal Supreme</t>
  </si>
  <si>
    <t>7A Proceeding</t>
  </si>
  <si>
    <t>Ejectment Action</t>
  </si>
  <si>
    <t>Tenant Rights</t>
  </si>
  <si>
    <t>Human Rights Complaint</t>
  </si>
  <si>
    <t>DHCR Proceeding</t>
  </si>
  <si>
    <t>Public Nuisance</t>
  </si>
  <si>
    <t>Section 8 Grievance</t>
  </si>
  <si>
    <t>Representation - State Court</t>
  </si>
  <si>
    <t>Hold For Review</t>
  </si>
  <si>
    <t>Advice</t>
  </si>
  <si>
    <t>Brief Service</t>
  </si>
  <si>
    <t>Representation - Admin. Agency</t>
  </si>
  <si>
    <t>Out-of-Court Advocacy</t>
  </si>
  <si>
    <t>Representation - Federal Court</t>
  </si>
  <si>
    <t>A - Counsel and Advice</t>
  </si>
  <si>
    <t>G - Negotiated Settlement with Litigation</t>
  </si>
  <si>
    <t>IB - Contested Court Decision</t>
  </si>
  <si>
    <t>IA - Uncontested Court Decision</t>
  </si>
  <si>
    <t>L - Extensive Service (not resulting in Settlement of Court or Administrative Action)</t>
  </si>
  <si>
    <t>IC - Appeals</t>
  </si>
  <si>
    <t>B - Limited Action (Brief Service)</t>
  </si>
  <si>
    <t>F - Negotiated Settlement w/out Litigation</t>
  </si>
  <si>
    <t>3122 Universal Access to Counsel – (UAC)</t>
  </si>
  <si>
    <t>3114 HRA-HPLP-Homelessness Prevention Law Project</t>
  </si>
  <si>
    <t>3112 HPLP-Homelessness Prevention Law Project</t>
  </si>
  <si>
    <t>3121 Universal Access to Counsel – (UAC)</t>
  </si>
  <si>
    <t>3123 Universal Access to Counsel – (UAC)</t>
  </si>
  <si>
    <t>3115 HPLP-Homelessness Prevention Law Project</t>
  </si>
  <si>
    <t>5510 CB9 Manhattanville-West Harlem Tenant Advocacy Project</t>
  </si>
  <si>
    <t>3113 HPLP-Homelessness Prevention Law Project</t>
  </si>
  <si>
    <t>3124 Universal Access to Counsel – (UAC)</t>
  </si>
  <si>
    <t>3306 Anti-Eviction and SRO Legal Services (formerly known as “HPD” Contracts)</t>
  </si>
  <si>
    <t>3125 Universal Access to Counsel – (UAC)</t>
  </si>
  <si>
    <t>3111 HPLP-Homelessness Prevention Law Project</t>
  </si>
  <si>
    <t>Prefer Not To Answer</t>
  </si>
  <si>
    <t>3020 CLS-Civil Legal Services</t>
  </si>
  <si>
    <t>5556 Robin Hood-Foreclosure and Housing</t>
  </si>
  <si>
    <t>3312 Housing Preservation Initiative (HPI)</t>
  </si>
  <si>
    <t>3308 Anti-Eviction and SRO Legal Services (formerly known as “HPD” Contracts)</t>
  </si>
  <si>
    <t>2556 VOCA Victim Assistance Program:Attorney Services</t>
  </si>
  <si>
    <t>63 Private Landlord/Tenant</t>
  </si>
  <si>
    <t>69 Other Housing</t>
  </si>
  <si>
    <t>64 Public Housing</t>
  </si>
  <si>
    <t>61 Federally Subsidized Housing</t>
  </si>
  <si>
    <t>71 TANF</t>
  </si>
  <si>
    <t>No Stipulation; No Judgment</t>
  </si>
  <si>
    <t>Post-Stipulation, No Judgment</t>
  </si>
  <si>
    <t>Post-Judgment, Tenant Out of Possession</t>
  </si>
  <si>
    <t>Post-Judgment, Tenant in Possession-Judgment Due to Default</t>
  </si>
  <si>
    <t>Post-Judgment, Tenant in Possession-Judgment Due to Other</t>
  </si>
  <si>
    <t>On for Trial</t>
  </si>
  <si>
    <t>ZZ-Client Withdrew—For ZZ Adm Closed Reason Closed Cases Only</t>
  </si>
  <si>
    <t>6014-Obtained advice and counsel on a Housing matter</t>
  </si>
  <si>
    <t>6002-Prevented eviction from private housing</t>
  </si>
  <si>
    <t>6021-Provided full representation in a Housing matter, but no legal benefit achieved for the client</t>
  </si>
  <si>
    <t>7012-Obtained advice and counsel  on an Income Maintenance matter</t>
  </si>
  <si>
    <t>6017-Obtained other benefit on a Housing matter</t>
  </si>
  <si>
    <t>6018-Prevented eviction from subsidized housing</t>
  </si>
  <si>
    <t>6010-Preserved or restored access to personal property</t>
  </si>
  <si>
    <t>6003-Delayed eviction providing time to seek alternative housing</t>
  </si>
  <si>
    <t>6015-Obtained non-litgation advocacy services on a Housing  matter</t>
  </si>
  <si>
    <t>6001-Prevented eviction from public housing</t>
  </si>
  <si>
    <t>0-No Main Benefit</t>
  </si>
  <si>
    <t>6009-Obtained repairs, Improved housing conditions or otherwise enforced rights to decent, habitable housing</t>
  </si>
  <si>
    <t>08/06/1980</t>
  </si>
  <si>
    <t>03/06/1970</t>
  </si>
  <si>
    <t>10/28/1960</t>
  </si>
  <si>
    <t>06/07/1969</t>
  </si>
  <si>
    <t>08/20/1997</t>
  </si>
  <si>
    <t>04/04/1994</t>
  </si>
  <si>
    <t>08/17/1925</t>
  </si>
  <si>
    <t>04/09/1953</t>
  </si>
  <si>
    <t>03/26/1970</t>
  </si>
  <si>
    <t>07/30/1985</t>
  </si>
  <si>
    <t>07/07/1987</t>
  </si>
  <si>
    <t>02/13/1959</t>
  </si>
  <si>
    <t>10/26/1968</t>
  </si>
  <si>
    <t>12/05/1963</t>
  </si>
  <si>
    <t>09/15/1945</t>
  </si>
  <si>
    <t>07/01/1979</t>
  </si>
  <si>
    <t>05/09/1950</t>
  </si>
  <si>
    <t>11/17/1972</t>
  </si>
  <si>
    <t>05/09/1977</t>
  </si>
  <si>
    <t>04/09/1988</t>
  </si>
  <si>
    <t>03/06/1982</t>
  </si>
  <si>
    <t>03/17/1957</t>
  </si>
  <si>
    <t>04/01/1997</t>
  </si>
  <si>
    <t>07/23/1995</t>
  </si>
  <si>
    <t>06/12/1966</t>
  </si>
  <si>
    <t>12/23/1985</t>
  </si>
  <si>
    <t>07/03/1972</t>
  </si>
  <si>
    <t>05/23/1961</t>
  </si>
  <si>
    <t>01/08/1969</t>
  </si>
  <si>
    <t>05/20/1986</t>
  </si>
  <si>
    <t>12/28/1959</t>
  </si>
  <si>
    <t>06/30/1960</t>
  </si>
  <si>
    <t>08/28/1960</t>
  </si>
  <si>
    <t>05/14/1955</t>
  </si>
  <si>
    <t>03/04/1960</t>
  </si>
  <si>
    <t>08/05/1984</t>
  </si>
  <si>
    <t>12/20/1972</t>
  </si>
  <si>
    <t>06/23/1966</t>
  </si>
  <si>
    <t>05/13/1984</t>
  </si>
  <si>
    <t>03/24/1956</t>
  </si>
  <si>
    <t>12/24/1972</t>
  </si>
  <si>
    <t>04/20/1968</t>
  </si>
  <si>
    <t>10/10/1981</t>
  </si>
  <si>
    <t>09/05/1943</t>
  </si>
  <si>
    <t>10/24/1978</t>
  </si>
  <si>
    <t>04/13/1991</t>
  </si>
  <si>
    <t>08/10/1960</t>
  </si>
  <si>
    <t>08/08/1970</t>
  </si>
  <si>
    <t>03/06/1983</t>
  </si>
  <si>
    <t>09/02/1964</t>
  </si>
  <si>
    <t>12/17/1970</t>
  </si>
  <si>
    <t>02/12/1948</t>
  </si>
  <si>
    <t>09/09/1978</t>
  </si>
  <si>
    <t>12/02/1952</t>
  </si>
  <si>
    <t>05/15/1959</t>
  </si>
  <si>
    <t>01/12/1997</t>
  </si>
  <si>
    <t>07/23/1954</t>
  </si>
  <si>
    <t>10/18/1993</t>
  </si>
  <si>
    <t>05/08/1979</t>
  </si>
  <si>
    <t>06/10/1979</t>
  </si>
  <si>
    <t>08/17/1969</t>
  </si>
  <si>
    <t>08/21/1978</t>
  </si>
  <si>
    <t>07/05/1988</t>
  </si>
  <si>
    <t>04/12/1969</t>
  </si>
  <si>
    <t>05/19/1986</t>
  </si>
  <si>
    <t>10/13/1969</t>
  </si>
  <si>
    <t>11/19/1972</t>
  </si>
  <si>
    <t>11/07/1996</t>
  </si>
  <si>
    <t>04/27/1940</t>
  </si>
  <si>
    <t>10/15/1971</t>
  </si>
  <si>
    <t>01/24/1969</t>
  </si>
  <si>
    <t>09/15/1960</t>
  </si>
  <si>
    <t>03/23/1964</t>
  </si>
  <si>
    <t>11/04/1954</t>
  </si>
  <si>
    <t>10/09/1990</t>
  </si>
  <si>
    <t>05/17/1987</t>
  </si>
  <si>
    <t>03/05/1971</t>
  </si>
  <si>
    <t>12/10/1979</t>
  </si>
  <si>
    <t>01/02/1957</t>
  </si>
  <si>
    <t>07/08/1983</t>
  </si>
  <si>
    <t>10/27/1975</t>
  </si>
  <si>
    <t>01/14/1985</t>
  </si>
  <si>
    <t>07/18/1980</t>
  </si>
  <si>
    <t>06/11/1976</t>
  </si>
  <si>
    <t>05/22/1961</t>
  </si>
  <si>
    <t>04/17/1963</t>
  </si>
  <si>
    <t>06/21/1962</t>
  </si>
  <si>
    <t>09/24/1984</t>
  </si>
  <si>
    <t>02/10/1987</t>
  </si>
  <si>
    <t>11/12/1960</t>
  </si>
  <si>
    <t>10/01/1961</t>
  </si>
  <si>
    <t>11/20/1954</t>
  </si>
  <si>
    <t>02/28/1982</t>
  </si>
  <si>
    <t>02/13/1970</t>
  </si>
  <si>
    <t>08/07/1961</t>
  </si>
  <si>
    <t>10/30/1968</t>
  </si>
  <si>
    <t>02/07/1989</t>
  </si>
  <si>
    <t>04/10/1983</t>
  </si>
  <si>
    <t>07/25/1952</t>
  </si>
  <si>
    <t>09/24/1941</t>
  </si>
  <si>
    <t>02/06/1978</t>
  </si>
  <si>
    <t>05/16/1972</t>
  </si>
  <si>
    <t>09/12/1964</t>
  </si>
  <si>
    <t>09/20/1974</t>
  </si>
  <si>
    <t>10/03/1963</t>
  </si>
  <si>
    <t>09/10/1981</t>
  </si>
  <si>
    <t>10/17/1964</t>
  </si>
  <si>
    <t>09/20/1977</t>
  </si>
  <si>
    <t>05/27/1970</t>
  </si>
  <si>
    <t>07/03/1977</t>
  </si>
  <si>
    <t>10/27/1991</t>
  </si>
  <si>
    <t>04/18/1990</t>
  </si>
  <si>
    <t>12/03/1981</t>
  </si>
  <si>
    <t>08/09/1969</t>
  </si>
  <si>
    <t>09/24/1962</t>
  </si>
  <si>
    <t>08/27/1943</t>
  </si>
  <si>
    <t>02/15/1961</t>
  </si>
  <si>
    <t>12/20/1981</t>
  </si>
  <si>
    <t>01/15/1950</t>
  </si>
  <si>
    <t>01/24/1977</t>
  </si>
  <si>
    <t>11/29/1980</t>
  </si>
  <si>
    <t>03/22/1936</t>
  </si>
  <si>
    <t>05/08/1983</t>
  </si>
  <si>
    <t>08/07/1956</t>
  </si>
  <si>
    <t>09/14/1984</t>
  </si>
  <si>
    <t>03/26/1974</t>
  </si>
  <si>
    <t>03/01/1980</t>
  </si>
  <si>
    <t>10/08/1988</t>
  </si>
  <si>
    <t>03/12/1987</t>
  </si>
  <si>
    <t>12/05/1991</t>
  </si>
  <si>
    <t>11/01/1986</t>
  </si>
  <si>
    <t>03/29/1954</t>
  </si>
  <si>
    <t>05/26/1977</t>
  </si>
  <si>
    <t>02/19/1983</t>
  </si>
  <si>
    <t>04/21/1964</t>
  </si>
  <si>
    <t>03/29/1973</t>
  </si>
  <si>
    <t>04/26/1981</t>
  </si>
  <si>
    <t>11/14/1953</t>
  </si>
  <si>
    <t>10/22/1972</t>
  </si>
  <si>
    <t>02/10/1978</t>
  </si>
  <si>
    <t>09/10/1987</t>
  </si>
  <si>
    <t>11/13/1955</t>
  </si>
  <si>
    <t>05/13/1969</t>
  </si>
  <si>
    <t>11/15/1933</t>
  </si>
  <si>
    <t>08/26/1971</t>
  </si>
  <si>
    <t>05/21/1990</t>
  </si>
  <si>
    <t>01/10/1962</t>
  </si>
  <si>
    <t>09/07/1977</t>
  </si>
  <si>
    <t>05/25/1985</t>
  </si>
  <si>
    <t>11/12/1980</t>
  </si>
  <si>
    <t>03/04/1971</t>
  </si>
  <si>
    <t>12/30/1948</t>
  </si>
  <si>
    <t>07/16/1985</t>
  </si>
  <si>
    <t>09/20/1966</t>
  </si>
  <si>
    <t>10/04/1963</t>
  </si>
  <si>
    <t>01/25/1985</t>
  </si>
  <si>
    <t>09/01/1949</t>
  </si>
  <si>
    <t>02/06/1962</t>
  </si>
  <si>
    <t>10/30/1984</t>
  </si>
  <si>
    <t>08/14/2000</t>
  </si>
  <si>
    <t>12/12/1960</t>
  </si>
  <si>
    <t>11/08/1947</t>
  </si>
  <si>
    <t>12/29/1983</t>
  </si>
  <si>
    <t>02/19/1977</t>
  </si>
  <si>
    <t>05/29/1988</t>
  </si>
  <si>
    <t>03/05/1978</t>
  </si>
  <si>
    <t>11/05/1989</t>
  </si>
  <si>
    <t>07/21/1972</t>
  </si>
  <si>
    <t>10/15/1972</t>
  </si>
  <si>
    <t>03/04/1959</t>
  </si>
  <si>
    <t>01/19/1990</t>
  </si>
  <si>
    <t>02/27/1984</t>
  </si>
  <si>
    <t>03/19/1963</t>
  </si>
  <si>
    <t>01/07/1976</t>
  </si>
  <si>
    <t>01/06/1959</t>
  </si>
  <si>
    <t>11/10/1988</t>
  </si>
  <si>
    <t>05/06/1980</t>
  </si>
  <si>
    <t>07/15/1957</t>
  </si>
  <si>
    <t>05/20/1982</t>
  </si>
  <si>
    <t>10/01/1968</t>
  </si>
  <si>
    <t>05/16/1966</t>
  </si>
  <si>
    <t>01/14/1959</t>
  </si>
  <si>
    <t>10/08/1985</t>
  </si>
  <si>
    <t>01/26/1958</t>
  </si>
  <si>
    <t>05/30/1999</t>
  </si>
  <si>
    <t>12/27/1939</t>
  </si>
  <si>
    <t>11/05/1964</t>
  </si>
  <si>
    <t>04/25/1980</t>
  </si>
  <si>
    <t>12/17/1956</t>
  </si>
  <si>
    <t>02/07/1982</t>
  </si>
  <si>
    <t>01/07/1982</t>
  </si>
  <si>
    <t>10/16/1980</t>
  </si>
  <si>
    <t>06/28/1961</t>
  </si>
  <si>
    <t>09/04/1966</t>
  </si>
  <si>
    <t>12/11/1969</t>
  </si>
  <si>
    <t>10/11/1983</t>
  </si>
  <si>
    <t>01/31/1989</t>
  </si>
  <si>
    <t>07/02/1973</t>
  </si>
  <si>
    <t>01/14/1969</t>
  </si>
  <si>
    <t>06/21/1930</t>
  </si>
  <si>
    <t>10/01/1971</t>
  </si>
  <si>
    <t>01/11/1982</t>
  </si>
  <si>
    <t>09/10/1979</t>
  </si>
  <si>
    <t>03/20/1985</t>
  </si>
  <si>
    <t>09/04/1971</t>
  </si>
  <si>
    <t>04/22/1960</t>
  </si>
  <si>
    <t>04/01/1958</t>
  </si>
  <si>
    <t>07/16/1990</t>
  </si>
  <si>
    <t>08/13/1969</t>
  </si>
  <si>
    <t>09/07/1962</t>
  </si>
  <si>
    <t>05/20/1981</t>
  </si>
  <si>
    <t>03/09/1997</t>
  </si>
  <si>
    <t>04/21/1995</t>
  </si>
  <si>
    <t>11/02/1978</t>
  </si>
  <si>
    <t>10/16/1986</t>
  </si>
  <si>
    <t>07/05/1966</t>
  </si>
  <si>
    <t>10/31/1975</t>
  </si>
  <si>
    <t>01/25/1960</t>
  </si>
  <si>
    <t>05/04/1991</t>
  </si>
  <si>
    <t>10/27/1985</t>
  </si>
  <si>
    <t>10/25/1974</t>
  </si>
  <si>
    <t>01/05/1971</t>
  </si>
  <si>
    <t>07/16/1979</t>
  </si>
  <si>
    <t>11/14/1990</t>
  </si>
  <si>
    <t>03/10/1978</t>
  </si>
  <si>
    <t>01/03/1964</t>
  </si>
  <si>
    <t>01/21/1959</t>
  </si>
  <si>
    <t>04/17/1958</t>
  </si>
  <si>
    <t>10/01/1973</t>
  </si>
  <si>
    <t>01/28/1953</t>
  </si>
  <si>
    <t>06/22/1989</t>
  </si>
  <si>
    <t>02/18/1978</t>
  </si>
  <si>
    <t>07/18/1949</t>
  </si>
  <si>
    <t>07/25/1989</t>
  </si>
  <si>
    <t>10/06/1969</t>
  </si>
  <si>
    <t>09/26/1972</t>
  </si>
  <si>
    <t>06/29/1995</t>
  </si>
  <si>
    <t>11/01/1954</t>
  </si>
  <si>
    <t>02/21/1980</t>
  </si>
  <si>
    <t>07/05/1981</t>
  </si>
  <si>
    <t>01/10/1987</t>
  </si>
  <si>
    <t>02/14/1926</t>
  </si>
  <si>
    <t>10/01/1967</t>
  </si>
  <si>
    <t>01/05/1988</t>
  </si>
  <si>
    <t>08/17/1979</t>
  </si>
  <si>
    <t>10/26/1957</t>
  </si>
  <si>
    <t>02/22/1977</t>
  </si>
  <si>
    <t>01/03/1958</t>
  </si>
  <si>
    <t>02/13/1986</t>
  </si>
  <si>
    <t>10/08/1940</t>
  </si>
  <si>
    <t>10/08/1983</t>
  </si>
  <si>
    <t>06/27/1977</t>
  </si>
  <si>
    <t>05/25/1987</t>
  </si>
  <si>
    <t>01/21/1951</t>
  </si>
  <si>
    <t>03/28/1985</t>
  </si>
  <si>
    <t>03/15/1972</t>
  </si>
  <si>
    <t>06/21/1988</t>
  </si>
  <si>
    <t>11/27/1958</t>
  </si>
  <si>
    <t>02/14/1979</t>
  </si>
  <si>
    <t>05/19/1966</t>
  </si>
  <si>
    <t>11/20/1993</t>
  </si>
  <si>
    <t>07/11/1938</t>
  </si>
  <si>
    <t>02/09/1954</t>
  </si>
  <si>
    <t>07/09/1954</t>
  </si>
  <si>
    <t>12/29/1963</t>
  </si>
  <si>
    <t>06/09/1951</t>
  </si>
  <si>
    <t>07/27/1990</t>
  </si>
  <si>
    <t>05/01/1957</t>
  </si>
  <si>
    <t>10/04/1990</t>
  </si>
  <si>
    <t>10/15/1983</t>
  </si>
  <si>
    <t>02/07/1961</t>
  </si>
  <si>
    <t>01/16/1940</t>
  </si>
  <si>
    <t>05/22/1976</t>
  </si>
  <si>
    <t>02/18/1947</t>
  </si>
  <si>
    <t>04/04/1990</t>
  </si>
  <si>
    <t>12/24/1989</t>
  </si>
  <si>
    <t>08/30/1987</t>
  </si>
  <si>
    <t>10/17/1949</t>
  </si>
  <si>
    <t>06/11/1986</t>
  </si>
  <si>
    <t>12/18/1967</t>
  </si>
  <si>
    <t>02/25/1993</t>
  </si>
  <si>
    <t>09/30/1993</t>
  </si>
  <si>
    <t>05/25/1974</t>
  </si>
  <si>
    <t>03/19/1953</t>
  </si>
  <si>
    <t>04/05/1968</t>
  </si>
  <si>
    <t>01/30/1958</t>
  </si>
  <si>
    <t>04/10/1963</t>
  </si>
  <si>
    <t>04/07/1962</t>
  </si>
  <si>
    <t>12/27/1976</t>
  </si>
  <si>
    <t>10/29/1970</t>
  </si>
  <si>
    <t>12/27/1971</t>
  </si>
  <si>
    <t>12/16/1987</t>
  </si>
  <si>
    <t>10/08/1975</t>
  </si>
  <si>
    <t>02/09/1966</t>
  </si>
  <si>
    <t>10/27/1995</t>
  </si>
  <si>
    <t>03/19/1958</t>
  </si>
  <si>
    <t>04/19/1958</t>
  </si>
  <si>
    <t>04/11/1984</t>
  </si>
  <si>
    <t>08/30/1969</t>
  </si>
  <si>
    <t>03/27/1964</t>
  </si>
  <si>
    <t>04/30/1989</t>
  </si>
  <si>
    <t>03/21/1990</t>
  </si>
  <si>
    <t>07/24/1963</t>
  </si>
  <si>
    <t>12/09/1986</t>
  </si>
  <si>
    <t>04/12/1947</t>
  </si>
  <si>
    <t>08/17/1946</t>
  </si>
  <si>
    <t>01/09/1973</t>
  </si>
  <si>
    <t>12/06/1957</t>
  </si>
  <si>
    <t>07/12/1970</t>
  </si>
  <si>
    <t>10/30/1996</t>
  </si>
  <si>
    <t>01/29/1970</t>
  </si>
  <si>
    <t>10/30/1954</t>
  </si>
  <si>
    <t>09/20/1929</t>
  </si>
  <si>
    <t>11/22/1973</t>
  </si>
  <si>
    <t>11/08/1986</t>
  </si>
  <si>
    <t>11/12/1971</t>
  </si>
  <si>
    <t>11/11/1981</t>
  </si>
  <si>
    <t>05/02/1959</t>
  </si>
  <si>
    <t>01/16/1979</t>
  </si>
  <si>
    <t>11/07/1989</t>
  </si>
  <si>
    <t>09/09/1988</t>
  </si>
  <si>
    <t>10/13/1982</t>
  </si>
  <si>
    <t>07/10/1978</t>
  </si>
  <si>
    <t>03/22/1984</t>
  </si>
  <si>
    <t>03/01/1982</t>
  </si>
  <si>
    <t>10/30/1994</t>
  </si>
  <si>
    <t>04/28/1992</t>
  </si>
  <si>
    <t>05/22/1973</t>
  </si>
  <si>
    <t>09/06/1977</t>
  </si>
  <si>
    <t>01/23/1969</t>
  </si>
  <si>
    <t>08/13/1987</t>
  </si>
  <si>
    <t>08/02/1976</t>
  </si>
  <si>
    <t>06/17/1986</t>
  </si>
  <si>
    <t>11/11/1991</t>
  </si>
  <si>
    <t>07/30/1971</t>
  </si>
  <si>
    <t>07/22/1990</t>
  </si>
  <si>
    <t>12/25/1958</t>
  </si>
  <si>
    <t>01/14/1964</t>
  </si>
  <si>
    <t>01/01/1979</t>
  </si>
  <si>
    <t>07/13/1963</t>
  </si>
  <si>
    <t>01/15/1974</t>
  </si>
  <si>
    <t>12/28/1950</t>
  </si>
  <si>
    <t>09/04/1957</t>
  </si>
  <si>
    <t>10/19/1963</t>
  </si>
  <si>
    <t>11/07/1966</t>
  </si>
  <si>
    <t>02/04/1958</t>
  </si>
  <si>
    <t>08/01/1956</t>
  </si>
  <si>
    <t>12/20/1978</t>
  </si>
  <si>
    <t>04/15/1927</t>
  </si>
  <si>
    <t>05/03/1993</t>
  </si>
  <si>
    <t>12/04/1967</t>
  </si>
  <si>
    <t>09/30/1948</t>
  </si>
  <si>
    <t>11/14/1962</t>
  </si>
  <si>
    <t>04/16/1982</t>
  </si>
  <si>
    <t>01/01/1944</t>
  </si>
  <si>
    <t>02/10/1982</t>
  </si>
  <si>
    <t>04/08/1950</t>
  </si>
  <si>
    <t>01/07/1972</t>
  </si>
  <si>
    <t>04/19/1983</t>
  </si>
  <si>
    <t>10/17/1974</t>
  </si>
  <si>
    <t>05/02/1957</t>
  </si>
  <si>
    <t>08/03/1946</t>
  </si>
  <si>
    <t>12/29/1965</t>
  </si>
  <si>
    <t>06/14/1979</t>
  </si>
  <si>
    <t>02/01/1969</t>
  </si>
  <si>
    <t>10/13/1994</t>
  </si>
  <si>
    <t>06/26/1981</t>
  </si>
  <si>
    <t>06/24/1959</t>
  </si>
  <si>
    <t>05/16/1960</t>
  </si>
  <si>
    <t>10/22/1947</t>
  </si>
  <si>
    <t>11/20/1964</t>
  </si>
  <si>
    <t>07/26/1963</t>
  </si>
  <si>
    <t>10/04/1943</t>
  </si>
  <si>
    <t>03/19/1974</t>
  </si>
  <si>
    <t>10/21/1972</t>
  </si>
  <si>
    <t>01/03/1980</t>
  </si>
  <si>
    <t>11/03/1964</t>
  </si>
  <si>
    <t>10/26/1958</t>
  </si>
  <si>
    <t>02/15/1973</t>
  </si>
  <si>
    <t>08/12/1943</t>
  </si>
  <si>
    <t>06/08/1989</t>
  </si>
  <si>
    <t>05/09/1955</t>
  </si>
  <si>
    <t>11/02/1977</t>
  </si>
  <si>
    <t>10/26/1966</t>
  </si>
  <si>
    <t>01/10/1949</t>
  </si>
  <si>
    <t>11/18/1994</t>
  </si>
  <si>
    <t>11/04/1989</t>
  </si>
  <si>
    <t>06/16/1951</t>
  </si>
  <si>
    <t>01/17/1984</t>
  </si>
  <si>
    <t>09/27/1991</t>
  </si>
  <si>
    <t>04/07/1964</t>
  </si>
  <si>
    <t>08/28/1966</t>
  </si>
  <si>
    <t>11/25/1944</t>
  </si>
  <si>
    <t>10/06/1952</t>
  </si>
  <si>
    <t>08/25/1970</t>
  </si>
  <si>
    <t>02/24/1948</t>
  </si>
  <si>
    <t>08/15/1933</t>
  </si>
  <si>
    <t>01/25/1961</t>
  </si>
  <si>
    <t>07/19/1969</t>
  </si>
  <si>
    <t>01/26/1985</t>
  </si>
  <si>
    <t>08/14/1959</t>
  </si>
  <si>
    <t>01/10/1955</t>
  </si>
  <si>
    <t>03/10/1943</t>
  </si>
  <si>
    <t>12/21/1967</t>
  </si>
  <si>
    <t>01/19/1992</t>
  </si>
  <si>
    <t>08/30/1958</t>
  </si>
  <si>
    <t>03/19/1928</t>
  </si>
  <si>
    <t>08/02/1972</t>
  </si>
  <si>
    <t>05/24/1956</t>
  </si>
  <si>
    <t>09/03/1958</t>
  </si>
  <si>
    <t>05/23/1954</t>
  </si>
  <si>
    <t>08/31/1977</t>
  </si>
  <si>
    <t>06/28/1950</t>
  </si>
  <si>
    <t>06/28/1975</t>
  </si>
  <si>
    <t>10/11/1980</t>
  </si>
  <si>
    <t>09/08/1979</t>
  </si>
  <si>
    <t>12/07/1959</t>
  </si>
  <si>
    <t>04/02/1993</t>
  </si>
  <si>
    <t>07/30/1989</t>
  </si>
  <si>
    <t>09/14/1979</t>
  </si>
  <si>
    <t>11/09/1966</t>
  </si>
  <si>
    <t>08/23/1965</t>
  </si>
  <si>
    <t>04/14/1949</t>
  </si>
  <si>
    <t>05/18/1946</t>
  </si>
  <si>
    <t>04/01/1962</t>
  </si>
  <si>
    <t>01/06/1985</t>
  </si>
  <si>
    <t>02/09/1972</t>
  </si>
  <si>
    <t>01/27/1954</t>
  </si>
  <si>
    <t>07/20/1972</t>
  </si>
  <si>
    <t>01/29/1988</t>
  </si>
  <si>
    <t>05/21/1961</t>
  </si>
  <si>
    <t>02/10/1964</t>
  </si>
  <si>
    <t>06/10/1946</t>
  </si>
  <si>
    <t>11/14/1956</t>
  </si>
  <si>
    <t>03/09/1970</t>
  </si>
  <si>
    <t>10/21/1980</t>
  </si>
  <si>
    <t>08/23/1987</t>
  </si>
  <si>
    <t>08/15/1966</t>
  </si>
  <si>
    <t>12/24/1984</t>
  </si>
  <si>
    <t>05/07/1978</t>
  </si>
  <si>
    <t>01/23/1932</t>
  </si>
  <si>
    <t>07/11/1980</t>
  </si>
  <si>
    <t>01/18/1956</t>
  </si>
  <si>
    <t>12/13/1966</t>
  </si>
  <si>
    <t>08/06/1990</t>
  </si>
  <si>
    <t>08/14/1964</t>
  </si>
  <si>
    <t>10/12/1956</t>
  </si>
  <si>
    <t>02/17/1967</t>
  </si>
  <si>
    <t>07/02/1982</t>
  </si>
  <si>
    <t>12/22/1969</t>
  </si>
  <si>
    <t>05/13/1953</t>
  </si>
  <si>
    <t>02/07/1992</t>
  </si>
  <si>
    <t>07/25/1983</t>
  </si>
  <si>
    <t>03/21/1986</t>
  </si>
  <si>
    <t>08/03/1970</t>
  </si>
  <si>
    <t>10/27/1965</t>
  </si>
  <si>
    <t>01/04/1984</t>
  </si>
  <si>
    <t>06/19/1961</t>
  </si>
  <si>
    <t>04/28/1970</t>
  </si>
  <si>
    <t>06/13/1971</t>
  </si>
  <si>
    <t>11/12/1952</t>
  </si>
  <si>
    <t>04/28/1955</t>
  </si>
  <si>
    <t>04/11/1982</t>
  </si>
  <si>
    <t>08/21/1936</t>
  </si>
  <si>
    <t>04/28/1954</t>
  </si>
  <si>
    <t>10/13/1934</t>
  </si>
  <si>
    <t>08/08/1937</t>
  </si>
  <si>
    <t>03/07/1954</t>
  </si>
  <si>
    <t>03/05/1974</t>
  </si>
  <si>
    <t>09/27/1976</t>
  </si>
  <si>
    <t>01/01/1969</t>
  </si>
  <si>
    <t>01/17/1962</t>
  </si>
  <si>
    <t>09/20/1982</t>
  </si>
  <si>
    <t>04/02/1940</t>
  </si>
  <si>
    <t>05/25/1968</t>
  </si>
  <si>
    <t>08/31/1955</t>
  </si>
  <si>
    <t>08/28/1943</t>
  </si>
  <si>
    <t>10/10/1957</t>
  </si>
  <si>
    <t>03/29/1969</t>
  </si>
  <si>
    <t>02/12/1966</t>
  </si>
  <si>
    <t>03/08/1985</t>
  </si>
  <si>
    <t>01/31/1964</t>
  </si>
  <si>
    <t>11/17/1976</t>
  </si>
  <si>
    <t>12/11/1974</t>
  </si>
  <si>
    <t>02/12/1952</t>
  </si>
  <si>
    <t>04/01/1973</t>
  </si>
  <si>
    <t>03/23/1992</t>
  </si>
  <si>
    <t>01/14/1954</t>
  </si>
  <si>
    <t>01/08/1958</t>
  </si>
  <si>
    <t>02/05/1983</t>
  </si>
  <si>
    <t>05/13/2000</t>
  </si>
  <si>
    <t>10/28/1968</t>
  </si>
  <si>
    <t>05/12/1981</t>
  </si>
  <si>
    <t>04/01/1972</t>
  </si>
  <si>
    <t>04/15/1945</t>
  </si>
  <si>
    <t>05/31/1931</t>
  </si>
  <si>
    <t>09/30/1942</t>
  </si>
  <si>
    <t>07/12/1953</t>
  </si>
  <si>
    <t>03/07/1968</t>
  </si>
  <si>
    <t>12/03/1986</t>
  </si>
  <si>
    <t>06/19/1978</t>
  </si>
  <si>
    <t>01/18/1957</t>
  </si>
  <si>
    <t>07/25/1963</t>
  </si>
  <si>
    <t>06/30/1988</t>
  </si>
  <si>
    <t>05/15/1973</t>
  </si>
  <si>
    <t>09/23/1951</t>
  </si>
  <si>
    <t>05/31/1953</t>
  </si>
  <si>
    <t>08/30/1947</t>
  </si>
  <si>
    <t>02/25/1969</t>
  </si>
  <si>
    <t>02/03/1964</t>
  </si>
  <si>
    <t>05/31/1990</t>
  </si>
  <si>
    <t>09/28/1950</t>
  </si>
  <si>
    <t>03/24/1950</t>
  </si>
  <si>
    <t>06/28/1962</t>
  </si>
  <si>
    <t>09/08/1991</t>
  </si>
  <si>
    <t>08/14/1996</t>
  </si>
  <si>
    <t>12/02/1996</t>
  </si>
  <si>
    <t>07/18/1982</t>
  </si>
  <si>
    <t>06/08/1969</t>
  </si>
  <si>
    <t>02/14/1964</t>
  </si>
  <si>
    <t>07/01/1952</t>
  </si>
  <si>
    <t>02/16/1941</t>
  </si>
  <si>
    <t>04/27/1971</t>
  </si>
  <si>
    <t>02/07/1950</t>
  </si>
  <si>
    <t>07/26/1959</t>
  </si>
  <si>
    <t>08/02/1940</t>
  </si>
  <si>
    <t>04/29/1964</t>
  </si>
  <si>
    <t>12/14/1965</t>
  </si>
  <si>
    <t>11/08/1942</t>
  </si>
  <si>
    <t>05/16/1948</t>
  </si>
  <si>
    <t>12/04/1970</t>
  </si>
  <si>
    <t>09/13/1956</t>
  </si>
  <si>
    <t>08/30/1941</t>
  </si>
  <si>
    <t>12/01/1963</t>
  </si>
  <si>
    <t>01/11/1973</t>
  </si>
  <si>
    <t>02/14/1977</t>
  </si>
  <si>
    <t>08/24/1971</t>
  </si>
  <si>
    <t>04/16/1983</t>
  </si>
  <si>
    <t>03/07/1961</t>
  </si>
  <si>
    <t>10/28/1963</t>
  </si>
  <si>
    <t>10/05/1975</t>
  </si>
  <si>
    <t>08/14/1982</t>
  </si>
  <si>
    <t>03/27/1943</t>
  </si>
  <si>
    <t>06/10/1949</t>
  </si>
  <si>
    <t>08/14/1969</t>
  </si>
  <si>
    <t>07/15/1962</t>
  </si>
  <si>
    <t>03/12/1982</t>
  </si>
  <si>
    <t>01/04/1961</t>
  </si>
  <si>
    <t>06/23/1941</t>
  </si>
  <si>
    <t>01/16/1967</t>
  </si>
  <si>
    <t>11/19/1943</t>
  </si>
  <si>
    <t>07/12/1981</t>
  </si>
  <si>
    <t>01/25/1986</t>
  </si>
  <si>
    <t>02/21/1989</t>
  </si>
  <si>
    <t>09/19/1988</t>
  </si>
  <si>
    <t>02/17/1968</t>
  </si>
  <si>
    <t>01/31/1950</t>
  </si>
  <si>
    <t>05/17/1991</t>
  </si>
  <si>
    <t>06/18/1968</t>
  </si>
  <si>
    <t>08/05/1967</t>
  </si>
  <si>
    <t>08/20/1959</t>
  </si>
  <si>
    <t>06/22/1962</t>
  </si>
  <si>
    <t>03/12/1968</t>
  </si>
  <si>
    <t>10/27/1955</t>
  </si>
  <si>
    <t>03/04/1968</t>
  </si>
  <si>
    <t>08/27/1979</t>
  </si>
  <si>
    <t>06/29/1990</t>
  </si>
  <si>
    <t>05/23/1948</t>
  </si>
  <si>
    <t>01/05/1979</t>
  </si>
  <si>
    <t>07/04/1975</t>
  </si>
  <si>
    <t>10/24/1963</t>
  </si>
  <si>
    <t>02/05/1949</t>
  </si>
  <si>
    <t>12/26/1968</t>
  </si>
  <si>
    <t>04/23/1945</t>
  </si>
  <si>
    <t>09/14/1980</t>
  </si>
  <si>
    <t>06/24/1966</t>
  </si>
  <si>
    <t>02/01/1954</t>
  </si>
  <si>
    <t>12/25/1975</t>
  </si>
  <si>
    <t>08/23/1954</t>
  </si>
  <si>
    <t>09/04/1962</t>
  </si>
  <si>
    <t>03/13/1958</t>
  </si>
  <si>
    <t>03/03/1986</t>
  </si>
  <si>
    <t>10/13/1985</t>
  </si>
  <si>
    <t>07/11/1934</t>
  </si>
  <si>
    <t>08/10/1965</t>
  </si>
  <si>
    <t>06/13/1977</t>
  </si>
  <si>
    <t>10/18/1961</t>
  </si>
  <si>
    <t>07/01/1964</t>
  </si>
  <si>
    <t>08/11/1974</t>
  </si>
  <si>
    <t>10/30/1959</t>
  </si>
  <si>
    <t>12/07/1980</t>
  </si>
  <si>
    <t>03/02/1951</t>
  </si>
  <si>
    <t>03/24/1961</t>
  </si>
  <si>
    <t>09/24/1937</t>
  </si>
  <si>
    <t>05/27/1957</t>
  </si>
  <si>
    <t>11/18/1987</t>
  </si>
  <si>
    <t>12/07/1953</t>
  </si>
  <si>
    <t>05/06/1950</t>
  </si>
  <si>
    <t>11/24/1964</t>
  </si>
  <si>
    <t>08/08/1953</t>
  </si>
  <si>
    <t>10/26/1976</t>
  </si>
  <si>
    <t>05/12/1958</t>
  </si>
  <si>
    <t>04/02/1992</t>
  </si>
  <si>
    <t>05/12/2000</t>
  </si>
  <si>
    <t>03/02/1974</t>
  </si>
  <si>
    <t>12/15/1983</t>
  </si>
  <si>
    <t>05/10/1958</t>
  </si>
  <si>
    <t>06/02/1957</t>
  </si>
  <si>
    <t>10/12/1946</t>
  </si>
  <si>
    <t>09/17/1959</t>
  </si>
  <si>
    <t>07/08/1989</t>
  </si>
  <si>
    <t>05/19/1972</t>
  </si>
  <si>
    <t>07/31/1991</t>
  </si>
  <si>
    <t>11/06/1988</t>
  </si>
  <si>
    <t>06/30/1956</t>
  </si>
  <si>
    <t>07/05/1969</t>
  </si>
  <si>
    <t>12/02/1972</t>
  </si>
  <si>
    <t>06/26/1955</t>
  </si>
  <si>
    <t>11/17/1933</t>
  </si>
  <si>
    <t>11/11/1937</t>
  </si>
  <si>
    <t>11/29/1946</t>
  </si>
  <si>
    <t>10/01/1989</t>
  </si>
  <si>
    <t>01/14/1991</t>
  </si>
  <si>
    <t>11/15/1962</t>
  </si>
  <si>
    <t>10/13/1949</t>
  </si>
  <si>
    <t>07/03/1958</t>
  </si>
  <si>
    <t>11/10/1939</t>
  </si>
  <si>
    <t>08/20/1987</t>
  </si>
  <si>
    <t>06/11/1957</t>
  </si>
  <si>
    <t>07/05/1971</t>
  </si>
  <si>
    <t>07/07/1948</t>
  </si>
  <si>
    <t>07/06/1955</t>
  </si>
  <si>
    <t>08/04/1966</t>
  </si>
  <si>
    <t>04/27/1972</t>
  </si>
  <si>
    <t>05/22/1974</t>
  </si>
  <si>
    <t>07/12/1966</t>
  </si>
  <si>
    <t>05/11/1962</t>
  </si>
  <si>
    <t>11/27/1989</t>
  </si>
  <si>
    <t>06/26/1958</t>
  </si>
  <si>
    <t>03/24/1987</t>
  </si>
  <si>
    <t>07/02/1961</t>
  </si>
  <si>
    <t>10/29/1933</t>
  </si>
  <si>
    <t>11/14/1945</t>
  </si>
  <si>
    <t>08/10/1961</t>
  </si>
  <si>
    <t>02/26/1995</t>
  </si>
  <si>
    <t>03/23/1965</t>
  </si>
  <si>
    <t>02/17/1980</t>
  </si>
  <si>
    <t>01/15/1985</t>
  </si>
  <si>
    <t>01/30/1950</t>
  </si>
  <si>
    <t>08/11/1955</t>
  </si>
  <si>
    <t>02/23/1946</t>
  </si>
  <si>
    <t>11/13/1983</t>
  </si>
  <si>
    <t>11/17/1992</t>
  </si>
  <si>
    <t>09/03/1964</t>
  </si>
  <si>
    <t>07/16/1968</t>
  </si>
  <si>
    <t>04/12/1968</t>
  </si>
  <si>
    <t>12/17/1985</t>
  </si>
  <si>
    <t>05/20/1952</t>
  </si>
  <si>
    <t>11/14/1973</t>
  </si>
  <si>
    <t>12/31/1962</t>
  </si>
  <si>
    <t>10/06/1990</t>
  </si>
  <si>
    <t>03/19/1951</t>
  </si>
  <si>
    <t>11/22/1963</t>
  </si>
  <si>
    <t>01/27/1974</t>
  </si>
  <si>
    <t>03/30/1977</t>
  </si>
  <si>
    <t>03/04/1956</t>
  </si>
  <si>
    <t>05/13/1988</t>
  </si>
  <si>
    <t>03/03/1981</t>
  </si>
  <si>
    <t>08/18/1947</t>
  </si>
  <si>
    <t>04/03/1951</t>
  </si>
  <si>
    <t>05/11/1967</t>
  </si>
  <si>
    <t>05/31/1963</t>
  </si>
  <si>
    <t>12/16/1958</t>
  </si>
  <si>
    <t>12/18/1959</t>
  </si>
  <si>
    <t>09/03/1998</t>
  </si>
  <si>
    <t>05/04/1990</t>
  </si>
  <si>
    <t>03/23/1989</t>
  </si>
  <si>
    <t>03/21/1949</t>
  </si>
  <si>
    <t>10/30/1978</t>
  </si>
  <si>
    <t>10/15/1985</t>
  </si>
  <si>
    <t>10/12/1991</t>
  </si>
  <si>
    <t>09/08/1985</t>
  </si>
  <si>
    <t>12/12/1991</t>
  </si>
  <si>
    <t>04/26/1956</t>
  </si>
  <si>
    <t>03/12/1960</t>
  </si>
  <si>
    <t>08/04/1952</t>
  </si>
  <si>
    <t>02/14/1984</t>
  </si>
  <si>
    <t>01/23/1965</t>
  </si>
  <si>
    <t>07/30/1961</t>
  </si>
  <si>
    <t>12/08/1959</t>
  </si>
  <si>
    <t>08/27/1945</t>
  </si>
  <si>
    <t>02/10/1966</t>
  </si>
  <si>
    <t>08/02/1985</t>
  </si>
  <si>
    <t>04/16/1980</t>
  </si>
  <si>
    <t>08/26/1975</t>
  </si>
  <si>
    <t>05/05/1965</t>
  </si>
  <si>
    <t>12/17/1967</t>
  </si>
  <si>
    <t>07/28/1959</t>
  </si>
  <si>
    <t>07/24/1973</t>
  </si>
  <si>
    <t>11/22/1953</t>
  </si>
  <si>
    <t>02/05/1945</t>
  </si>
  <si>
    <t>02/17/1956</t>
  </si>
  <si>
    <t>07/15/1967</t>
  </si>
  <si>
    <t>08/30/1995</t>
  </si>
  <si>
    <t>06/03/1991</t>
  </si>
  <si>
    <t>06/22/1991</t>
  </si>
  <si>
    <t>09/21/1960</t>
  </si>
  <si>
    <t>05/28/1946</t>
  </si>
  <si>
    <t>02/13/1976</t>
  </si>
  <si>
    <t>04/19/1942</t>
  </si>
  <si>
    <t>11/20/1962</t>
  </si>
  <si>
    <t>07/27/1987</t>
  </si>
  <si>
    <t>12/15/1961</t>
  </si>
  <si>
    <t>10/09/1953</t>
  </si>
  <si>
    <t>05/21/1951</t>
  </si>
  <si>
    <t>01/01/1983</t>
  </si>
  <si>
    <t>08/12/1976</t>
  </si>
  <si>
    <t>09/12/1965</t>
  </si>
  <si>
    <t>05/31/1961</t>
  </si>
  <si>
    <t>08/27/1994</t>
  </si>
  <si>
    <t>08/06/1984</t>
  </si>
  <si>
    <t>12/16/1978</t>
  </si>
  <si>
    <t>02/13/1941</t>
  </si>
  <si>
    <t>06/29/1981</t>
  </si>
  <si>
    <t>02/27/1951</t>
  </si>
  <si>
    <t>06/10/1941</t>
  </si>
  <si>
    <t>11/17/1982</t>
  </si>
  <si>
    <t>12/18/1953</t>
  </si>
  <si>
    <t>10/09/1972</t>
  </si>
  <si>
    <t>03/12/1985</t>
  </si>
  <si>
    <t>09/20/1979</t>
  </si>
  <si>
    <t>12/01/1990</t>
  </si>
  <si>
    <t>11/18/1925</t>
  </si>
  <si>
    <t>08/26/1984</t>
  </si>
  <si>
    <t>08/07/1960</t>
  </si>
  <si>
    <t>07/28/1947</t>
  </si>
  <si>
    <t>06/21/1954</t>
  </si>
  <si>
    <t>09/28/2000</t>
  </si>
  <si>
    <t>03/03/1974</t>
  </si>
  <si>
    <t>11/25/1963</t>
  </si>
  <si>
    <t>03/29/1968</t>
  </si>
  <si>
    <t>09/16/1982</t>
  </si>
  <si>
    <t>07/20/1949</t>
  </si>
  <si>
    <t>06/20/1970</t>
  </si>
  <si>
    <t>10/02/1958</t>
  </si>
  <si>
    <t>04/05/1986</t>
  </si>
  <si>
    <t>07/09/1969</t>
  </si>
  <si>
    <t>06/15/1972</t>
  </si>
  <si>
    <t>08/08/1975</t>
  </si>
  <si>
    <t>09/08/1980</t>
  </si>
  <si>
    <t>09/28/1966</t>
  </si>
  <si>
    <t>02/14/1969</t>
  </si>
  <si>
    <t>05/28/1970</t>
  </si>
  <si>
    <t>03/17/1994</t>
  </si>
  <si>
    <t>01/09/1970</t>
  </si>
  <si>
    <t>08/01/1989</t>
  </si>
  <si>
    <t>06/25/1982</t>
  </si>
  <si>
    <t>08/12/1967</t>
  </si>
  <si>
    <t>02/19/1992</t>
  </si>
  <si>
    <t>08/29/1975</t>
  </si>
  <si>
    <t>01/27/1978</t>
  </si>
  <si>
    <t>07/10/1974</t>
  </si>
  <si>
    <t>01/13/1954</t>
  </si>
  <si>
    <t>04/30/1973</t>
  </si>
  <si>
    <t>09/25/1976</t>
  </si>
  <si>
    <t>01/03/1955</t>
  </si>
  <si>
    <t>06/01/1947</t>
  </si>
  <si>
    <t>03/26/1959</t>
  </si>
  <si>
    <t>06/08/1965</t>
  </si>
  <si>
    <t>02/07/1976</t>
  </si>
  <si>
    <t>02/26/1994</t>
  </si>
  <si>
    <t>10/07/1958</t>
  </si>
  <si>
    <t>07/15/1965</t>
  </si>
  <si>
    <t>03/06/1975</t>
  </si>
  <si>
    <t>05/10/1972</t>
  </si>
  <si>
    <t>05/17/1989</t>
  </si>
  <si>
    <t>08/23/1940</t>
  </si>
  <si>
    <t>02/21/1961</t>
  </si>
  <si>
    <t>07/12/1964</t>
  </si>
  <si>
    <t>07/04/1949</t>
  </si>
  <si>
    <t>10/03/1984</t>
  </si>
  <si>
    <t>01/01/1974</t>
  </si>
  <si>
    <t>09/20/1972</t>
  </si>
  <si>
    <t>05/08/1970</t>
  </si>
  <si>
    <t>03/21/1947</t>
  </si>
  <si>
    <t>12/24/1935</t>
  </si>
  <si>
    <t>12/18/1989</t>
  </si>
  <si>
    <t>12/12/1952</t>
  </si>
  <si>
    <t>11/10/2018</t>
  </si>
  <si>
    <t>03/15/1967</t>
  </si>
  <si>
    <t>05/07/1981</t>
  </si>
  <si>
    <t>08/20/1951</t>
  </si>
  <si>
    <t>08/26/1981</t>
  </si>
  <si>
    <t>03/11/1979</t>
  </si>
  <si>
    <t>02/07/1972</t>
  </si>
  <si>
    <t>06/17/1957</t>
  </si>
  <si>
    <t>11/04/1956</t>
  </si>
  <si>
    <t>12/16/1950</t>
  </si>
  <si>
    <t>02/24/1956</t>
  </si>
  <si>
    <t>04/26/1953</t>
  </si>
  <si>
    <t>09/20/1967</t>
  </si>
  <si>
    <t>10/10/1974</t>
  </si>
  <si>
    <t>07/04/1973</t>
  </si>
  <si>
    <t>12/05/1970</t>
  </si>
  <si>
    <t>09/20/1976</t>
  </si>
  <si>
    <t>06/09/1969</t>
  </si>
  <si>
    <t>06/15/1985</t>
  </si>
  <si>
    <t>07/29/1992</t>
  </si>
  <si>
    <t>08/19/1971</t>
  </si>
  <si>
    <t>10/22/1951</t>
  </si>
  <si>
    <t>07/09/1981</t>
  </si>
  <si>
    <t>03/09/1967</t>
  </si>
  <si>
    <t>09/06/1968</t>
  </si>
  <si>
    <t>11/21/1981</t>
  </si>
  <si>
    <t>04/18/1961</t>
  </si>
  <si>
    <t>12/24/1974</t>
  </si>
  <si>
    <t>11/09/1989</t>
  </si>
  <si>
    <t>01/03/1972</t>
  </si>
  <si>
    <t>09/09/1987</t>
  </si>
  <si>
    <t>05/12/1979</t>
  </si>
  <si>
    <t>10/17/1968</t>
  </si>
  <si>
    <t>07/14/1980</t>
  </si>
  <si>
    <t>03/30/1962</t>
  </si>
  <si>
    <t>09/28/1979</t>
  </si>
  <si>
    <t>06/19/1969</t>
  </si>
  <si>
    <t>01/25/1950</t>
  </si>
  <si>
    <t>04/23/1982</t>
  </si>
  <si>
    <t>01/22/1982</t>
  </si>
  <si>
    <t>03/02/1969</t>
  </si>
  <si>
    <t>05/06/1986</t>
  </si>
  <si>
    <t>05/08/1944</t>
  </si>
  <si>
    <t>03/04/1986</t>
  </si>
  <si>
    <t>04/04/1964</t>
  </si>
  <si>
    <t>09/27/1964</t>
  </si>
  <si>
    <t>10/08/1967</t>
  </si>
  <si>
    <t>06/26/1976</t>
  </si>
  <si>
    <t>08/13/1953</t>
  </si>
  <si>
    <t>05/13/1962</t>
  </si>
  <si>
    <t>01/13/1995</t>
  </si>
  <si>
    <t>05/26/1970</t>
  </si>
  <si>
    <t>06/03/1952</t>
  </si>
  <si>
    <t>11/11/1939</t>
  </si>
  <si>
    <t>09/14/1968</t>
  </si>
  <si>
    <t>11/25/1980</t>
  </si>
  <si>
    <t>09/22/1988</t>
  </si>
  <si>
    <t>08/22/1964</t>
  </si>
  <si>
    <t>01/11/1981</t>
  </si>
  <si>
    <t>11/03/1976</t>
  </si>
  <si>
    <t>11/05/1977</t>
  </si>
  <si>
    <t>03/02/1955</t>
  </si>
  <si>
    <t>06/01/1989</t>
  </si>
  <si>
    <t>09/06/1942</t>
  </si>
  <si>
    <t>02/05/1985</t>
  </si>
  <si>
    <t>09/20/1980</t>
  </si>
  <si>
    <t>06/03/1969</t>
  </si>
  <si>
    <t>12/06/1994</t>
  </si>
  <si>
    <t>09/25/1978</t>
  </si>
  <si>
    <t>08/10/1966</t>
  </si>
  <si>
    <t>10/19/1983</t>
  </si>
  <si>
    <t>07/19/1973</t>
  </si>
  <si>
    <t>11/21/1993</t>
  </si>
  <si>
    <t>10/16/1968</t>
  </si>
  <si>
    <t>09/22/1963</t>
  </si>
  <si>
    <t>09/28/1962</t>
  </si>
  <si>
    <t>04/16/1962</t>
  </si>
  <si>
    <t>02/22/1963</t>
  </si>
  <si>
    <t>03/25/1969</t>
  </si>
  <si>
    <t>04/16/1976</t>
  </si>
  <si>
    <t>11/02/1983</t>
  </si>
  <si>
    <t>03/02/1939</t>
  </si>
  <si>
    <t>05/14/1963</t>
  </si>
  <si>
    <t>08/05/1966</t>
  </si>
  <si>
    <t>01/12/1992</t>
  </si>
  <si>
    <t>11/09/1967</t>
  </si>
  <si>
    <t>05/27/1969</t>
  </si>
  <si>
    <t>04/04/1976</t>
  </si>
  <si>
    <t>08/05/1969</t>
  </si>
  <si>
    <t>12/15/1976</t>
  </si>
  <si>
    <t>08/18/1959</t>
  </si>
  <si>
    <t>09/07/1970</t>
  </si>
  <si>
    <t>09/07/1971</t>
  </si>
  <si>
    <t>07/28/1960</t>
  </si>
  <si>
    <t>03/03/1978</t>
  </si>
  <si>
    <t>08/15/1970</t>
  </si>
  <si>
    <t>08/28/1979</t>
  </si>
  <si>
    <t>11/15/1957</t>
  </si>
  <si>
    <t>05/11/1965</t>
  </si>
  <si>
    <t>03/30/1935</t>
  </si>
  <si>
    <t>12/04/1978</t>
  </si>
  <si>
    <t>04/19/1971</t>
  </si>
  <si>
    <t>05/29/1952</t>
  </si>
  <si>
    <t>12/06/1954</t>
  </si>
  <si>
    <t>05/08/1984</t>
  </si>
  <si>
    <t>11/12/1976</t>
  </si>
  <si>
    <t>10/15/1997</t>
  </si>
  <si>
    <t>06/26/1966</t>
  </si>
  <si>
    <t>07/19/1968</t>
  </si>
  <si>
    <t>07/09/1984</t>
  </si>
  <si>
    <t>10/30/1956</t>
  </si>
  <si>
    <t>11/27/1968</t>
  </si>
  <si>
    <t>03/05/1965</t>
  </si>
  <si>
    <t>02/07/1980</t>
  </si>
  <si>
    <t>02/16/1956</t>
  </si>
  <si>
    <t>02/01/1977</t>
  </si>
  <si>
    <t>07/18/1985</t>
  </si>
  <si>
    <t>09/09/1977</t>
  </si>
  <si>
    <t>12/04/1983</t>
  </si>
  <si>
    <t>04/28/1985</t>
  </si>
  <si>
    <t>09/26/1996</t>
  </si>
  <si>
    <t>07/27/1981</t>
  </si>
  <si>
    <t>02/11/1958</t>
  </si>
  <si>
    <t>03/04/1954</t>
  </si>
  <si>
    <t>03/17/1958</t>
  </si>
  <si>
    <t>05/03/1967</t>
  </si>
  <si>
    <t>09/27/1985</t>
  </si>
  <si>
    <t>05/31/1968</t>
  </si>
  <si>
    <t>12/22/1982</t>
  </si>
  <si>
    <t>11/15/1981</t>
  </si>
  <si>
    <t>05/07/1963</t>
  </si>
  <si>
    <t>03/07/1966</t>
  </si>
  <si>
    <t>01/15/1949</t>
  </si>
  <si>
    <t>10/18/1978</t>
  </si>
  <si>
    <t>03/24/1963</t>
  </si>
  <si>
    <t>12/07/1951</t>
  </si>
  <si>
    <t>03/08/1965</t>
  </si>
  <si>
    <t>08/25/1997</t>
  </si>
  <si>
    <t>01/02/1963</t>
  </si>
  <si>
    <t>09/09/1935</t>
  </si>
  <si>
    <t>09/03/1993</t>
  </si>
  <si>
    <t>07/19/1950</t>
  </si>
  <si>
    <t>04/22/1975</t>
  </si>
  <si>
    <t>12/30/1971</t>
  </si>
  <si>
    <t>02/28/1962</t>
  </si>
  <si>
    <t>04/25/1961</t>
  </si>
  <si>
    <t>06/04/1992</t>
  </si>
  <si>
    <t>04/03/1962</t>
  </si>
  <si>
    <t>09/15/1970</t>
  </si>
  <si>
    <t>04/24/1975</t>
  </si>
  <si>
    <t>09/08/1984</t>
  </si>
  <si>
    <t>03/24/1986</t>
  </si>
  <si>
    <t>03/09/1942</t>
  </si>
  <si>
    <t>10/10/1961</t>
  </si>
  <si>
    <t>09/26/1967</t>
  </si>
  <si>
    <t>08/24/1973</t>
  </si>
  <si>
    <t>04/25/1975</t>
  </si>
  <si>
    <t>12/25/1976</t>
  </si>
  <si>
    <t>05/05/1970</t>
  </si>
  <si>
    <t>07/12/1971</t>
  </si>
  <si>
    <t>06/07/1986</t>
  </si>
  <si>
    <t>04/28/1972</t>
  </si>
  <si>
    <t>09/20/1981</t>
  </si>
  <si>
    <t>07/10/1955</t>
  </si>
  <si>
    <t>09/11/1936</t>
  </si>
  <si>
    <t>011972803I</t>
  </si>
  <si>
    <t>037807802G</t>
  </si>
  <si>
    <t>036967915E</t>
  </si>
  <si>
    <t>037490272E</t>
  </si>
  <si>
    <t>037567640A</t>
  </si>
  <si>
    <t>NP41977V</t>
  </si>
  <si>
    <t>037706434A</t>
  </si>
  <si>
    <t>036870683E</t>
  </si>
  <si>
    <t>37117550G</t>
  </si>
  <si>
    <t>00008417581J</t>
  </si>
  <si>
    <t>036897383A</t>
  </si>
  <si>
    <t>009760523C</t>
  </si>
  <si>
    <t>00018099111J</t>
  </si>
  <si>
    <t>001455851E</t>
  </si>
  <si>
    <t>037336597C</t>
  </si>
  <si>
    <t>017944374C</t>
  </si>
  <si>
    <t>006739728B</t>
  </si>
  <si>
    <t>037079240A</t>
  </si>
  <si>
    <t>003815103B</t>
  </si>
  <si>
    <t>002737301I</t>
  </si>
  <si>
    <t>004009928F</t>
  </si>
  <si>
    <t>017621240F</t>
  </si>
  <si>
    <t>008381134J</t>
  </si>
  <si>
    <t>2386882J</t>
  </si>
  <si>
    <t>0036968751C</t>
  </si>
  <si>
    <t>006188055F</t>
  </si>
  <si>
    <t>016026457I</t>
  </si>
  <si>
    <t>221967D</t>
  </si>
  <si>
    <t>005358036B</t>
  </si>
  <si>
    <t>016685068F</t>
  </si>
  <si>
    <t>00037774881J</t>
  </si>
  <si>
    <t>8967948-1</t>
  </si>
  <si>
    <t>4089216I</t>
  </si>
  <si>
    <t>019003591F</t>
  </si>
  <si>
    <t>37814585I</t>
  </si>
  <si>
    <t>011046001B</t>
  </si>
  <si>
    <t>030063256J</t>
  </si>
  <si>
    <t>011943221J</t>
  </si>
  <si>
    <t>012163627I</t>
  </si>
  <si>
    <t>006538139E</t>
  </si>
  <si>
    <t>019472380F</t>
  </si>
  <si>
    <t>008760997A</t>
  </si>
  <si>
    <t>014943197F</t>
  </si>
  <si>
    <t>015693945G</t>
  </si>
  <si>
    <t>00037679735D</t>
  </si>
  <si>
    <t>038045295D</t>
  </si>
  <si>
    <t>00037774046J</t>
  </si>
  <si>
    <t>036802726E</t>
  </si>
  <si>
    <t>00037582869G</t>
  </si>
  <si>
    <t>00037402058E</t>
  </si>
  <si>
    <t>00003560981H</t>
  </si>
  <si>
    <t>018380468B</t>
  </si>
  <si>
    <t>011815844D</t>
  </si>
  <si>
    <t>37620659F</t>
  </si>
  <si>
    <t>018236495A</t>
  </si>
  <si>
    <t>10731736-E</t>
  </si>
  <si>
    <t>015601049I</t>
  </si>
  <si>
    <t>37403468E</t>
  </si>
  <si>
    <t>015836087F</t>
  </si>
  <si>
    <t>018797897I</t>
  </si>
  <si>
    <t>93326864-1</t>
  </si>
  <si>
    <t>008385145B</t>
  </si>
  <si>
    <t>018401147G</t>
  </si>
  <si>
    <t>018054358J</t>
  </si>
  <si>
    <t>09264712C</t>
  </si>
  <si>
    <t>no pa, fs, ma</t>
  </si>
  <si>
    <t>37748289I</t>
  </si>
  <si>
    <t>012480877F</t>
  </si>
  <si>
    <t>014504049J</t>
  </si>
  <si>
    <t>013431863D</t>
  </si>
  <si>
    <t>008982284F</t>
  </si>
  <si>
    <t>037255436A</t>
  </si>
  <si>
    <t>005693723I</t>
  </si>
  <si>
    <t>09138060A</t>
  </si>
  <si>
    <t>037456777E</t>
  </si>
  <si>
    <t>015969203H</t>
  </si>
  <si>
    <t>015915523D</t>
  </si>
  <si>
    <t>31145000B</t>
  </si>
  <si>
    <t>005217525E</t>
  </si>
  <si>
    <t>None</t>
  </si>
  <si>
    <t>007802325G</t>
  </si>
  <si>
    <t>018839280H</t>
  </si>
  <si>
    <t>004925656D</t>
  </si>
  <si>
    <t>03333910E</t>
  </si>
  <si>
    <t>011867825J</t>
  </si>
  <si>
    <t>003014809C</t>
  </si>
  <si>
    <t>036955364J</t>
  </si>
  <si>
    <t>009017232B</t>
  </si>
  <si>
    <t>018420802D</t>
  </si>
  <si>
    <t>013316969I</t>
  </si>
  <si>
    <t>010845342E</t>
  </si>
  <si>
    <t>002178304I</t>
  </si>
  <si>
    <t>036892040B</t>
  </si>
  <si>
    <t>018198487D</t>
  </si>
  <si>
    <t>0190067809E</t>
  </si>
  <si>
    <t>018542586F</t>
  </si>
  <si>
    <t>010677326A</t>
  </si>
  <si>
    <t>013814049G</t>
  </si>
  <si>
    <t>001455272D</t>
  </si>
  <si>
    <t>010436684E</t>
  </si>
  <si>
    <t>010167495A</t>
  </si>
  <si>
    <t>019064361J</t>
  </si>
  <si>
    <t>037484965B</t>
  </si>
  <si>
    <t>011824211E</t>
  </si>
  <si>
    <t>005495847F</t>
  </si>
  <si>
    <t>00006196293C</t>
  </si>
  <si>
    <t>009238158B</t>
  </si>
  <si>
    <t>4090525J</t>
  </si>
  <si>
    <t>015152958D</t>
  </si>
  <si>
    <t>need to fill in</t>
  </si>
  <si>
    <t>010847981H</t>
  </si>
  <si>
    <t>00018958214B</t>
  </si>
  <si>
    <t>11744187d</t>
  </si>
  <si>
    <t>018052139F</t>
  </si>
  <si>
    <t>016362751G</t>
  </si>
  <si>
    <t>016880330C</t>
  </si>
  <si>
    <t>004802293D</t>
  </si>
  <si>
    <t>034008050G</t>
  </si>
  <si>
    <t>008141101J</t>
  </si>
  <si>
    <t>037039391A</t>
  </si>
  <si>
    <t>5201875B</t>
  </si>
  <si>
    <t>008856616B</t>
  </si>
  <si>
    <t>011468380I</t>
  </si>
  <si>
    <t>00037630437E</t>
  </si>
  <si>
    <t>001614434H</t>
  </si>
  <si>
    <t>036852018F</t>
  </si>
  <si>
    <t>006874131D</t>
  </si>
  <si>
    <t>035994531I</t>
  </si>
  <si>
    <t>036987178F</t>
  </si>
  <si>
    <t>00037051455G</t>
  </si>
  <si>
    <t>031003426J</t>
  </si>
  <si>
    <t>006138322A</t>
  </si>
  <si>
    <t>037271157C</t>
  </si>
  <si>
    <t>02653467H</t>
  </si>
  <si>
    <t>000546801C</t>
  </si>
  <si>
    <t>016774687E</t>
  </si>
  <si>
    <t>005565453H</t>
  </si>
  <si>
    <t>003365453H</t>
  </si>
  <si>
    <t>036850918I</t>
  </si>
  <si>
    <t>004699543H</t>
  </si>
  <si>
    <t>004600186D</t>
  </si>
  <si>
    <t>017912272G</t>
  </si>
  <si>
    <t>013532700F</t>
  </si>
  <si>
    <t>037472385G</t>
  </si>
  <si>
    <t>582-57-9650</t>
  </si>
  <si>
    <t>105-54-2494</t>
  </si>
  <si>
    <t>101-64-1857</t>
  </si>
  <si>
    <t>072-96-3318</t>
  </si>
  <si>
    <t>598-42-5129</t>
  </si>
  <si>
    <t>053-52-0722</t>
  </si>
  <si>
    <t>057-80-3569</t>
  </si>
  <si>
    <t>126-90-6604</t>
  </si>
  <si>
    <t>166-75-9123</t>
  </si>
  <si>
    <t>090-76-3577</t>
  </si>
  <si>
    <t>074-62-4040</t>
  </si>
  <si>
    <t>000-00-7256</t>
  </si>
  <si>
    <t>076-64-0059</t>
  </si>
  <si>
    <t>114-48-8678</t>
  </si>
  <si>
    <t>072-80-6751</t>
  </si>
  <si>
    <t>000-00-1176</t>
  </si>
  <si>
    <t>090-74-0325</t>
  </si>
  <si>
    <t>086-96-2983</t>
  </si>
  <si>
    <t>214-17-0949</t>
  </si>
  <si>
    <t>092-86-7081</t>
  </si>
  <si>
    <t>125-84-6531</t>
  </si>
  <si>
    <t>045-78-4354</t>
  </si>
  <si>
    <t>063-84-9721</t>
  </si>
  <si>
    <t>100-50-3679</t>
  </si>
  <si>
    <t>105-70-4134</t>
  </si>
  <si>
    <t>085-50-3133</t>
  </si>
  <si>
    <t>083-54-2573</t>
  </si>
  <si>
    <t>126-50-6751</t>
  </si>
  <si>
    <t>103-41-3073</t>
  </si>
  <si>
    <t>581-29-4740</t>
  </si>
  <si>
    <t>370-37-2867</t>
  </si>
  <si>
    <t>086-56-0313</t>
  </si>
  <si>
    <t>798-11-9997</t>
  </si>
  <si>
    <t>739-39-7554</t>
  </si>
  <si>
    <t>071-86-3667</t>
  </si>
  <si>
    <t>070-15-9599</t>
  </si>
  <si>
    <t>080-68-9754</t>
  </si>
  <si>
    <t>408-70-3898</t>
  </si>
  <si>
    <t>057-84-1589</t>
  </si>
  <si>
    <t>729-24-4585</t>
  </si>
  <si>
    <t>076-74-3432</t>
  </si>
  <si>
    <t>155-76-6825</t>
  </si>
  <si>
    <t>089-92-3072</t>
  </si>
  <si>
    <t>071-60-7770</t>
  </si>
  <si>
    <t>249-55-6301</t>
  </si>
  <si>
    <t>129-46-7944</t>
  </si>
  <si>
    <t>126-76-4841</t>
  </si>
  <si>
    <t>000-00-5598</t>
  </si>
  <si>
    <t>029-75-0122</t>
  </si>
  <si>
    <t>000-00-3766</t>
  </si>
  <si>
    <t>080-82-3113</t>
  </si>
  <si>
    <t>053-80-5615</t>
  </si>
  <si>
    <t>102-64-1545</t>
  </si>
  <si>
    <t>128-70-8616</t>
  </si>
  <si>
    <t>129-96-5109</t>
  </si>
  <si>
    <t>095-02-7209</t>
  </si>
  <si>
    <t>100-64-6968</t>
  </si>
  <si>
    <t>095-52-5472</t>
  </si>
  <si>
    <t>072-86-7414</t>
  </si>
  <si>
    <t>083-30-0620</t>
  </si>
  <si>
    <t>000-00-4588</t>
  </si>
  <si>
    <t>116-88-6483</t>
  </si>
  <si>
    <t>078-86-1390</t>
  </si>
  <si>
    <t>584-46-9617</t>
  </si>
  <si>
    <t>596-30-6691</t>
  </si>
  <si>
    <t>076-72-8486</t>
  </si>
  <si>
    <t>070-70-7289</t>
  </si>
  <si>
    <t>078-64-2049</t>
  </si>
  <si>
    <t>089-68-1455</t>
  </si>
  <si>
    <t>382-25-9621</t>
  </si>
  <si>
    <t>053-76-5295</t>
  </si>
  <si>
    <t>000-00-0000</t>
  </si>
  <si>
    <t>109-80-2377</t>
  </si>
  <si>
    <t>000-00-4714</t>
  </si>
  <si>
    <t>051-86-5047</t>
  </si>
  <si>
    <t>584-29-5060</t>
  </si>
  <si>
    <t>079-70-3570</t>
  </si>
  <si>
    <t>079-72-8156</t>
  </si>
  <si>
    <t>103-58-5004</t>
  </si>
  <si>
    <t>596-50-8071</t>
  </si>
  <si>
    <t>073-48-2895</t>
  </si>
  <si>
    <t>124-69-0598</t>
  </si>
  <si>
    <t>067-58-3565</t>
  </si>
  <si>
    <t>079-58-4426</t>
  </si>
  <si>
    <t>122-56-7510</t>
  </si>
  <si>
    <t>133-76-9298</t>
  </si>
  <si>
    <t>861-52-4977</t>
  </si>
  <si>
    <t>103-50-5426</t>
  </si>
  <si>
    <t>096-62-7674</t>
  </si>
  <si>
    <t>055-62-6665</t>
  </si>
  <si>
    <t>223-87-9376</t>
  </si>
  <si>
    <t>583-93-4981</t>
  </si>
  <si>
    <t>055-82-5789</t>
  </si>
  <si>
    <t>050-78-8383</t>
  </si>
  <si>
    <t>126-96-6729</t>
  </si>
  <si>
    <t>107-60-2132</t>
  </si>
  <si>
    <t>121-60-5145</t>
  </si>
  <si>
    <t>081-64-9038</t>
  </si>
  <si>
    <t>061-80-0568</t>
  </si>
  <si>
    <t>050-78-2915</t>
  </si>
  <si>
    <t>065-66-8622</t>
  </si>
  <si>
    <t>088-68-3145</t>
  </si>
  <si>
    <t>098-82-3296</t>
  </si>
  <si>
    <t>059-82-6551</t>
  </si>
  <si>
    <t>063-68-3003</t>
  </si>
  <si>
    <t>078-86-9083</t>
  </si>
  <si>
    <t>060-78-2331</t>
  </si>
  <si>
    <t>220-19-2909</t>
  </si>
  <si>
    <t>089-70-3734</t>
  </si>
  <si>
    <t>079-58-5095</t>
  </si>
  <si>
    <t>733-09-7415</t>
  </si>
  <si>
    <t>117-76-5723</t>
  </si>
  <si>
    <t>061-72-9513</t>
  </si>
  <si>
    <t>105-22-2294</t>
  </si>
  <si>
    <t>705-43-4033</t>
  </si>
  <si>
    <t>105-64-6473</t>
  </si>
  <si>
    <t>055-82-5004</t>
  </si>
  <si>
    <t>090-88-3948</t>
  </si>
  <si>
    <t>129-58-1361</t>
  </si>
  <si>
    <t>000-00-8534</t>
  </si>
  <si>
    <t>103-44-6088</t>
  </si>
  <si>
    <t>077-62-9373</t>
  </si>
  <si>
    <t>066-68-3825</t>
  </si>
  <si>
    <t>128-72-3784</t>
  </si>
  <si>
    <t>071-50-3473</t>
  </si>
  <si>
    <t>582-37-9548</t>
  </si>
  <si>
    <t>062-30-3271</t>
  </si>
  <si>
    <t>070-96-3386</t>
  </si>
  <si>
    <t>063-96-6689</t>
  </si>
  <si>
    <t>584-19-0098</t>
  </si>
  <si>
    <t>056-62-5869</t>
  </si>
  <si>
    <t>095-90-9026</t>
  </si>
  <si>
    <t>101-64-5625</t>
  </si>
  <si>
    <t>093-78-2756</t>
  </si>
  <si>
    <t>599-30-6722</t>
  </si>
  <si>
    <t>058-58-9581</t>
  </si>
  <si>
    <t>059-70-4875</t>
  </si>
  <si>
    <t>114-42-5987</t>
  </si>
  <si>
    <t>068-80-9536</t>
  </si>
  <si>
    <t>482-77-6810</t>
  </si>
  <si>
    <t>070-90-4131</t>
  </si>
  <si>
    <t>000-00-5216</t>
  </si>
  <si>
    <t>582-05-4419</t>
  </si>
  <si>
    <t>088-68-8092</t>
  </si>
  <si>
    <t>116-60-2946</t>
  </si>
  <si>
    <t>100-74-5236</t>
  </si>
  <si>
    <t>051-84-8164</t>
  </si>
  <si>
    <t>095-76-1737</t>
  </si>
  <si>
    <t>062-58-9518</t>
  </si>
  <si>
    <t>301-70-8783</t>
  </si>
  <si>
    <t>083-54-1408</t>
  </si>
  <si>
    <t>225-57-4992</t>
  </si>
  <si>
    <t>083-84-6488</t>
  </si>
  <si>
    <t>114-72-3787</t>
  </si>
  <si>
    <t>752-26-8513</t>
  </si>
  <si>
    <t>110-52-2760</t>
  </si>
  <si>
    <t>730-14-5567</t>
  </si>
  <si>
    <t>086-68-5008</t>
  </si>
  <si>
    <t>000-00-0642</t>
  </si>
  <si>
    <t>057-58-6095</t>
  </si>
  <si>
    <t>113-56-4190</t>
  </si>
  <si>
    <t>085-76-6344</t>
  </si>
  <si>
    <t>583-86-3615</t>
  </si>
  <si>
    <t>101-88-9399</t>
  </si>
  <si>
    <t>084-32-2057</t>
  </si>
  <si>
    <t>056-64-5255</t>
  </si>
  <si>
    <t>064-66-5547</t>
  </si>
  <si>
    <t>065-50-9361</t>
  </si>
  <si>
    <t>072-66-5649</t>
  </si>
  <si>
    <t>591-23-9731</t>
  </si>
  <si>
    <t>052-78-9087</t>
  </si>
  <si>
    <t>213-29-2210</t>
  </si>
  <si>
    <t>091-58-8600</t>
  </si>
  <si>
    <t>087-58-9612</t>
  </si>
  <si>
    <t>687-18-4267</t>
  </si>
  <si>
    <t>580-13-1844</t>
  </si>
  <si>
    <t>581-48-1962</t>
  </si>
  <si>
    <t>085-64-7245</t>
  </si>
  <si>
    <t>089-68-4376</t>
  </si>
  <si>
    <t>106-94-5307</t>
  </si>
  <si>
    <t>099-56-4371</t>
  </si>
  <si>
    <t>102-88-5529</t>
  </si>
  <si>
    <t>130-68-1772</t>
  </si>
  <si>
    <t>053-78-6525</t>
  </si>
  <si>
    <t>069-58-2284</t>
  </si>
  <si>
    <t>116-64-1099</t>
  </si>
  <si>
    <t>057-66-9097</t>
  </si>
  <si>
    <t>093-87-1766</t>
  </si>
  <si>
    <t>294-83-4280</t>
  </si>
  <si>
    <t>058-08-6084</t>
  </si>
  <si>
    <t>070-02-0436</t>
  </si>
  <si>
    <t>420-37-9888</t>
  </si>
  <si>
    <t>096-90-9130</t>
  </si>
  <si>
    <t>067-58-1198</t>
  </si>
  <si>
    <t>081-70-5008</t>
  </si>
  <si>
    <t>038-74-1671</t>
  </si>
  <si>
    <t>711-97-0220</t>
  </si>
  <si>
    <t>000-00-2470</t>
  </si>
  <si>
    <t>089-48-2470</t>
  </si>
  <si>
    <t>120-72-8526</t>
  </si>
  <si>
    <t>115-52-9512</t>
  </si>
  <si>
    <t>077-54-2308</t>
  </si>
  <si>
    <t>568-75-0725</t>
  </si>
  <si>
    <t>068-76-6202</t>
  </si>
  <si>
    <t>068-52-9757</t>
  </si>
  <si>
    <t>111-92-3381</t>
  </si>
  <si>
    <t>089-80-5922</t>
  </si>
  <si>
    <t>840-74-2213</t>
  </si>
  <si>
    <t>105-64-5362</t>
  </si>
  <si>
    <t>110-64-5103</t>
  </si>
  <si>
    <t>093-72-6874</t>
  </si>
  <si>
    <t>241-32-0651</t>
  </si>
  <si>
    <t>101-58-8057</t>
  </si>
  <si>
    <t>084-74-2765</t>
  </si>
  <si>
    <t>132-64-8734</t>
  </si>
  <si>
    <t>131-56-2034</t>
  </si>
  <si>
    <t>109-60-9305</t>
  </si>
  <si>
    <t>100-52-0179</t>
  </si>
  <si>
    <t>134-70-9609</t>
  </si>
  <si>
    <t>051-32-3199</t>
  </si>
  <si>
    <t>095-70-8672</t>
  </si>
  <si>
    <t>893-33-8377</t>
  </si>
  <si>
    <t>112-72-4156</t>
  </si>
  <si>
    <t>580-09-8395</t>
  </si>
  <si>
    <t>068-70-6426</t>
  </si>
  <si>
    <t>053-60-7594</t>
  </si>
  <si>
    <t>086-74-9651</t>
  </si>
  <si>
    <t>063-50-2805</t>
  </si>
  <si>
    <t>115-60-5156</t>
  </si>
  <si>
    <t>082-82-2767</t>
  </si>
  <si>
    <t>084-44-1954</t>
  </si>
  <si>
    <t>066-76-3782</t>
  </si>
  <si>
    <t>076-46-6722</t>
  </si>
  <si>
    <t>063-70-2565</t>
  </si>
  <si>
    <t>079-66-0182</t>
  </si>
  <si>
    <t>076-78-3782</t>
  </si>
  <si>
    <t>082-46-2689</t>
  </si>
  <si>
    <t>070-68-8071</t>
  </si>
  <si>
    <t>849-98-4160</t>
  </si>
  <si>
    <t>115-30-9394</t>
  </si>
  <si>
    <t>053-60-6286</t>
  </si>
  <si>
    <t>102-38-5049</t>
  </si>
  <si>
    <t>074-74-9371</t>
  </si>
  <si>
    <t>096-72-8754</t>
  </si>
  <si>
    <t>123-70-6382</t>
  </si>
  <si>
    <t>594-68-8925</t>
  </si>
  <si>
    <t>055-82-9386</t>
  </si>
  <si>
    <t>094-82-9428</t>
  </si>
  <si>
    <t>407-04-3787</t>
  </si>
  <si>
    <t>056-44-4015</t>
  </si>
  <si>
    <t>089-80-7268</t>
  </si>
  <si>
    <t>107-50-4448</t>
  </si>
  <si>
    <t>098-58-4620</t>
  </si>
  <si>
    <t>060-50-8443</t>
  </si>
  <si>
    <t>000-00-0425</t>
  </si>
  <si>
    <t>055-82-2415</t>
  </si>
  <si>
    <t>085-74-4889</t>
  </si>
  <si>
    <t>115-90-1152</t>
  </si>
  <si>
    <t>118-52-1900</t>
  </si>
  <si>
    <t>125-54-4716</t>
  </si>
  <si>
    <t>057-90-1599</t>
  </si>
  <si>
    <t>132-48-7895</t>
  </si>
  <si>
    <t>731-18-0507</t>
  </si>
  <si>
    <t>097-68-8779</t>
  </si>
  <si>
    <t>097-54-9364</t>
  </si>
  <si>
    <t>057-60-6059</t>
  </si>
  <si>
    <t>599-20-9601</t>
  </si>
  <si>
    <t>132-76-0254</t>
  </si>
  <si>
    <t>071-50-3108</t>
  </si>
  <si>
    <t>127-36-9940</t>
  </si>
  <si>
    <t>421-91-5113</t>
  </si>
  <si>
    <t>113-54-0410</t>
  </si>
  <si>
    <t>031-60-6331</t>
  </si>
  <si>
    <t>033-49-0701</t>
  </si>
  <si>
    <t>096-56-3362</t>
  </si>
  <si>
    <t>206-44-9645</t>
  </si>
  <si>
    <t>000-00-2977</t>
  </si>
  <si>
    <t>051-72-8320</t>
  </si>
  <si>
    <t>599-07-6815</t>
  </si>
  <si>
    <t>131-58-4857</t>
  </si>
  <si>
    <t>103-84-5251</t>
  </si>
  <si>
    <t>106-68-9482</t>
  </si>
  <si>
    <t>090-64-2104</t>
  </si>
  <si>
    <t>769-12-3085</t>
  </si>
  <si>
    <t>101-66-6319</t>
  </si>
  <si>
    <t>090-68-1966</t>
  </si>
  <si>
    <t>100-43-7140</t>
  </si>
  <si>
    <t>091-80-6174</t>
  </si>
  <si>
    <t>071-02-0819</t>
  </si>
  <si>
    <t>050-66-6016</t>
  </si>
  <si>
    <t>095-66-0324</t>
  </si>
  <si>
    <t>100-02-5140</t>
  </si>
  <si>
    <t>104-62-5480</t>
  </si>
  <si>
    <t>119-76-2239</t>
  </si>
  <si>
    <t>075-80-2033</t>
  </si>
  <si>
    <t>124-68-9282</t>
  </si>
  <si>
    <t>058-78-1774</t>
  </si>
  <si>
    <t>105-50-3098</t>
  </si>
  <si>
    <t>119-62-5498</t>
  </si>
  <si>
    <t>000-00-7259</t>
  </si>
  <si>
    <t>083-62-5171</t>
  </si>
  <si>
    <t>000-00-6885</t>
  </si>
  <si>
    <t>053-60-1689</t>
  </si>
  <si>
    <t>126-58-8950</t>
  </si>
  <si>
    <t>000-00-1000</t>
  </si>
  <si>
    <t>115-50-9422</t>
  </si>
  <si>
    <t>054-48-2367</t>
  </si>
  <si>
    <t>050-58-9359</t>
  </si>
  <si>
    <t>000-00-3519</t>
  </si>
  <si>
    <t>068-60-1274</t>
  </si>
  <si>
    <t>114-54-1395</t>
  </si>
  <si>
    <t>126-66-1211</t>
  </si>
  <si>
    <t>506-19-8262</t>
  </si>
  <si>
    <t>055-68-0047</t>
  </si>
  <si>
    <t>132-82-3063</t>
  </si>
  <si>
    <t>088-86-3932</t>
  </si>
  <si>
    <t>695-27-7233</t>
  </si>
  <si>
    <t>582-85-0348</t>
  </si>
  <si>
    <t>069-50-3620</t>
  </si>
  <si>
    <t>112-84-1086</t>
  </si>
  <si>
    <t>123-56-6792</t>
  </si>
  <si>
    <t>132-62-0631</t>
  </si>
  <si>
    <t>130-64-1210</t>
  </si>
  <si>
    <t>090-66-0787</t>
  </si>
  <si>
    <t>261-99-9673</t>
  </si>
  <si>
    <t>050-56-1211</t>
  </si>
  <si>
    <t>000-00-3466</t>
  </si>
  <si>
    <t>075-60-0165</t>
  </si>
  <si>
    <t>085-72-2436</t>
  </si>
  <si>
    <t>121-48-5149</t>
  </si>
  <si>
    <t>076-60-2503</t>
  </si>
  <si>
    <t>127-58-6921</t>
  </si>
  <si>
    <t>185-62-7604</t>
  </si>
  <si>
    <t>115-88-5127</t>
  </si>
  <si>
    <t>091-60-4689</t>
  </si>
  <si>
    <t>000-00-4035</t>
  </si>
  <si>
    <t>073-76-2274</t>
  </si>
  <si>
    <t>087-46-4951</t>
  </si>
  <si>
    <t>087-92-3998</t>
  </si>
  <si>
    <t>000-00-1932</t>
  </si>
  <si>
    <t>000-00-8825</t>
  </si>
  <si>
    <t>059-42-2791</t>
  </si>
  <si>
    <t>075-84-8656</t>
  </si>
  <si>
    <t>075-84-7287</t>
  </si>
  <si>
    <t>095-68-3768</t>
  </si>
  <si>
    <t>000-00-4007</t>
  </si>
  <si>
    <t>117-56-5975</t>
  </si>
  <si>
    <t>405-58-8760</t>
  </si>
  <si>
    <t>072-44-7819</t>
  </si>
  <si>
    <t>093-78-0934</t>
  </si>
  <si>
    <t>054-44-3973</t>
  </si>
  <si>
    <t>260-46-8824</t>
  </si>
  <si>
    <t>060-66-5360</t>
  </si>
  <si>
    <t>081-88-6021</t>
  </si>
  <si>
    <t>127-68-8751</t>
  </si>
  <si>
    <t>572-57-3743</t>
  </si>
  <si>
    <t>111-78-4271</t>
  </si>
  <si>
    <t>100-56-0117</t>
  </si>
  <si>
    <t>000-00-9794</t>
  </si>
  <si>
    <t>000-00-7068</t>
  </si>
  <si>
    <t>084-48-6654</t>
  </si>
  <si>
    <t>119-68-7068</t>
  </si>
  <si>
    <t>134-84-2399</t>
  </si>
  <si>
    <t>580-06-0521</t>
  </si>
  <si>
    <t>000-00-3572</t>
  </si>
  <si>
    <t>111-11-1111</t>
  </si>
  <si>
    <t>112-60-6262</t>
  </si>
  <si>
    <t>099-42-7615</t>
  </si>
  <si>
    <t>099-56-0914</t>
  </si>
  <si>
    <t>000-00-3682</t>
  </si>
  <si>
    <t>114-90-1541</t>
  </si>
  <si>
    <t>129-54-9781</t>
  </si>
  <si>
    <t>000-00-2374</t>
  </si>
  <si>
    <t>085-76-8716</t>
  </si>
  <si>
    <t>122-64-3482</t>
  </si>
  <si>
    <t>084-68-4470</t>
  </si>
  <si>
    <t>000-00-1135</t>
  </si>
  <si>
    <t>107-40-3246</t>
  </si>
  <si>
    <t>106-54-2215</t>
  </si>
  <si>
    <t>073-58-1737</t>
  </si>
  <si>
    <t>129-68-0751</t>
  </si>
  <si>
    <t>101-40-9652</t>
  </si>
  <si>
    <t>224-49-5630</t>
  </si>
  <si>
    <t>116-64-5940</t>
  </si>
  <si>
    <t>110-58-3027</t>
  </si>
  <si>
    <t>094-72-4416</t>
  </si>
  <si>
    <t>007-60-8523</t>
  </si>
  <si>
    <t>000-00-1644</t>
  </si>
  <si>
    <t>173-82-0363</t>
  </si>
  <si>
    <t>425-59-3364</t>
  </si>
  <si>
    <t>096-56-3609</t>
  </si>
  <si>
    <t>133-68-0074</t>
  </si>
  <si>
    <t>212-94-9506</t>
  </si>
  <si>
    <t>113-90-0579</t>
  </si>
  <si>
    <t>060-70-4664</t>
  </si>
  <si>
    <t>095-64-0827</t>
  </si>
  <si>
    <t>057-56-6825</t>
  </si>
  <si>
    <t>000-00-9434</t>
  </si>
  <si>
    <t>495-89-7682</t>
  </si>
  <si>
    <t>000-00-0346</t>
  </si>
  <si>
    <t>123-58-9797</t>
  </si>
  <si>
    <t>346-44-1065</t>
  </si>
  <si>
    <t>097-68-9952</t>
  </si>
  <si>
    <t>069-90-3023</t>
  </si>
  <si>
    <t>244-17-5509</t>
  </si>
  <si>
    <t>075-64-9600</t>
  </si>
  <si>
    <t>091-68-3928</t>
  </si>
  <si>
    <t>142-88-4294</t>
  </si>
  <si>
    <t>055-58-6977</t>
  </si>
  <si>
    <t>107-42-0830</t>
  </si>
  <si>
    <t>848-68-8102</t>
  </si>
  <si>
    <t>100-56-3290</t>
  </si>
  <si>
    <t>064-68-7456</t>
  </si>
  <si>
    <t>230-58-6257</t>
  </si>
  <si>
    <t>000-00-6969</t>
  </si>
  <si>
    <t>148-40-0566</t>
  </si>
  <si>
    <t>065-46-7136</t>
  </si>
  <si>
    <t>059-90-7583</t>
  </si>
  <si>
    <t>362-98-0185</t>
  </si>
  <si>
    <t>247-35-7529</t>
  </si>
  <si>
    <t>072-02-2146</t>
  </si>
  <si>
    <t>051-56-1862</t>
  </si>
  <si>
    <t>603-30-0598</t>
  </si>
  <si>
    <t>078-46-4443</t>
  </si>
  <si>
    <t>071-48-8268</t>
  </si>
  <si>
    <t>109-72-9781</t>
  </si>
  <si>
    <t>061-80-7115</t>
  </si>
  <si>
    <t>050-68-9370</t>
  </si>
  <si>
    <t>051-60-5777</t>
  </si>
  <si>
    <t>105-72-2989</t>
  </si>
  <si>
    <t>810-91-1246</t>
  </si>
  <si>
    <t>086-90-7663</t>
  </si>
  <si>
    <t>113-48-9823</t>
  </si>
  <si>
    <t>055-68-8807</t>
  </si>
  <si>
    <t>058-90-8022</t>
  </si>
  <si>
    <t>077-68-0894</t>
  </si>
  <si>
    <t>071-82-9771</t>
  </si>
  <si>
    <t>102-80-2657</t>
  </si>
  <si>
    <t>126-66-8456</t>
  </si>
  <si>
    <t>126-24-5235</t>
  </si>
  <si>
    <t>581-87-9225</t>
  </si>
  <si>
    <t>114-72-1814</t>
  </si>
  <si>
    <t>123-78-5032</t>
  </si>
  <si>
    <t>090-74-6151</t>
  </si>
  <si>
    <t>080-62-7068</t>
  </si>
  <si>
    <t>055-78-8732</t>
  </si>
  <si>
    <t>050-84-7014</t>
  </si>
  <si>
    <t>093-74-9400</t>
  </si>
  <si>
    <t>265-97-4756</t>
  </si>
  <si>
    <t>044-36-8581</t>
  </si>
  <si>
    <t>121-70-1390</t>
  </si>
  <si>
    <t>065-58-1639</t>
  </si>
  <si>
    <t>123-42-4584</t>
  </si>
  <si>
    <t>053-42-3849</t>
  </si>
  <si>
    <t>084-80-5013</t>
  </si>
  <si>
    <t>129-78-2722</t>
  </si>
  <si>
    <t>058-86-9267</t>
  </si>
  <si>
    <t>079-86-4390</t>
  </si>
  <si>
    <t>087-72-7955</t>
  </si>
  <si>
    <t>043-62-1209</t>
  </si>
  <si>
    <t>184-76-4980</t>
  </si>
  <si>
    <t>579-72-3810</t>
  </si>
  <si>
    <t>253-58-5839</t>
  </si>
  <si>
    <t>064-42-1609</t>
  </si>
  <si>
    <t>126-48-4974</t>
  </si>
  <si>
    <t>582-66-5931</t>
  </si>
  <si>
    <t>058-82-7879</t>
  </si>
  <si>
    <t>255-68-7755</t>
  </si>
  <si>
    <t>091-40-2162</t>
  </si>
  <si>
    <t>079-66-9930</t>
  </si>
  <si>
    <t>116-46-4869</t>
  </si>
  <si>
    <t>117-56-2178</t>
  </si>
  <si>
    <t>078-72-5432</t>
  </si>
  <si>
    <t>129-82-0168</t>
  </si>
  <si>
    <t>124-70-6162</t>
  </si>
  <si>
    <t>094-88-9010</t>
  </si>
  <si>
    <t>079-86-2667</t>
  </si>
  <si>
    <t>206-48-8604</t>
  </si>
  <si>
    <t>073-58-8720</t>
  </si>
  <si>
    <t>101-34-9096</t>
  </si>
  <si>
    <t>099-62-7308</t>
  </si>
  <si>
    <t>051-78-2283</t>
  </si>
  <si>
    <t>084-66-8611</t>
  </si>
  <si>
    <t>094-52-7762</t>
  </si>
  <si>
    <t>037-26-3666</t>
  </si>
  <si>
    <t>583-31-8067</t>
  </si>
  <si>
    <t>581-82-5208</t>
  </si>
  <si>
    <t>774-41-5901</t>
  </si>
  <si>
    <t>057-76-6705</t>
  </si>
  <si>
    <t>113-74-1464</t>
  </si>
  <si>
    <t>069-58-7645</t>
  </si>
  <si>
    <t>117-40-1020</t>
  </si>
  <si>
    <t>127-80-3728</t>
  </si>
  <si>
    <t>190-52-1625</t>
  </si>
  <si>
    <t>201-52-9974</t>
  </si>
  <si>
    <t>053-68-2448</t>
  </si>
  <si>
    <t>125-46-2772</t>
  </si>
  <si>
    <t>212-15-6319</t>
  </si>
  <si>
    <t>052-66-2659</t>
  </si>
  <si>
    <t>460-69-5632</t>
  </si>
  <si>
    <t>100-90-5262</t>
  </si>
  <si>
    <t>051-64-0801</t>
  </si>
  <si>
    <t>097-56-7596</t>
  </si>
  <si>
    <t>033-72-7061</t>
  </si>
  <si>
    <t>063-40-4088</t>
  </si>
  <si>
    <t>122-82-4971</t>
  </si>
  <si>
    <t>064-98-5766</t>
  </si>
  <si>
    <t>051-60-4333</t>
  </si>
  <si>
    <t>083-74-5474</t>
  </si>
  <si>
    <t>745-24-9418</t>
  </si>
  <si>
    <t>096-60-9441</t>
  </si>
  <si>
    <t>114-84-0996</t>
  </si>
  <si>
    <t>117-56-5511</t>
  </si>
  <si>
    <t>087-44-8499</t>
  </si>
  <si>
    <t>155-68-4533</t>
  </si>
  <si>
    <t>109-80-8042</t>
  </si>
  <si>
    <t>115-56-0318</t>
  </si>
  <si>
    <t>086-70-2737</t>
  </si>
  <si>
    <t>129-70-7365</t>
  </si>
  <si>
    <t>025-66-0751</t>
  </si>
  <si>
    <t>097-62-1643</t>
  </si>
  <si>
    <t>072-54-5643</t>
  </si>
  <si>
    <t>086-68-7198</t>
  </si>
  <si>
    <t>071-62-7921</t>
  </si>
  <si>
    <t>102-64-5296</t>
  </si>
  <si>
    <t>132-80-8741</t>
  </si>
  <si>
    <t>262-27-8124</t>
  </si>
  <si>
    <t>251-56-8339</t>
  </si>
  <si>
    <t>526-53-2305</t>
  </si>
  <si>
    <t>113-74-1313</t>
  </si>
  <si>
    <t>104-44-2710</t>
  </si>
  <si>
    <t>066-42-5483</t>
  </si>
  <si>
    <t>053-60-9877</t>
  </si>
  <si>
    <t>097-62-3282</t>
  </si>
  <si>
    <t>051-02-1214</t>
  </si>
  <si>
    <t>084-96-3545</t>
  </si>
  <si>
    <t>366-15-1474</t>
  </si>
  <si>
    <t>058-90-6025</t>
  </si>
  <si>
    <t>215-17-3070</t>
  </si>
  <si>
    <t>066-70-4992</t>
  </si>
  <si>
    <t>084-86-5624</t>
  </si>
  <si>
    <t>086-58-0143</t>
  </si>
  <si>
    <t>077-68-1380</t>
  </si>
  <si>
    <t>090-76-0625</t>
  </si>
  <si>
    <t>111-64-0725</t>
  </si>
  <si>
    <t>124-78-2327</t>
  </si>
  <si>
    <t>050-90-0575</t>
  </si>
  <si>
    <t>070-48-0359</t>
  </si>
  <si>
    <t>295-87-3034</t>
  </si>
  <si>
    <t>101-56-3909</t>
  </si>
  <si>
    <t>073-58-7703</t>
  </si>
  <si>
    <t>000-00-6528</t>
  </si>
  <si>
    <t>086-44-5514</t>
  </si>
  <si>
    <t>248-50-6851</t>
  </si>
  <si>
    <t>584-10-2823</t>
  </si>
  <si>
    <t>100-76-5378</t>
  </si>
  <si>
    <t>097-78-0773</t>
  </si>
  <si>
    <t>117-74-5533</t>
  </si>
  <si>
    <t>098-48-1103</t>
  </si>
  <si>
    <t>069-54-4391</t>
  </si>
  <si>
    <t>134-30-6863</t>
  </si>
  <si>
    <t>099-72-6567</t>
  </si>
  <si>
    <t>122-52-1686</t>
  </si>
  <si>
    <t>096-68-7310</t>
  </si>
  <si>
    <t>051-70-2573</t>
  </si>
  <si>
    <t>247-88-6180</t>
  </si>
  <si>
    <t>318-52-7710</t>
  </si>
  <si>
    <t>100-58-3180</t>
  </si>
  <si>
    <t>115-56-5101</t>
  </si>
  <si>
    <t>091-56-2353</t>
  </si>
  <si>
    <t>076-60-3864</t>
  </si>
  <si>
    <t>070-58-6191</t>
  </si>
  <si>
    <t>142-15-6038</t>
  </si>
  <si>
    <t>758-74-0872</t>
  </si>
  <si>
    <t>061-76-5040</t>
  </si>
  <si>
    <t>083-92-4183</t>
  </si>
  <si>
    <t>061-36-9896</t>
  </si>
  <si>
    <t>065-36-4783</t>
  </si>
  <si>
    <t>067-82-3461</t>
  </si>
  <si>
    <t>070-06-0265</t>
  </si>
  <si>
    <t>092-84-3486</t>
  </si>
  <si>
    <t>064-68-5945</t>
  </si>
  <si>
    <t>087-72-3847</t>
  </si>
  <si>
    <t>107-70-1165</t>
  </si>
  <si>
    <t>054-74-1530</t>
  </si>
  <si>
    <t>410-02-2851</t>
  </si>
  <si>
    <t>603-28-0534</t>
  </si>
  <si>
    <t>108-36-1174</t>
  </si>
  <si>
    <t>084-88-7803</t>
  </si>
  <si>
    <t>119-80-2941</t>
  </si>
  <si>
    <t>122-64-5291</t>
  </si>
  <si>
    <t>052-66-6059</t>
  </si>
  <si>
    <t>623-31-6461</t>
  </si>
  <si>
    <t>121-70-9208</t>
  </si>
  <si>
    <t>448-04-4203</t>
  </si>
  <si>
    <t>333-68-6817</t>
  </si>
  <si>
    <t>582-21-4189</t>
  </si>
  <si>
    <t>068-02-1761</t>
  </si>
  <si>
    <t>264-95-2138</t>
  </si>
  <si>
    <t>731-07-4373</t>
  </si>
  <si>
    <t>059-68-4507</t>
  </si>
  <si>
    <t>743-29-2648</t>
  </si>
  <si>
    <t>071-96-6216</t>
  </si>
  <si>
    <t>059-94-1471</t>
  </si>
  <si>
    <t>821-71-8398</t>
  </si>
  <si>
    <t>252-80-3832</t>
  </si>
  <si>
    <t>054-44-7253</t>
  </si>
  <si>
    <t>095-68-0570</t>
  </si>
  <si>
    <t>125-56-6586</t>
  </si>
  <si>
    <t>106-78-5587</t>
  </si>
  <si>
    <t>113-50-5177</t>
  </si>
  <si>
    <t>051-54-9985</t>
  </si>
  <si>
    <t>076-88-5240</t>
  </si>
  <si>
    <t>132-78-6636</t>
  </si>
  <si>
    <t>109-40-0464</t>
  </si>
  <si>
    <t>133-90-3326</t>
  </si>
  <si>
    <t>053-96-0411</t>
  </si>
  <si>
    <t>068-72-1319</t>
  </si>
  <si>
    <t>058-80-7052</t>
  </si>
  <si>
    <t>103-84-9482</t>
  </si>
  <si>
    <t>052-54-2038</t>
  </si>
  <si>
    <t>084-44-1167</t>
  </si>
  <si>
    <t>073-62-8001</t>
  </si>
  <si>
    <t>060-54-8911</t>
  </si>
  <si>
    <t>055-54-2061</t>
  </si>
  <si>
    <t>074-36-0736</t>
  </si>
  <si>
    <t>127-92-4005</t>
  </si>
  <si>
    <t>103-70-6864</t>
  </si>
  <si>
    <t>092-80-0078</t>
  </si>
  <si>
    <t>583-33-5883</t>
  </si>
  <si>
    <t>085-94-5641</t>
  </si>
  <si>
    <t>057-68-5180</t>
  </si>
  <si>
    <t>114-50-6813</t>
  </si>
  <si>
    <t>083-56-7340</t>
  </si>
  <si>
    <t>106-48-3373</t>
  </si>
  <si>
    <t>071-64-4200</t>
  </si>
  <si>
    <t>091-74-1446</t>
  </si>
  <si>
    <t>823-33-0468</t>
  </si>
  <si>
    <t>108-84-4713</t>
  </si>
  <si>
    <t>123-78-7442</t>
  </si>
  <si>
    <t>123-78-7375</t>
  </si>
  <si>
    <t>096-60-1509</t>
  </si>
  <si>
    <t>145-36-7903</t>
  </si>
  <si>
    <t>095-78-0272</t>
  </si>
  <si>
    <t>078-90-7625</t>
  </si>
  <si>
    <t>118-80-9538</t>
  </si>
  <si>
    <t>052-74-2156</t>
  </si>
  <si>
    <t>077-74-4382</t>
  </si>
  <si>
    <t>124-78-4779</t>
  </si>
  <si>
    <t>322-52-6510</t>
  </si>
  <si>
    <t>187-93-0605</t>
  </si>
  <si>
    <t>074-66-6758</t>
  </si>
  <si>
    <t>127-58-8129</t>
  </si>
  <si>
    <t>056-50-3517</t>
  </si>
  <si>
    <t>065-84-9286</t>
  </si>
  <si>
    <t>069-86-6037</t>
  </si>
  <si>
    <t>103-32-5163</t>
  </si>
  <si>
    <t>599-18-8788</t>
  </si>
  <si>
    <t>093-42-6462</t>
  </si>
  <si>
    <t>089-68-8370</t>
  </si>
  <si>
    <t>124-66-2464</t>
  </si>
  <si>
    <t>121-46-0804</t>
  </si>
  <si>
    <t>055-60-6864</t>
  </si>
  <si>
    <t>093-70-4591</t>
  </si>
  <si>
    <t>585-73-9160</t>
  </si>
  <si>
    <t>199-72-5029</t>
  </si>
  <si>
    <t>133-18-3415</t>
  </si>
  <si>
    <t>051-70-3086</t>
  </si>
  <si>
    <t>105-74-3579</t>
  </si>
  <si>
    <t>122-40-0436</t>
  </si>
  <si>
    <t>056-46-3623</t>
  </si>
  <si>
    <t>076-90-9135</t>
  </si>
  <si>
    <t>051-80-5831</t>
  </si>
  <si>
    <t>090-88-4271</t>
  </si>
  <si>
    <t>085-64-3990</t>
  </si>
  <si>
    <t>055-68-1924</t>
  </si>
  <si>
    <t>247-86-4291</t>
  </si>
  <si>
    <t>054-74-4360</t>
  </si>
  <si>
    <t>192-65-1173</t>
  </si>
  <si>
    <t>000-00-5228</t>
  </si>
  <si>
    <t>073-58-6151</t>
  </si>
  <si>
    <t>101-66-9277</t>
  </si>
  <si>
    <t>093-64-0179</t>
  </si>
  <si>
    <t>116-80-6090</t>
  </si>
  <si>
    <t>060-72-7844</t>
  </si>
  <si>
    <t>018-27-5865</t>
  </si>
  <si>
    <t>110-82-4436</t>
  </si>
  <si>
    <t>098-72-6551</t>
  </si>
  <si>
    <t>075-76-6097</t>
  </si>
  <si>
    <t>086-66-3542</t>
  </si>
  <si>
    <t>128-76-3284</t>
  </si>
  <si>
    <t>077-92-4376</t>
  </si>
  <si>
    <t>582-37-3310</t>
  </si>
  <si>
    <t>105-62-7094</t>
  </si>
  <si>
    <t>096-58-0543</t>
  </si>
  <si>
    <t>587-76-3546</t>
  </si>
  <si>
    <t>086-64-1518</t>
  </si>
  <si>
    <t>092-52-4713</t>
  </si>
  <si>
    <t>083-72-6734</t>
  </si>
  <si>
    <t>105-62-3925</t>
  </si>
  <si>
    <t>098-80-5874</t>
  </si>
  <si>
    <t>134-54-1177</t>
  </si>
  <si>
    <t>251-69-9984</t>
  </si>
  <si>
    <t>111-82-8723</t>
  </si>
  <si>
    <t>114-50-6762</t>
  </si>
  <si>
    <t>117-56-3030</t>
  </si>
  <si>
    <t>107-84-1924</t>
  </si>
  <si>
    <t>102-70-0396</t>
  </si>
  <si>
    <t>477-79-9379</t>
  </si>
  <si>
    <t>127-92-6430</t>
  </si>
  <si>
    <t>056-64-9494</t>
  </si>
  <si>
    <t>102-86-5423</t>
  </si>
  <si>
    <t>053-80-7348</t>
  </si>
  <si>
    <t>054-70-7818</t>
  </si>
  <si>
    <t>589-93-3118</t>
  </si>
  <si>
    <t>075-02-3195</t>
  </si>
  <si>
    <t>086-76-5772</t>
  </si>
  <si>
    <t>124-38-6335</t>
  </si>
  <si>
    <t>068-80-6735</t>
  </si>
  <si>
    <t>345-40-2018</t>
  </si>
  <si>
    <t>063-72-2916</t>
  </si>
  <si>
    <t>109-48-6587</t>
  </si>
  <si>
    <t>121-64-1047</t>
  </si>
  <si>
    <t>125-23-0851</t>
  </si>
  <si>
    <t>107-40-4435</t>
  </si>
  <si>
    <t>115-66-0372</t>
  </si>
  <si>
    <t>108-62-7128</t>
  </si>
  <si>
    <t>071-58-5938</t>
  </si>
  <si>
    <t>551-15-1037</t>
  </si>
  <si>
    <t>123-70-6298</t>
  </si>
  <si>
    <t>055-44-0480</t>
  </si>
  <si>
    <t>095-50-5870</t>
  </si>
  <si>
    <t>095-44-3903</t>
  </si>
  <si>
    <t>102-58-3074</t>
  </si>
  <si>
    <t>063-56-8274</t>
  </si>
  <si>
    <t>025-06-8028</t>
  </si>
  <si>
    <t>093-02-5399</t>
  </si>
  <si>
    <t>051-72-1953</t>
  </si>
  <si>
    <t>100-68-3080</t>
  </si>
  <si>
    <t>108-76-5513</t>
  </si>
  <si>
    <t>108-80-3091</t>
  </si>
  <si>
    <t>098-56-0527</t>
  </si>
  <si>
    <t>056-42-4502</t>
  </si>
  <si>
    <t>057-90-3775</t>
  </si>
  <si>
    <t>076-88-1089</t>
  </si>
  <si>
    <t>079-62-4604</t>
  </si>
  <si>
    <t>072-76-4760</t>
  </si>
  <si>
    <t>088-66-0521</t>
  </si>
  <si>
    <t>105-58-3467</t>
  </si>
  <si>
    <t>112-88-1248</t>
  </si>
  <si>
    <t>122-56-9620</t>
  </si>
  <si>
    <t>270-21-5660</t>
  </si>
  <si>
    <t>709-31-8408</t>
  </si>
  <si>
    <t>102-58-7089</t>
  </si>
  <si>
    <t>112-60-0630</t>
  </si>
  <si>
    <t>145-75-7580</t>
  </si>
  <si>
    <t>121-58-2389</t>
  </si>
  <si>
    <t>054-68-0767</t>
  </si>
  <si>
    <t>133-44-3506</t>
  </si>
  <si>
    <t>087-98-7369</t>
  </si>
  <si>
    <t>087-66-7932</t>
  </si>
  <si>
    <t>043-40-9912</t>
  </si>
  <si>
    <t>151-91-7817</t>
  </si>
  <si>
    <t>114-86-9149</t>
  </si>
  <si>
    <t>130-94-6350</t>
  </si>
  <si>
    <t>111-80-4063</t>
  </si>
  <si>
    <t>052-72-1190</t>
  </si>
  <si>
    <t>092-68-2467</t>
  </si>
  <si>
    <t>094-82-1816</t>
  </si>
  <si>
    <t>035-38-1241</t>
  </si>
  <si>
    <t>088-78-9683</t>
  </si>
  <si>
    <t>034-96-6978</t>
  </si>
  <si>
    <t>104-98-2336</t>
  </si>
  <si>
    <t>109-82-4608</t>
  </si>
  <si>
    <t>095-70-0125</t>
  </si>
  <si>
    <t>064-32-4842</t>
  </si>
  <si>
    <t>108-56-8100</t>
  </si>
  <si>
    <t>062-74-1805</t>
  </si>
  <si>
    <t>216-31-1544</t>
  </si>
  <si>
    <t>104-62-6194</t>
  </si>
  <si>
    <t>051-66-4089</t>
  </si>
  <si>
    <t>128-62-3406</t>
  </si>
  <si>
    <t>388-77-2942</t>
  </si>
  <si>
    <t>082-82-5070</t>
  </si>
  <si>
    <t>079-76-2652</t>
  </si>
  <si>
    <t>380-42-1354</t>
  </si>
  <si>
    <t>126-70-7253</t>
  </si>
  <si>
    <t>884-95-7036</t>
  </si>
  <si>
    <t>094-84-0046</t>
  </si>
  <si>
    <t>081-84-5149</t>
  </si>
  <si>
    <t>096-60-1921</t>
  </si>
  <si>
    <t>055-66-8330</t>
  </si>
  <si>
    <t>065-58-8761</t>
  </si>
  <si>
    <t>108-70-2062</t>
  </si>
  <si>
    <t>096-56-3367</t>
  </si>
  <si>
    <t>095-82-8661</t>
  </si>
  <si>
    <t>101-86-5057</t>
  </si>
  <si>
    <t>060-74-5338</t>
  </si>
  <si>
    <t>589-11-0670</t>
  </si>
  <si>
    <t>089-02-4592</t>
  </si>
  <si>
    <t>131-58-4010</t>
  </si>
  <si>
    <t>078-86-5597</t>
  </si>
  <si>
    <t>026-64-4767</t>
  </si>
  <si>
    <t>099-90-2703</t>
  </si>
  <si>
    <t>067-30-6221</t>
  </si>
  <si>
    <t>093-62-5418</t>
  </si>
  <si>
    <t>056-58-5082</t>
  </si>
  <si>
    <t>072-80-7017</t>
  </si>
  <si>
    <t>888-24-3548</t>
  </si>
  <si>
    <t>115-56-2955</t>
  </si>
  <si>
    <t>114-70-3560</t>
  </si>
  <si>
    <t>071-74-9882</t>
  </si>
  <si>
    <t>057-68-8137</t>
  </si>
  <si>
    <t>580-17-1861</t>
  </si>
  <si>
    <t>085-70-4830</t>
  </si>
  <si>
    <t>125-56-1923</t>
  </si>
  <si>
    <t>104-58-7034</t>
  </si>
  <si>
    <t>000-00-5307</t>
  </si>
  <si>
    <t>108-90-7628</t>
  </si>
  <si>
    <t>096-92-6765</t>
  </si>
  <si>
    <t>114-66-0378</t>
  </si>
  <si>
    <t>105-70-3929</t>
  </si>
  <si>
    <t>095-86-1658</t>
  </si>
  <si>
    <t>134-32-3148</t>
  </si>
  <si>
    <t>898-09-8285</t>
  </si>
  <si>
    <t>931-70-5725</t>
  </si>
  <si>
    <t>084-72-6492</t>
  </si>
  <si>
    <t>099-86-3555</t>
  </si>
  <si>
    <t>129-52-1001</t>
  </si>
  <si>
    <t>566-79-1589</t>
  </si>
  <si>
    <t>114-72-3725</t>
  </si>
  <si>
    <t>182-82-9619</t>
  </si>
  <si>
    <t>122-78-2437</t>
  </si>
  <si>
    <t>114-66-8747</t>
  </si>
  <si>
    <t>068-78-5935</t>
  </si>
  <si>
    <t>115-66-8785</t>
  </si>
  <si>
    <t>051-64-3197</t>
  </si>
  <si>
    <t>028-65-3197</t>
  </si>
  <si>
    <t>069-68-2918</t>
  </si>
  <si>
    <t>082-70-0674</t>
  </si>
  <si>
    <t>078-70-8077</t>
  </si>
  <si>
    <t>110-78-9657</t>
  </si>
  <si>
    <t>582-95-8815</t>
  </si>
  <si>
    <t>052-94-9781</t>
  </si>
  <si>
    <t>066-86-0706</t>
  </si>
  <si>
    <t>119-76-7166</t>
  </si>
  <si>
    <t>075-50-3447</t>
  </si>
  <si>
    <t>143-46-3515</t>
  </si>
  <si>
    <t>095-56-7750</t>
  </si>
  <si>
    <t>116-56-1154</t>
  </si>
  <si>
    <t>084-70-9257</t>
  </si>
  <si>
    <t>127-66-6844</t>
  </si>
  <si>
    <t>124-68-0274</t>
  </si>
  <si>
    <t>113-62-8259</t>
  </si>
  <si>
    <t>104-70-0923</t>
  </si>
  <si>
    <t>081-34-2262</t>
  </si>
  <si>
    <t>087-62-5849</t>
  </si>
  <si>
    <t>080-60-1055</t>
  </si>
  <si>
    <t>061-40-2510</t>
  </si>
  <si>
    <t>088-52-8875</t>
  </si>
  <si>
    <t>113-86-3545</t>
  </si>
  <si>
    <t>505-96-3900</t>
  </si>
  <si>
    <t>183-28-9597</t>
  </si>
  <si>
    <t>120-86-0742</t>
  </si>
  <si>
    <t>120-38-7409</t>
  </si>
  <si>
    <t>058-64-7298</t>
  </si>
  <si>
    <t>933-62-9150</t>
  </si>
  <si>
    <t>099-58-8326</t>
  </si>
  <si>
    <t>120-52-0129</t>
  </si>
  <si>
    <t>084-80-4844</t>
  </si>
  <si>
    <t>109-68-3339</t>
  </si>
  <si>
    <t>069-59-7535</t>
  </si>
  <si>
    <t>057-58-8097</t>
  </si>
  <si>
    <t>113-68-0850</t>
  </si>
  <si>
    <t>121-76-9077</t>
  </si>
  <si>
    <t>122-32-5819</t>
  </si>
  <si>
    <t>598-18-9934</t>
  </si>
  <si>
    <t>072-62-1732</t>
  </si>
  <si>
    <t>051-60-7216</t>
  </si>
  <si>
    <t>023-74-9359</t>
  </si>
  <si>
    <t>073-60-7144</t>
  </si>
  <si>
    <t>104-60-5948</t>
  </si>
  <si>
    <t>082-94-9028</t>
  </si>
  <si>
    <t>599-09-6781</t>
  </si>
  <si>
    <t>118-62-0428</t>
  </si>
  <si>
    <t>080-66-7587</t>
  </si>
  <si>
    <t>130-70-9013</t>
  </si>
  <si>
    <t>079-48-5620</t>
  </si>
  <si>
    <t>248-58-4210</t>
  </si>
  <si>
    <t>Unknown</t>
  </si>
  <si>
    <t>Rent Stabilized</t>
  </si>
  <si>
    <t>Unregulated – Other</t>
  </si>
  <si>
    <t>Rent Controlled</t>
  </si>
  <si>
    <t>Public Housing/NYCHA</t>
  </si>
  <si>
    <t>Low Income Tax Credit</t>
  </si>
  <si>
    <t>HDFC</t>
  </si>
  <si>
    <t>Project-based Sec. 8</t>
  </si>
  <si>
    <t>Unregulated</t>
  </si>
  <si>
    <t>Unregulated – Co-Op</t>
  </si>
  <si>
    <t>Other Subsidized Housing</t>
  </si>
  <si>
    <t>Mitchell-Lama</t>
  </si>
  <si>
    <t>Public Housing</t>
  </si>
  <si>
    <t>Supportive Housing</t>
  </si>
  <si>
    <t>10/19/2018</t>
  </si>
  <si>
    <t>06/24/2019</t>
  </si>
  <si>
    <t>11/16/2018</t>
  </si>
  <si>
    <t>Income Waiver</t>
  </si>
  <si>
    <t>CAT1: HRA Referral</t>
  </si>
  <si>
    <t>CAT2: Housing Court Referral</t>
  </si>
  <si>
    <t>Household with Minors with Eligible Benefit (Cash Assistance and/or SNAP)</t>
  </si>
  <si>
    <t>Childless Household</t>
  </si>
  <si>
    <t>Household with Minors with No Eligible Benefit</t>
  </si>
  <si>
    <t>FEPS</t>
  </si>
  <si>
    <t>Section 8</t>
  </si>
  <si>
    <t>City FEPS</t>
  </si>
  <si>
    <t>HASA</t>
  </si>
  <si>
    <t>DRIE/SCRIE</t>
  </si>
  <si>
    <t>SEPS</t>
  </si>
  <si>
    <t>HUD VASH</t>
  </si>
  <si>
    <t>LINC</t>
  </si>
  <si>
    <t>SOTA</t>
  </si>
  <si>
    <t>English</t>
  </si>
  <si>
    <t>Spanish</t>
  </si>
  <si>
    <t>French</t>
  </si>
  <si>
    <t>Bengali</t>
  </si>
  <si>
    <t>Creole</t>
  </si>
  <si>
    <t>French Creole</t>
  </si>
  <si>
    <t>Arabic</t>
  </si>
  <si>
    <t>Russian</t>
  </si>
  <si>
    <t>Vietnamese</t>
  </si>
  <si>
    <t>Mandarin</t>
  </si>
  <si>
    <t>Cantonese</t>
  </si>
  <si>
    <t>Chinese/Mandarin</t>
  </si>
  <si>
    <t>Chinese-Fuzhou</t>
  </si>
  <si>
    <t>Finnish</t>
  </si>
  <si>
    <t>Hindi</t>
  </si>
  <si>
    <t>Turkish</t>
  </si>
  <si>
    <t>Urdu</t>
  </si>
  <si>
    <t>Portuguese</t>
  </si>
  <si>
    <t>PA printout 12.17.18</t>
  </si>
  <si>
    <t>Printout 07/26/17(AC)</t>
  </si>
  <si>
    <t>DHCI</t>
  </si>
  <si>
    <t>need PA printout</t>
  </si>
  <si>
    <t>dhci</t>
  </si>
  <si>
    <t>does not apply</t>
  </si>
  <si>
    <t>no</t>
  </si>
  <si>
    <t>4/18 - need billing consent form signed; DHCI uploaded</t>
  </si>
  <si>
    <t>waiting to find out if Brief service or full rep (income waiver will be needed at that time)</t>
  </si>
  <si>
    <t>needs waiver if full rep</t>
  </si>
  <si>
    <t>4/23 - need call-back advice notes</t>
  </si>
  <si>
    <t>missing forms; mailed new ones on 9/16/19</t>
  </si>
  <si>
    <t>4/10 - need index # once HP is filed; if not filed, report under TRC as OOC Advocacy</t>
  </si>
  <si>
    <t>missing forms</t>
  </si>
  <si>
    <t>Missing Forms</t>
  </si>
  <si>
    <t>refused to sign billing consent</t>
  </si>
  <si>
    <t>4/10 - need consent uploaded + DHCI or active CA/SNAP # entered</t>
  </si>
  <si>
    <t>11.12 missing forms</t>
  </si>
  <si>
    <t>Need HRA consent and DHCI</t>
  </si>
  <si>
    <t>Advice call back assigned on 6.4.19.</t>
  </si>
  <si>
    <t>6.21.19: Advice call back assigned</t>
  </si>
  <si>
    <t>4/23 - need consent + DHCI or active CA/SNAP # entered</t>
  </si>
  <si>
    <t>income waiver requested on 11.22.2019</t>
  </si>
  <si>
    <t>HK - over-income. Anna to email me</t>
  </si>
  <si>
    <t>4/10 - need consent + DHCI or active CA/SNAP # entered</t>
  </si>
  <si>
    <t>5/10 - need consent uploaded; case status?</t>
  </si>
  <si>
    <t>needs waiver if full</t>
  </si>
  <si>
    <t>4/10 - need consent uploaded + DHCI or active CA/SNAP #</t>
  </si>
  <si>
    <t>4/10 - need consent + DHCI or active PA/SNAP # entered</t>
  </si>
  <si>
    <t>5/10 - index #, case type, forms?</t>
  </si>
  <si>
    <t>over 200%</t>
  </si>
  <si>
    <t>4/18 - case type &amp; status unclear from notes; need updated consent &amp; DHCI or PA#</t>
  </si>
  <si>
    <t>Advice call back assigned on 6.3.19.</t>
  </si>
  <si>
    <t>need advice notes</t>
  </si>
  <si>
    <t>advice call-back</t>
  </si>
  <si>
    <t>6.7.19: Advice call back assigned</t>
  </si>
  <si>
    <t>over income</t>
  </si>
  <si>
    <t>5.31.19: Advice call back assigned</t>
  </si>
  <si>
    <t>enter eligibility date once we get Appellate term index #</t>
  </si>
  <si>
    <t>if case is filed, report as HPLP; if not, report as TRC out-of-court advocacy</t>
  </si>
  <si>
    <t>4/18 - case type/status unclear</t>
  </si>
  <si>
    <t>missing advice notes</t>
  </si>
  <si>
    <t>income waiver needed BUT NO CONTACT fr/ clt - ZZ closing???</t>
  </si>
  <si>
    <t>UAC under 200% - clt is not TOR</t>
  </si>
  <si>
    <t>missing HRA and DHCI</t>
  </si>
  <si>
    <t>missing date of birth in DHCI for family member</t>
  </si>
  <si>
    <t>4/10 - need index # once HP is filed; if not filed, report under TRC</t>
  </si>
  <si>
    <t>4/10-need index # to bill HPLP; if HP not filed, bill under TRC as OOC advocacy</t>
  </si>
  <si>
    <t>4/10-appearing as FOC in Article 81 proceeding. Not sure whether/how we can count?</t>
  </si>
  <si>
    <t>income waiver requested  on 11.22.2019</t>
  </si>
  <si>
    <t>4/10-need DHCR docket # once one is issued</t>
  </si>
  <si>
    <t>Changed to HPLP b/c this is a NYCHA reasonable accommodation case</t>
  </si>
  <si>
    <t>income waiver requested  on 11.22.2019 BUT is it a FULL REP CASE???</t>
  </si>
  <si>
    <t>HRA Not signed by client</t>
  </si>
  <si>
    <t>family member YOB missing in DHCI</t>
  </si>
  <si>
    <t>Advice call  back assigned on 6.5.19.</t>
  </si>
  <si>
    <t>Waiver if full</t>
  </si>
  <si>
    <t>5/10 - need advice notes</t>
  </si>
  <si>
    <t>5/10 - case type &amp; status? need consent &amp; DHCI or CA/SNAP</t>
  </si>
  <si>
    <t>5/13 - need billing consent uploaded + signed DHCI or active CA/SNAP # entered</t>
  </si>
  <si>
    <t>Missing forms</t>
  </si>
  <si>
    <t>case came in thu NYCHA Admin although there is no admin proceeding - we use UAC</t>
  </si>
  <si>
    <t>Missing PA or DHCI</t>
  </si>
  <si>
    <t>&gt;200% advice only advice gicen in FY19 can't report</t>
  </si>
  <si>
    <t>&gt;200%, court referral advice Advice given during FY19 can't report</t>
  </si>
  <si>
    <t>4/10 - case on hold</t>
  </si>
  <si>
    <t>need waiver if full rep &gt;200%</t>
  </si>
  <si>
    <t>Missing DHCI &amp; HRA forms</t>
  </si>
  <si>
    <t>Old release does not include HRA</t>
  </si>
  <si>
    <t>Then, Laura</t>
  </si>
  <si>
    <t>Mendez-Acosta, Maria</t>
  </si>
  <si>
    <t>Encarnacion-Badru, Bea</t>
  </si>
  <si>
    <t>Dong, Sean</t>
  </si>
  <si>
    <t>Reyes, Erica</t>
  </si>
  <si>
    <t>Acevedo, Tiffany</t>
  </si>
  <si>
    <t>Guzman, Michael</t>
  </si>
  <si>
    <t>Castellanos, Rachel</t>
  </si>
  <si>
    <t>Diaz, Sharon</t>
  </si>
  <si>
    <t>Prado, Steven</t>
  </si>
  <si>
    <t>Medina, Marta</t>
  </si>
  <si>
    <t>Amponsah, Oheneba</t>
  </si>
  <si>
    <t>Castillo, Angel</t>
  </si>
  <si>
    <t>Guadalupe, Marilyn</t>
  </si>
  <si>
    <t>Guzman Velazquez, Leida</t>
  </si>
  <si>
    <t>Lebro-Lopez, Wanda</t>
  </si>
  <si>
    <t>Salcedo, Luciris</t>
  </si>
  <si>
    <t>Kassiano, Andrea</t>
  </si>
  <si>
    <t>Baldova, Maria</t>
  </si>
  <si>
    <t>Djourab, Atteib</t>
  </si>
  <si>
    <t>Bateman, Steven</t>
  </si>
  <si>
    <t>Pierre, Haenley</t>
  </si>
  <si>
    <t>Escobar, Sarah</t>
  </si>
  <si>
    <t>Oquendo, Joann</t>
  </si>
  <si>
    <t>Lane, Diane</t>
  </si>
  <si>
    <t>Wilson-Wieland, Cherille</t>
  </si>
  <si>
    <t>Groener, Aitan</t>
  </si>
  <si>
    <t>Moss, Julieta</t>
  </si>
  <si>
    <t>Frias De Sosa, Yajaira</t>
  </si>
  <si>
    <t>Perez-Pedemonti, Martha</t>
  </si>
  <si>
    <t>Castillo, Evette</t>
  </si>
  <si>
    <t>Namuche, Raquel</t>
  </si>
  <si>
    <t>Shearer, Diane</t>
  </si>
  <si>
    <t>Morales-Robinson, Ana</t>
  </si>
  <si>
    <t>Deolarte, Stephanie</t>
  </si>
  <si>
    <t>Preiss, Isaac</t>
  </si>
  <si>
    <t>Villalobos, Tanya</t>
  </si>
  <si>
    <t>Singh, Ermela</t>
  </si>
  <si>
    <t>Calderon, Milta</t>
  </si>
  <si>
    <t>Sanabria, Myrna</t>
  </si>
  <si>
    <t>Armentrout, Lynn</t>
  </si>
  <si>
    <t>Yeasmin, Sarzah</t>
  </si>
  <si>
    <t>Hansen-Eder, Arlene</t>
  </si>
  <si>
    <t>Velasquez, Diana</t>
  </si>
  <si>
    <t>Benitez, Vicenta</t>
  </si>
  <si>
    <t>McDonald, Susan</t>
  </si>
  <si>
    <t>Garcia, Alexandra</t>
  </si>
  <si>
    <t>Acosta, Rosa</t>
  </si>
  <si>
    <t>Sanchez, Dennis</t>
  </si>
  <si>
    <t>Garcia, Diana</t>
  </si>
  <si>
    <t>Vergeli, Evelyn</t>
  </si>
  <si>
    <t>Guerra, Yolanda</t>
  </si>
  <si>
    <t>Hernandez, Jonathan</t>
  </si>
  <si>
    <t>Garcia, Delci</t>
  </si>
  <si>
    <t>Weaver, Cynthia</t>
  </si>
  <si>
    <t>Boyd, Sandhya</t>
  </si>
  <si>
    <t>Pujols, Isabel</t>
  </si>
  <si>
    <t>Chan, Vincce</t>
  </si>
  <si>
    <t>Rodriguez, Ana</t>
  </si>
  <si>
    <t>DeStefano, Jessica</t>
  </si>
  <si>
    <t>Lee, Thomas</t>
  </si>
  <si>
    <t>Villanueva, Anthony</t>
  </si>
  <si>
    <t>Lam, Kevin</t>
  </si>
  <si>
    <t>Kook, Heejung</t>
  </si>
  <si>
    <t>Ortega, Luis</t>
  </si>
  <si>
    <t>Martinez, Renee</t>
  </si>
  <si>
    <t>Nadeau-Rifkind, Al</t>
  </si>
  <si>
    <t>Sampert, Monica</t>
  </si>
  <si>
    <t>Fuentes, Maria</t>
  </si>
  <si>
    <t>Torres, Elizabeth</t>
  </si>
  <si>
    <t>Gurung, Rina</t>
  </si>
  <si>
    <t>Smith, Jeanne</t>
  </si>
  <si>
    <t>Bauer, Kai</t>
  </si>
  <si>
    <t>Hoffman, Julienne</t>
  </si>
  <si>
    <t>Filed for an Emergency Order to Show Cause</t>
  </si>
  <si>
    <t>Counsel Assisted in Filing or Refiling of Answer</t>
  </si>
  <si>
    <t>Counsel Assisted in Filing or Refiling of Answer, Filed/Argued/Supplemented Dispositive or other Substantive Motion</t>
  </si>
  <si>
    <t>Filed/Argued/Supplemented Dispositive or other Substantive Motion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</si>
  <si>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</si>
  <si>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</si>
  <si>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Case Resolved without Judgment of Eviction Against Client, Obtain Ongoing Rent Subsidy</t>
  </si>
  <si>
    <t>Case Discontinued/Dismissed/Landlord Fails to Prosecute</t>
  </si>
  <si>
    <t>Case Discontinued/Dismissed/Landlord Fails to Prosecute, Other, Restored Access to Personal Property</t>
  </si>
  <si>
    <t>Case Discontinued/Dismissed/Landlord Fails to Prosecute, Case Resolved without Judgment of Eviction Against Client, Obtained Renewal of Lease, Other, Secured Order or Agreement for Repairs in Apartment/Building</t>
  </si>
  <si>
    <t>Case Discontinued/Dismissed/Landlord Fails to Prosecute, Case Resolved without Judgment of Eviction Against Client, Obtain Ongoing Rent Subsidy, Other</t>
  </si>
  <si>
    <t>Obtained Renewal of Lease, Other, Returned Unit to Rent Regulation</t>
  </si>
  <si>
    <t>Case Discontinued/Dismissed/Landlord Fails to Prosecute, Obtained Succession Rights to Residence</t>
  </si>
  <si>
    <t>Other, Restored Access to Personal Property</t>
  </si>
  <si>
    <t>Employment, Food Stamps (SNAP)</t>
  </si>
  <si>
    <t>Employment, Social Security</t>
  </si>
  <si>
    <t>Social Security Disability</t>
  </si>
  <si>
    <t>Employment, Food Stamps (SNAP), SSI</t>
  </si>
  <si>
    <t>Employment</t>
  </si>
  <si>
    <t>Welfare</t>
  </si>
  <si>
    <t>No Income</t>
  </si>
  <si>
    <t>Employment, Other</t>
  </si>
  <si>
    <t>Child Support, Employment, Food Stamps (SNAP), Welfare, Welfare - Fam. Assis.</t>
  </si>
  <si>
    <t>SSI</t>
  </si>
  <si>
    <t>Food Stamps (SNAP), Welfare</t>
  </si>
  <si>
    <t>SN/HASA</t>
  </si>
  <si>
    <t>Unemployment Compensation</t>
  </si>
  <si>
    <t>Food Stamps (SNAP)</t>
  </si>
  <si>
    <t>Social Security</t>
  </si>
  <si>
    <t>SSI, Welfare</t>
  </si>
  <si>
    <t>Child Support, Employment, Food Stamps (SNAP)</t>
  </si>
  <si>
    <t>Employment (Self-Employed), Pension/Retirement (Not Soc. Sec.), SSI</t>
  </si>
  <si>
    <t>Food Stamps (SNAP), Social Security Disability</t>
  </si>
  <si>
    <t>Food Stamps (SNAP), Social Security Retirement</t>
  </si>
  <si>
    <t>Food Stamps (SNAP), SSI, Welfare - Fam. Assis.</t>
  </si>
  <si>
    <t>Both SSI and SSD, Employment</t>
  </si>
  <si>
    <t>Employment, Food Stamps (SNAP), Welfare</t>
  </si>
  <si>
    <t>Disability</t>
  </si>
  <si>
    <t>Food Stamps (SNAP), Social Security, SSI</t>
  </si>
  <si>
    <t>Food Stamps (SNAP), Other</t>
  </si>
  <si>
    <t>Food Stamps (SNAP), SSI</t>
  </si>
  <si>
    <t>Employment, Food Stamps (SNAP), TANF</t>
  </si>
  <si>
    <t>Pension/Retirement (Not Soc. Sec.)</t>
  </si>
  <si>
    <t>Employment, Unemployment Compensation</t>
  </si>
  <si>
    <t>Employment (Self-Employed)</t>
  </si>
  <si>
    <t>Employment, Food Stamps (SNAP), Other, SSI</t>
  </si>
  <si>
    <t>Disability, Food Stamps (SNAP)</t>
  </si>
  <si>
    <t>Child Support, Food Stamps (SNAP), Other</t>
  </si>
  <si>
    <t>TANF</t>
  </si>
  <si>
    <t>Social Security, Welfare</t>
  </si>
  <si>
    <t>Employment, Pension/Retirement (Not Soc. Sec.)</t>
  </si>
  <si>
    <t>Employment, Pension/Retirement (Not Soc. Sec.), Social Security Disability</t>
  </si>
  <si>
    <t>Food Stamps (SNAP), Social Security</t>
  </si>
  <si>
    <t>Veterans Benefits</t>
  </si>
  <si>
    <t>Child Support, Food Stamps (SNAP), SSI, Welfare</t>
  </si>
  <si>
    <t>Social Security, SSI</t>
  </si>
  <si>
    <t>Employment, SSI</t>
  </si>
  <si>
    <t>Both SSI and SSD</t>
  </si>
  <si>
    <t>Child Support, Employment</t>
  </si>
  <si>
    <t>Income Not Provided</t>
  </si>
  <si>
    <t>Pension/Retirement (Not Soc. Sec.), Social Security Disability, SSI</t>
  </si>
  <si>
    <t>Unemployment Compensation, Welfare</t>
  </si>
  <si>
    <t>Child Support</t>
  </si>
  <si>
    <t>Food Stamps (SNAP), SSI, Welfare</t>
  </si>
  <si>
    <t>Employment, Welfare</t>
  </si>
  <si>
    <t>Employment, Social Security Disability</t>
  </si>
  <si>
    <t>Employment, Employment (Self-Employed)</t>
  </si>
  <si>
    <t>Food Stamps (SNAP), TANF</t>
  </si>
  <si>
    <t>Other, Social Security</t>
  </si>
  <si>
    <t>Social Security, Unemployment Compensation, Worker's Compensation</t>
  </si>
  <si>
    <t>Food Stamps (SNAP), Worker's Compensation</t>
  </si>
  <si>
    <t>General Assistance, SSI</t>
  </si>
  <si>
    <t>Child Support, Social Security Disability</t>
  </si>
  <si>
    <t>Worker's Compensation</t>
  </si>
  <si>
    <t>Employment (Self-Employed), Food Stamps (SNAP)</t>
  </si>
  <si>
    <t>SSI, Unemployment Compensation</t>
  </si>
  <si>
    <t>Food Stamps (SNAP), Veterans Benefits</t>
  </si>
  <si>
    <t>Social Security, Unemployment Compensation</t>
  </si>
  <si>
    <t>Social Security Disability, SSI</t>
  </si>
  <si>
    <t>Food Stamps (SNAP), Welfare - Fam. Assis.</t>
  </si>
  <si>
    <t>Social Security Retirement</t>
  </si>
  <si>
    <t>Food Stamps (SNAP), Medicaid (MA), SSI</t>
  </si>
  <si>
    <t>Other, Social Security Disability</t>
  </si>
  <si>
    <t>Food Stamps (SNAP), SN/HASA</t>
  </si>
  <si>
    <t>Employment, Social Security Disability, Welfare</t>
  </si>
  <si>
    <t>Employment, Food Stamps (SNAP), Medicaid (MA)</t>
  </si>
  <si>
    <t>Food Stamps (SNAP), Medicaid (MA), SSI, Welfare</t>
  </si>
  <si>
    <t>Food Stamps (SNAP), Social Security Retirement, SSI</t>
  </si>
  <si>
    <t>Both SSI and SSD, Food Stamps (SNAP)</t>
  </si>
  <si>
    <t>Disability, Pension/Retirement (Not Soc. Sec.), Social Security</t>
  </si>
  <si>
    <t>Food Stamps (SNAP), Medicaid (MA), Unemployment Compensation</t>
  </si>
  <si>
    <t>Employment, Food Stamps (SNAP), SN/HASA</t>
  </si>
  <si>
    <t>Food Stamps (SNAP), Other, SSI</t>
  </si>
  <si>
    <t>Food Stamps (SNAP), Other, Social Security Disability</t>
  </si>
  <si>
    <t>Pension/Retirement (Not Soc. Sec.), Social Security</t>
  </si>
  <si>
    <t>Child Support, Food Stamps (SNAP), Welfare</t>
  </si>
  <si>
    <t>Employment, Social Security Retirement</t>
  </si>
  <si>
    <t>Employment, Employment (Self-Employed), Food Stamps (SNAP)</t>
  </si>
  <si>
    <t>Disability, Food Stamps (SNAP), Welfare</t>
  </si>
  <si>
    <t>Food Stamps (SNAP), General Assistance</t>
  </si>
  <si>
    <t>Social Security Retirement, SSI</t>
  </si>
  <si>
    <t>General Assistance</t>
  </si>
  <si>
    <t>Child Support, Food Stamps (SNAP)</t>
  </si>
  <si>
    <t>Social Security, Social Security Retirement</t>
  </si>
  <si>
    <t>Employment, Social Security, SSI</t>
  </si>
  <si>
    <t>Welfare - Fam. Assis.</t>
  </si>
  <si>
    <t>Employment, Food Stamps (SNAP), Social Security</t>
  </si>
  <si>
    <t>Other or Unknown, social security, Welfare - Fam. Assis.</t>
  </si>
  <si>
    <t>Employment, Food Stamps (SNAP), Social Security Disability</t>
  </si>
  <si>
    <t>Food Stamps (SNAP), Social Security Disability, SSI</t>
  </si>
  <si>
    <t>Employment (Self-Employed), Other</t>
  </si>
  <si>
    <t>Food Stamps (SNAP), General Assistance, SSI</t>
  </si>
  <si>
    <t>Rental Income</t>
  </si>
  <si>
    <t>Other, Social Security Retirement</t>
  </si>
  <si>
    <t>Employment, General Assistance</t>
  </si>
  <si>
    <t>Disability, Employment, Food Stamps (SNAP)</t>
  </si>
  <si>
    <t>SSI, Welfare - Fam. Assis.</t>
  </si>
  <si>
    <t>Other, SSI</t>
  </si>
  <si>
    <t>Social Security, Social Security Disability</t>
  </si>
  <si>
    <t>Disability, Social Security</t>
  </si>
  <si>
    <t>Child Support, SSI</t>
  </si>
  <si>
    <t>Food Stamps (SNAP), Pension/Retirement (Not Soc. Sec.), Social Security Retirement</t>
  </si>
  <si>
    <t>Social Security Disability, Worker's Compensation</t>
  </si>
  <si>
    <t>Employment (Self-Employed), Food Stamps (SNAP), SSI</t>
  </si>
  <si>
    <t>Employment, Pension/Retirement (Not Soc. Sec.), Social Security Retirement</t>
  </si>
  <si>
    <t>Pension/Retirement (Not Soc. Sec.), Social Security Retirement, Worker's Compensation</t>
  </si>
  <si>
    <t>Disability, Other, Welfare</t>
  </si>
  <si>
    <t>Food Stamps (SNAP), Pension/Retirement (Not Soc. Sec.)</t>
  </si>
  <si>
    <t>Employment, Social Security, Unemployment Compensation</t>
  </si>
  <si>
    <t>Food Stamps (SNAP), Unemployment Compensation, Welfare</t>
  </si>
  <si>
    <t>Child Support, Food Stamps (SNAP), Social Security Disability</t>
  </si>
  <si>
    <t>Employment, Worker's Compensation</t>
  </si>
  <si>
    <t>Other, Pension/Retirement (Not Soc. Sec.)</t>
  </si>
  <si>
    <t>Food Stamps (SNAP), Rental Income, SSI</t>
  </si>
  <si>
    <t>Employment, Social Security, Social Security Retirement</t>
  </si>
  <si>
    <t>Food Stamps (SNAP), Social Security, Social Security Retirement</t>
  </si>
  <si>
    <t>Food Stamps (SNAP), Unemployment Compensation</t>
  </si>
  <si>
    <t>Food Stamps (SNAP), Rental Income, Welfare</t>
  </si>
  <si>
    <t>Workers Compensation</t>
  </si>
  <si>
    <t>Employment, Income Not Provided</t>
  </si>
  <si>
    <t>Child Support, Welfare</t>
  </si>
  <si>
    <t>Employment, Social Security Disability, Social Security Retirement</t>
  </si>
  <si>
    <t>Food Stamps (SNAP), Social Security Disability, Welfare</t>
  </si>
  <si>
    <t>Client Allowed to Remain in Residence</t>
  </si>
  <si>
    <t>Attorney Withdrew</t>
  </si>
  <si>
    <t>Client Required to be Displaced from Residence</t>
  </si>
  <si>
    <t>2019-11-18</t>
  </si>
  <si>
    <t>2019-08-22</t>
  </si>
  <si>
    <t>2019-05-10</t>
  </si>
  <si>
    <t>2019-07-19</t>
  </si>
  <si>
    <t>2019-08-29</t>
  </si>
  <si>
    <t>2019-10-21</t>
  </si>
  <si>
    <t>2019-10-04</t>
  </si>
  <si>
    <t>2019-10-25</t>
  </si>
  <si>
    <t>2019-09-16</t>
  </si>
  <si>
    <t>2019-04-04</t>
  </si>
  <si>
    <t>2019-02-28</t>
  </si>
  <si>
    <t>2019-07-11</t>
  </si>
  <si>
    <t>2019-10-31</t>
  </si>
  <si>
    <t>2019-06-20</t>
  </si>
  <si>
    <t>2019-07-31</t>
  </si>
  <si>
    <t>2019-04-12</t>
  </si>
  <si>
    <t>2019-03-06</t>
  </si>
  <si>
    <t>2019-05-29</t>
  </si>
  <si>
    <t>2018-10-30</t>
  </si>
  <si>
    <t>2019-08-05</t>
  </si>
  <si>
    <t>2019-06-26</t>
  </si>
  <si>
    <t>2018-03-27</t>
  </si>
  <si>
    <t>2017-10-18</t>
  </si>
  <si>
    <t>2018-08-13</t>
  </si>
  <si>
    <t>2017-09-13</t>
  </si>
  <si>
    <t>2015-12-24</t>
  </si>
  <si>
    <t>2019-05-20</t>
  </si>
  <si>
    <t>12/01/2019</t>
  </si>
  <si>
    <t>04/23/2019</t>
  </si>
  <si>
    <t>06/11/2019</t>
  </si>
  <si>
    <t>07/24/2019</t>
  </si>
  <si>
    <t>06/14/2019</t>
  </si>
  <si>
    <t>07/23/2019</t>
  </si>
  <si>
    <t>03/26/2019</t>
  </si>
  <si>
    <t>04/22/2019</t>
  </si>
  <si>
    <t>07/12/2019</t>
  </si>
  <si>
    <t>05/09/2019</t>
  </si>
  <si>
    <t>05/05/2019</t>
  </si>
  <si>
    <t>01/23/2019</t>
  </si>
  <si>
    <t>11/24/2019</t>
  </si>
  <si>
    <t>02/02/2018</t>
  </si>
  <si>
    <t>12/31/2018</t>
  </si>
  <si>
    <t>03/18/2019</t>
  </si>
  <si>
    <t>11/17/2019</t>
  </si>
  <si>
    <t>06/08/2018</t>
  </si>
  <si>
    <t>04/05/2018</t>
  </si>
  <si>
    <t>02/27/2017</t>
  </si>
  <si>
    <t>04/09/2018</t>
  </si>
  <si>
    <t>10/18/2018</t>
  </si>
  <si>
    <t>04/09/2019</t>
  </si>
  <si>
    <t>08/30/2018</t>
  </si>
  <si>
    <t>10/26/2018</t>
  </si>
  <si>
    <t>05/25/2018</t>
  </si>
  <si>
    <t>07/26/2018</t>
  </si>
  <si>
    <t>06/12/2018</t>
  </si>
  <si>
    <t>08/03/2018</t>
  </si>
  <si>
    <t>08/16/2018</t>
  </si>
  <si>
    <t>08/02/2018</t>
  </si>
  <si>
    <t>05/02/2016</t>
  </si>
  <si>
    <t>03/21/2019</t>
  </si>
  <si>
    <t>02/04/2019</t>
  </si>
  <si>
    <t>01/19/2018</t>
  </si>
  <si>
    <t>07/10/2019</t>
  </si>
  <si>
    <t>07/29/2016</t>
  </si>
  <si>
    <t>09/27/2018</t>
  </si>
  <si>
    <t>08/04/2019</t>
  </si>
  <si>
    <t>03/27/2018</t>
  </si>
  <si>
    <t>02/28/2018</t>
  </si>
  <si>
    <t>07/28/2017</t>
  </si>
  <si>
    <t>02/05/2019</t>
  </si>
  <si>
    <t>04/11/2019</t>
  </si>
  <si>
    <t>06/14/2018</t>
  </si>
  <si>
    <t>08/18/2016</t>
  </si>
  <si>
    <t>12/07/2015</t>
  </si>
  <si>
    <t>01/13/2019</t>
  </si>
  <si>
    <t>06/03/2016</t>
  </si>
  <si>
    <t>10/04/2017</t>
  </si>
  <si>
    <t>12/14/2018</t>
  </si>
  <si>
    <t>10/06/2019</t>
  </si>
  <si>
    <t>06/06/2017</t>
  </si>
  <si>
    <t>07/27/2017</t>
  </si>
  <si>
    <t>03/26/2015</t>
  </si>
  <si>
    <t>10/06/2015</t>
  </si>
  <si>
    <t>01/08/2018</t>
  </si>
  <si>
    <t>03/21/2018</t>
  </si>
  <si>
    <t>11/24/2015</t>
  </si>
  <si>
    <t>01/16/2018</t>
  </si>
  <si>
    <t>04/06/2018</t>
  </si>
  <si>
    <t>05/17/2017</t>
  </si>
  <si>
    <t>11/13/2018</t>
  </si>
  <si>
    <t>02/21/2018</t>
  </si>
  <si>
    <t>10/05/2016</t>
  </si>
  <si>
    <t>02/15/2018</t>
  </si>
  <si>
    <t>01/17/2018</t>
  </si>
  <si>
    <t>09/28/2018</t>
  </si>
  <si>
    <t>03/15/2018</t>
  </si>
  <si>
    <t>08/28/2018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</si>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</sst>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006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HYPERLINK("https://lsnyc.legalserver.org/matter/dynamic-profile/view/1912033","19-1912033")</f>
        <v>0</v>
      </c>
      <c r="B2" t="s">
        <v>57</v>
      </c>
      <c r="C2" t="s">
        <v>62</v>
      </c>
      <c r="D2" t="s">
        <v>214</v>
      </c>
      <c r="E2" t="s">
        <v>216</v>
      </c>
      <c r="G2" t="s">
        <v>582</v>
      </c>
      <c r="H2" t="s">
        <v>1324</v>
      </c>
      <c r="J2" t="s">
        <v>2056</v>
      </c>
      <c r="K2" t="s">
        <v>2992</v>
      </c>
      <c r="L2" t="s">
        <v>3329</v>
      </c>
      <c r="M2" t="s">
        <v>3379</v>
      </c>
      <c r="N2">
        <v>10468</v>
      </c>
      <c r="O2" t="s">
        <v>3380</v>
      </c>
      <c r="P2" t="s">
        <v>3381</v>
      </c>
      <c r="Q2" t="s">
        <v>3383</v>
      </c>
      <c r="R2" t="s">
        <v>3401</v>
      </c>
      <c r="S2">
        <v>7</v>
      </c>
      <c r="T2" t="s">
        <v>4196</v>
      </c>
      <c r="W2" t="s">
        <v>4238</v>
      </c>
      <c r="X2" t="s">
        <v>3382</v>
      </c>
      <c r="Y2" t="s">
        <v>3382</v>
      </c>
      <c r="AA2" t="s">
        <v>4256</v>
      </c>
      <c r="AC2">
        <v>0</v>
      </c>
      <c r="AD2">
        <v>1500</v>
      </c>
      <c r="AE2">
        <v>1.52</v>
      </c>
      <c r="AG2" t="s">
        <v>4280</v>
      </c>
      <c r="AJ2">
        <v>59</v>
      </c>
      <c r="AK2" t="s">
        <v>6266</v>
      </c>
      <c r="AL2">
        <v>1</v>
      </c>
      <c r="AM2">
        <v>2</v>
      </c>
      <c r="AN2">
        <v>27.3</v>
      </c>
      <c r="AR2" t="s">
        <v>6289</v>
      </c>
      <c r="AS2" t="s">
        <v>6298</v>
      </c>
      <c r="AT2">
        <v>5824</v>
      </c>
      <c r="AX2" t="s">
        <v>6385</v>
      </c>
      <c r="BA2" t="s">
        <v>6473</v>
      </c>
      <c r="BD2" t="s">
        <v>267</v>
      </c>
      <c r="BE2" t="s">
        <v>6702</v>
      </c>
    </row>
    <row r="3" spans="1:57">
      <c r="A3" s="1">
        <f>HYPERLINK("https://lsnyc.legalserver.org/matter/dynamic-profile/view/1915332","19-1915332")</f>
        <v>0</v>
      </c>
      <c r="B3" t="s">
        <v>57</v>
      </c>
      <c r="C3" t="s">
        <v>62</v>
      </c>
      <c r="D3" t="s">
        <v>214</v>
      </c>
      <c r="E3" t="s">
        <v>217</v>
      </c>
      <c r="G3" t="s">
        <v>583</v>
      </c>
      <c r="H3" t="s">
        <v>1325</v>
      </c>
      <c r="J3" t="s">
        <v>2057</v>
      </c>
      <c r="K3" t="s">
        <v>2993</v>
      </c>
      <c r="L3" t="s">
        <v>3329</v>
      </c>
      <c r="M3" t="s">
        <v>3379</v>
      </c>
      <c r="N3">
        <v>10468</v>
      </c>
      <c r="O3" t="s">
        <v>3380</v>
      </c>
      <c r="P3" t="s">
        <v>3381</v>
      </c>
      <c r="Q3" t="s">
        <v>3383</v>
      </c>
      <c r="R3" t="s">
        <v>3402</v>
      </c>
      <c r="S3">
        <v>25</v>
      </c>
      <c r="T3" t="s">
        <v>4196</v>
      </c>
      <c r="W3" t="s">
        <v>4238</v>
      </c>
      <c r="X3" t="s">
        <v>3382</v>
      </c>
      <c r="Y3" t="s">
        <v>3382</v>
      </c>
      <c r="AA3" t="s">
        <v>4256</v>
      </c>
      <c r="AC3">
        <v>0</v>
      </c>
      <c r="AD3">
        <v>1322.3</v>
      </c>
      <c r="AE3">
        <v>0.8</v>
      </c>
      <c r="AG3" t="s">
        <v>4281</v>
      </c>
      <c r="AI3" t="s">
        <v>5377</v>
      </c>
      <c r="AJ3">
        <v>80</v>
      </c>
      <c r="AK3" t="s">
        <v>6267</v>
      </c>
      <c r="AL3">
        <v>3</v>
      </c>
      <c r="AM3">
        <v>1</v>
      </c>
      <c r="AN3">
        <v>151.19</v>
      </c>
      <c r="AR3" t="s">
        <v>5312</v>
      </c>
      <c r="AS3" t="s">
        <v>6298</v>
      </c>
      <c r="AT3">
        <v>38932</v>
      </c>
      <c r="AX3" t="s">
        <v>6385</v>
      </c>
      <c r="BA3" t="s">
        <v>6474</v>
      </c>
      <c r="BD3" t="s">
        <v>218</v>
      </c>
      <c r="BE3" t="s">
        <v>6702</v>
      </c>
    </row>
    <row r="4" spans="1:57">
      <c r="A4" s="1">
        <f>HYPERLINK("https://lsnyc.legalserver.org/matter/dynamic-profile/view/1915346","19-1915346")</f>
        <v>0</v>
      </c>
      <c r="B4" t="s">
        <v>57</v>
      </c>
      <c r="C4" t="s">
        <v>62</v>
      </c>
      <c r="D4" t="s">
        <v>214</v>
      </c>
      <c r="E4" t="s">
        <v>218</v>
      </c>
      <c r="G4" t="s">
        <v>584</v>
      </c>
      <c r="H4" t="s">
        <v>1326</v>
      </c>
      <c r="J4" t="s">
        <v>2058</v>
      </c>
      <c r="K4" t="s">
        <v>2994</v>
      </c>
      <c r="L4" t="s">
        <v>3329</v>
      </c>
      <c r="M4" t="s">
        <v>3379</v>
      </c>
      <c r="N4">
        <v>10467</v>
      </c>
      <c r="O4" t="s">
        <v>3381</v>
      </c>
      <c r="P4" t="s">
        <v>3381</v>
      </c>
      <c r="Q4" t="s">
        <v>3384</v>
      </c>
      <c r="R4" t="s">
        <v>3403</v>
      </c>
      <c r="S4">
        <v>0</v>
      </c>
      <c r="T4" t="s">
        <v>4196</v>
      </c>
      <c r="U4" t="s">
        <v>4223</v>
      </c>
      <c r="W4" t="s">
        <v>4239</v>
      </c>
      <c r="X4" t="s">
        <v>3382</v>
      </c>
      <c r="AA4" t="s">
        <v>4256</v>
      </c>
      <c r="AC4">
        <v>0</v>
      </c>
      <c r="AD4">
        <v>862.83</v>
      </c>
      <c r="AE4">
        <v>0.8</v>
      </c>
      <c r="AG4" t="s">
        <v>4282</v>
      </c>
      <c r="AI4" t="s">
        <v>5378</v>
      </c>
      <c r="AJ4">
        <v>0</v>
      </c>
      <c r="AL4">
        <v>1</v>
      </c>
      <c r="AM4">
        <v>0</v>
      </c>
      <c r="AN4">
        <v>76.56999999999999</v>
      </c>
      <c r="AS4" t="s">
        <v>6298</v>
      </c>
      <c r="AT4">
        <v>9564</v>
      </c>
      <c r="AX4" t="s">
        <v>6386</v>
      </c>
      <c r="BA4" t="s">
        <v>6475</v>
      </c>
      <c r="BD4" t="s">
        <v>218</v>
      </c>
    </row>
    <row r="5" spans="1:57">
      <c r="A5" s="1">
        <f>HYPERLINK("https://lsnyc.legalserver.org/matter/dynamic-profile/view/1914042","19-1914042")</f>
        <v>0</v>
      </c>
      <c r="B5" t="s">
        <v>57</v>
      </c>
      <c r="C5" t="s">
        <v>62</v>
      </c>
      <c r="D5" t="s">
        <v>214</v>
      </c>
      <c r="E5" t="s">
        <v>219</v>
      </c>
      <c r="G5" t="s">
        <v>585</v>
      </c>
      <c r="H5" t="s">
        <v>1327</v>
      </c>
      <c r="J5" t="s">
        <v>2059</v>
      </c>
      <c r="K5" t="s">
        <v>2995</v>
      </c>
      <c r="L5" t="s">
        <v>3329</v>
      </c>
      <c r="M5" t="s">
        <v>3379</v>
      </c>
      <c r="N5">
        <v>10462</v>
      </c>
      <c r="O5" t="s">
        <v>3380</v>
      </c>
      <c r="P5" t="s">
        <v>3381</v>
      </c>
      <c r="Q5" t="s">
        <v>3383</v>
      </c>
      <c r="R5" t="s">
        <v>3404</v>
      </c>
      <c r="S5">
        <v>14</v>
      </c>
      <c r="T5" t="s">
        <v>4197</v>
      </c>
      <c r="U5" t="s">
        <v>4223</v>
      </c>
      <c r="W5" t="s">
        <v>4238</v>
      </c>
      <c r="X5" t="s">
        <v>3382</v>
      </c>
      <c r="Y5" t="s">
        <v>3382</v>
      </c>
      <c r="AA5" t="s">
        <v>4256</v>
      </c>
      <c r="AC5">
        <v>0</v>
      </c>
      <c r="AD5">
        <v>1450</v>
      </c>
      <c r="AE5">
        <v>9.6</v>
      </c>
      <c r="AG5" t="s">
        <v>4283</v>
      </c>
      <c r="AH5" t="s">
        <v>5233</v>
      </c>
      <c r="AI5" t="s">
        <v>5379</v>
      </c>
      <c r="AJ5">
        <v>2659</v>
      </c>
      <c r="AK5" t="s">
        <v>6266</v>
      </c>
      <c r="AL5">
        <v>2</v>
      </c>
      <c r="AM5">
        <v>1</v>
      </c>
      <c r="AN5">
        <v>114.21</v>
      </c>
      <c r="AR5" t="s">
        <v>5312</v>
      </c>
      <c r="AS5" t="s">
        <v>6298</v>
      </c>
      <c r="AT5">
        <v>24360</v>
      </c>
      <c r="AX5" t="s">
        <v>6385</v>
      </c>
      <c r="BA5" t="s">
        <v>6476</v>
      </c>
      <c r="BD5" t="s">
        <v>231</v>
      </c>
      <c r="BE5" t="s">
        <v>6702</v>
      </c>
    </row>
    <row r="6" spans="1:57">
      <c r="A6" s="1">
        <f>HYPERLINK("https://lsnyc.legalserver.org/matter/dynamic-profile/view/1914060","19-1914060")</f>
        <v>0</v>
      </c>
      <c r="B6" t="s">
        <v>57</v>
      </c>
      <c r="C6" t="s">
        <v>62</v>
      </c>
      <c r="D6" t="s">
        <v>214</v>
      </c>
      <c r="E6" t="s">
        <v>219</v>
      </c>
      <c r="G6" t="s">
        <v>583</v>
      </c>
      <c r="H6" t="s">
        <v>1328</v>
      </c>
      <c r="J6" t="s">
        <v>2060</v>
      </c>
      <c r="K6">
        <v>543</v>
      </c>
      <c r="L6" t="s">
        <v>3329</v>
      </c>
      <c r="M6" t="s">
        <v>3379</v>
      </c>
      <c r="N6">
        <v>10462</v>
      </c>
      <c r="O6" t="s">
        <v>3380</v>
      </c>
      <c r="P6" t="s">
        <v>3381</v>
      </c>
      <c r="Q6" t="s">
        <v>3383</v>
      </c>
      <c r="R6" t="s">
        <v>3405</v>
      </c>
      <c r="S6">
        <v>6</v>
      </c>
      <c r="T6" t="s">
        <v>4196</v>
      </c>
      <c r="U6" t="s">
        <v>4223</v>
      </c>
      <c r="W6" t="s">
        <v>4238</v>
      </c>
      <c r="X6" t="s">
        <v>3382</v>
      </c>
      <c r="Y6" t="s">
        <v>3382</v>
      </c>
      <c r="AA6" t="s">
        <v>4256</v>
      </c>
      <c r="AC6">
        <v>0</v>
      </c>
      <c r="AD6">
        <v>1144.44</v>
      </c>
      <c r="AE6">
        <v>5.6</v>
      </c>
      <c r="AG6" t="s">
        <v>4284</v>
      </c>
      <c r="AH6" t="s">
        <v>5234</v>
      </c>
      <c r="AI6" t="s">
        <v>5380</v>
      </c>
      <c r="AJ6">
        <v>79</v>
      </c>
      <c r="AK6" t="s">
        <v>6266</v>
      </c>
      <c r="AL6">
        <v>1</v>
      </c>
      <c r="AM6">
        <v>1</v>
      </c>
      <c r="AN6">
        <v>18.26</v>
      </c>
      <c r="AR6" t="s">
        <v>5312</v>
      </c>
      <c r="AS6" t="s">
        <v>6298</v>
      </c>
      <c r="AT6">
        <v>3088.28</v>
      </c>
      <c r="AX6" t="s">
        <v>6385</v>
      </c>
      <c r="BA6" t="s">
        <v>6477</v>
      </c>
      <c r="BD6" t="s">
        <v>218</v>
      </c>
      <c r="BE6" t="s">
        <v>6702</v>
      </c>
    </row>
    <row r="7" spans="1:57">
      <c r="A7" s="1">
        <f>HYPERLINK("https://lsnyc.legalserver.org/matter/dynamic-profile/view/1910626","19-1910626")</f>
        <v>0</v>
      </c>
      <c r="B7" t="s">
        <v>57</v>
      </c>
      <c r="C7" t="s">
        <v>62</v>
      </c>
      <c r="D7" t="s">
        <v>214</v>
      </c>
      <c r="E7" t="s">
        <v>220</v>
      </c>
      <c r="G7" t="s">
        <v>586</v>
      </c>
      <c r="H7" t="s">
        <v>1329</v>
      </c>
      <c r="J7" t="s">
        <v>2061</v>
      </c>
      <c r="K7">
        <v>608</v>
      </c>
      <c r="L7" t="s">
        <v>3329</v>
      </c>
      <c r="M7" t="s">
        <v>3379</v>
      </c>
      <c r="N7">
        <v>10455</v>
      </c>
      <c r="O7" t="s">
        <v>3380</v>
      </c>
      <c r="P7" t="s">
        <v>3381</v>
      </c>
      <c r="Q7" t="s">
        <v>3385</v>
      </c>
      <c r="R7" t="s">
        <v>3406</v>
      </c>
      <c r="S7">
        <v>1</v>
      </c>
      <c r="T7" t="s">
        <v>4198</v>
      </c>
      <c r="U7" t="s">
        <v>4224</v>
      </c>
      <c r="W7" t="s">
        <v>4239</v>
      </c>
      <c r="X7" t="s">
        <v>3382</v>
      </c>
      <c r="Y7" t="s">
        <v>3382</v>
      </c>
      <c r="AA7" t="s">
        <v>4257</v>
      </c>
      <c r="AB7" t="s">
        <v>4261</v>
      </c>
      <c r="AC7">
        <v>0</v>
      </c>
      <c r="AD7">
        <v>940</v>
      </c>
      <c r="AE7">
        <v>16.25</v>
      </c>
      <c r="AG7" t="s">
        <v>4285</v>
      </c>
      <c r="AH7" t="s">
        <v>5235</v>
      </c>
      <c r="AI7" t="s">
        <v>5381</v>
      </c>
      <c r="AJ7">
        <v>0</v>
      </c>
      <c r="AK7" t="s">
        <v>6267</v>
      </c>
      <c r="AL7">
        <v>1</v>
      </c>
      <c r="AM7">
        <v>0</v>
      </c>
      <c r="AN7">
        <v>18.94</v>
      </c>
      <c r="AS7" t="s">
        <v>6298</v>
      </c>
      <c r="AT7">
        <v>2366</v>
      </c>
      <c r="AX7" t="s">
        <v>6387</v>
      </c>
      <c r="BA7" t="s">
        <v>6478</v>
      </c>
      <c r="BD7" t="s">
        <v>218</v>
      </c>
      <c r="BE7" t="s">
        <v>6702</v>
      </c>
    </row>
    <row r="8" spans="1:57">
      <c r="A8" s="1">
        <f>HYPERLINK("https://lsnyc.legalserver.org/matter/dynamic-profile/view/1911601","19-1911601")</f>
        <v>0</v>
      </c>
      <c r="B8" t="s">
        <v>57</v>
      </c>
      <c r="C8" t="s">
        <v>62</v>
      </c>
      <c r="D8" t="s">
        <v>214</v>
      </c>
      <c r="E8" t="s">
        <v>221</v>
      </c>
      <c r="G8" t="s">
        <v>587</v>
      </c>
      <c r="H8" t="s">
        <v>1330</v>
      </c>
      <c r="J8" t="s">
        <v>2062</v>
      </c>
      <c r="L8" t="s">
        <v>3329</v>
      </c>
      <c r="M8" t="s">
        <v>3379</v>
      </c>
      <c r="N8">
        <v>10451</v>
      </c>
      <c r="O8" t="s">
        <v>3381</v>
      </c>
      <c r="P8" t="s">
        <v>3381</v>
      </c>
      <c r="S8">
        <v>35</v>
      </c>
      <c r="U8" t="s">
        <v>4224</v>
      </c>
      <c r="W8" t="s">
        <v>4239</v>
      </c>
      <c r="X8" t="s">
        <v>3382</v>
      </c>
      <c r="AA8" t="s">
        <v>4256</v>
      </c>
      <c r="AC8">
        <v>0</v>
      </c>
      <c r="AD8">
        <v>787</v>
      </c>
      <c r="AE8">
        <v>8.050000000000001</v>
      </c>
      <c r="AG8" t="s">
        <v>4286</v>
      </c>
      <c r="AI8" t="s">
        <v>5382</v>
      </c>
      <c r="AJ8">
        <v>35</v>
      </c>
      <c r="AL8">
        <v>1</v>
      </c>
      <c r="AM8">
        <v>0</v>
      </c>
      <c r="AN8">
        <v>0</v>
      </c>
      <c r="AS8" t="s">
        <v>6298</v>
      </c>
      <c r="AT8">
        <v>0</v>
      </c>
      <c r="AX8" t="s">
        <v>6388</v>
      </c>
      <c r="BA8" t="s">
        <v>6479</v>
      </c>
      <c r="BD8" t="s">
        <v>217</v>
      </c>
    </row>
    <row r="9" spans="1:57">
      <c r="A9" s="1">
        <f>HYPERLINK("https://lsnyc.legalserver.org/matter/dynamic-profile/view/1913815","19-1913815")</f>
        <v>0</v>
      </c>
      <c r="B9" t="s">
        <v>57</v>
      </c>
      <c r="C9" t="s">
        <v>63</v>
      </c>
      <c r="D9" t="s">
        <v>214</v>
      </c>
      <c r="E9" t="s">
        <v>222</v>
      </c>
      <c r="G9" t="s">
        <v>588</v>
      </c>
      <c r="H9" t="s">
        <v>1331</v>
      </c>
      <c r="J9" t="s">
        <v>2063</v>
      </c>
      <c r="K9">
        <v>20</v>
      </c>
      <c r="L9" t="s">
        <v>3329</v>
      </c>
      <c r="M9" t="s">
        <v>3379</v>
      </c>
      <c r="N9">
        <v>10467</v>
      </c>
      <c r="O9" t="s">
        <v>3381</v>
      </c>
      <c r="P9" t="s">
        <v>3381</v>
      </c>
      <c r="Q9" t="s">
        <v>3384</v>
      </c>
      <c r="R9" t="s">
        <v>3407</v>
      </c>
      <c r="S9">
        <v>10</v>
      </c>
      <c r="T9" t="s">
        <v>4196</v>
      </c>
      <c r="U9" t="s">
        <v>4223</v>
      </c>
      <c r="W9" t="s">
        <v>4239</v>
      </c>
      <c r="X9" t="s">
        <v>3382</v>
      </c>
      <c r="AA9" t="s">
        <v>4256</v>
      </c>
      <c r="AC9">
        <v>0</v>
      </c>
      <c r="AD9">
        <v>1200</v>
      </c>
      <c r="AE9">
        <v>0</v>
      </c>
      <c r="AG9" t="s">
        <v>4287</v>
      </c>
      <c r="AI9" t="s">
        <v>5383</v>
      </c>
      <c r="AJ9">
        <v>20</v>
      </c>
      <c r="AK9" t="s">
        <v>6266</v>
      </c>
      <c r="AL9">
        <v>3</v>
      </c>
      <c r="AM9">
        <v>2</v>
      </c>
      <c r="AN9">
        <v>59.94</v>
      </c>
      <c r="AR9" t="s">
        <v>6289</v>
      </c>
      <c r="AS9" t="s">
        <v>6299</v>
      </c>
      <c r="AT9">
        <v>18084</v>
      </c>
      <c r="AX9" t="s">
        <v>6386</v>
      </c>
      <c r="BA9" t="s">
        <v>6474</v>
      </c>
    </row>
    <row r="10" spans="1:57">
      <c r="A10" s="1">
        <f>HYPERLINK("https://lsnyc.legalserver.org/matter/dynamic-profile/view/1910515","19-1910515")</f>
        <v>0</v>
      </c>
      <c r="B10" t="s">
        <v>57</v>
      </c>
      <c r="C10" t="s">
        <v>63</v>
      </c>
      <c r="D10" t="s">
        <v>214</v>
      </c>
      <c r="E10" t="s">
        <v>223</v>
      </c>
      <c r="G10" t="s">
        <v>589</v>
      </c>
      <c r="H10" t="s">
        <v>1332</v>
      </c>
      <c r="J10" t="s">
        <v>2064</v>
      </c>
      <c r="K10" t="s">
        <v>2996</v>
      </c>
      <c r="L10" t="s">
        <v>3329</v>
      </c>
      <c r="M10" t="s">
        <v>3379</v>
      </c>
      <c r="N10">
        <v>10457</v>
      </c>
      <c r="O10" t="s">
        <v>3380</v>
      </c>
      <c r="P10" t="s">
        <v>3381</v>
      </c>
      <c r="Q10" t="s">
        <v>3386</v>
      </c>
      <c r="R10" t="s">
        <v>3408</v>
      </c>
      <c r="S10">
        <v>4</v>
      </c>
      <c r="T10" t="s">
        <v>4197</v>
      </c>
      <c r="U10" t="s">
        <v>4223</v>
      </c>
      <c r="W10" t="s">
        <v>4238</v>
      </c>
      <c r="X10" t="s">
        <v>3382</v>
      </c>
      <c r="Y10" t="s">
        <v>3382</v>
      </c>
      <c r="AA10" t="s">
        <v>4256</v>
      </c>
      <c r="AB10" t="s">
        <v>4261</v>
      </c>
      <c r="AC10">
        <v>0</v>
      </c>
      <c r="AD10">
        <v>1225</v>
      </c>
      <c r="AE10">
        <v>5</v>
      </c>
      <c r="AG10" t="s">
        <v>4288</v>
      </c>
      <c r="AI10" t="s">
        <v>5384</v>
      </c>
      <c r="AJ10">
        <v>95</v>
      </c>
      <c r="AK10" t="s">
        <v>6267</v>
      </c>
      <c r="AL10">
        <v>1</v>
      </c>
      <c r="AM10">
        <v>0</v>
      </c>
      <c r="AN10">
        <v>157.8</v>
      </c>
      <c r="AR10" t="s">
        <v>5312</v>
      </c>
      <c r="AS10" t="s">
        <v>6299</v>
      </c>
      <c r="AT10">
        <v>19709.52</v>
      </c>
      <c r="AX10" t="s">
        <v>63</v>
      </c>
      <c r="BA10" t="s">
        <v>6477</v>
      </c>
      <c r="BD10" t="s">
        <v>305</v>
      </c>
      <c r="BE10" t="s">
        <v>6702</v>
      </c>
    </row>
    <row r="11" spans="1:57">
      <c r="A11" s="1">
        <f>HYPERLINK("https://lsnyc.legalserver.org/matter/dynamic-profile/view/1914359","19-1914359")</f>
        <v>0</v>
      </c>
      <c r="B11" t="s">
        <v>57</v>
      </c>
      <c r="C11" t="s">
        <v>63</v>
      </c>
      <c r="D11" t="s">
        <v>214</v>
      </c>
      <c r="E11" t="s">
        <v>224</v>
      </c>
      <c r="G11" t="s">
        <v>590</v>
      </c>
      <c r="H11" t="s">
        <v>1333</v>
      </c>
      <c r="J11" t="s">
        <v>2065</v>
      </c>
      <c r="K11" t="s">
        <v>2997</v>
      </c>
      <c r="L11" t="s">
        <v>3329</v>
      </c>
      <c r="M11" t="s">
        <v>3379</v>
      </c>
      <c r="N11">
        <v>10453</v>
      </c>
      <c r="O11" t="s">
        <v>3380</v>
      </c>
      <c r="P11" t="s">
        <v>3381</v>
      </c>
      <c r="Q11" t="s">
        <v>3387</v>
      </c>
      <c r="R11" t="s">
        <v>3409</v>
      </c>
      <c r="S11">
        <v>1</v>
      </c>
      <c r="T11" t="s">
        <v>4196</v>
      </c>
      <c r="U11" t="s">
        <v>4223</v>
      </c>
      <c r="W11" t="s">
        <v>4239</v>
      </c>
      <c r="X11" t="s">
        <v>3382</v>
      </c>
      <c r="Y11" t="s">
        <v>3382</v>
      </c>
      <c r="AA11" t="s">
        <v>4256</v>
      </c>
      <c r="AB11" t="s">
        <v>4261</v>
      </c>
      <c r="AC11">
        <v>0</v>
      </c>
      <c r="AD11">
        <v>1950</v>
      </c>
      <c r="AE11">
        <v>0</v>
      </c>
      <c r="AG11" t="s">
        <v>4289</v>
      </c>
      <c r="AI11" t="s">
        <v>5385</v>
      </c>
      <c r="AJ11">
        <v>40</v>
      </c>
      <c r="AK11" t="s">
        <v>6267</v>
      </c>
      <c r="AL11">
        <v>1</v>
      </c>
      <c r="AM11">
        <v>3</v>
      </c>
      <c r="AN11">
        <v>50.49</v>
      </c>
      <c r="AR11" t="s">
        <v>6289</v>
      </c>
      <c r="AS11" t="s">
        <v>6299</v>
      </c>
      <c r="AT11">
        <v>13000</v>
      </c>
      <c r="AX11" t="s">
        <v>6387</v>
      </c>
      <c r="BA11" t="s">
        <v>6477</v>
      </c>
      <c r="BE11" t="s">
        <v>6702</v>
      </c>
    </row>
    <row r="12" spans="1:57">
      <c r="A12" s="1">
        <f>HYPERLINK("https://lsnyc.legalserver.org/matter/dynamic-profile/view/1912527","19-1912527")</f>
        <v>0</v>
      </c>
      <c r="B12" t="s">
        <v>57</v>
      </c>
      <c r="C12" t="s">
        <v>63</v>
      </c>
      <c r="D12" t="s">
        <v>214</v>
      </c>
      <c r="E12" t="s">
        <v>225</v>
      </c>
      <c r="G12" t="s">
        <v>591</v>
      </c>
      <c r="H12" t="s">
        <v>1334</v>
      </c>
      <c r="J12" t="s">
        <v>2066</v>
      </c>
      <c r="K12" t="s">
        <v>2998</v>
      </c>
      <c r="L12" t="s">
        <v>3329</v>
      </c>
      <c r="M12" t="s">
        <v>3379</v>
      </c>
      <c r="N12">
        <v>10452</v>
      </c>
      <c r="O12" t="s">
        <v>3380</v>
      </c>
      <c r="P12" t="s">
        <v>3381</v>
      </c>
      <c r="Q12" t="s">
        <v>3383</v>
      </c>
      <c r="R12" t="s">
        <v>3410</v>
      </c>
      <c r="S12">
        <v>4</v>
      </c>
      <c r="T12" t="s">
        <v>4196</v>
      </c>
      <c r="U12" t="s">
        <v>4223</v>
      </c>
      <c r="W12" t="s">
        <v>4238</v>
      </c>
      <c r="X12" t="s">
        <v>3382</v>
      </c>
      <c r="Y12" t="s">
        <v>3382</v>
      </c>
      <c r="AA12" t="s">
        <v>4256</v>
      </c>
      <c r="AC12">
        <v>0</v>
      </c>
      <c r="AD12">
        <v>1200</v>
      </c>
      <c r="AE12">
        <v>0.25</v>
      </c>
      <c r="AG12" t="s">
        <v>4290</v>
      </c>
      <c r="AJ12">
        <v>59</v>
      </c>
      <c r="AK12" t="s">
        <v>6266</v>
      </c>
      <c r="AL12">
        <v>2</v>
      </c>
      <c r="AM12">
        <v>3</v>
      </c>
      <c r="AN12">
        <v>86.18000000000001</v>
      </c>
      <c r="AS12" t="s">
        <v>6299</v>
      </c>
      <c r="AT12">
        <v>26000</v>
      </c>
      <c r="AX12" t="s">
        <v>6389</v>
      </c>
      <c r="BA12" t="s">
        <v>6473</v>
      </c>
      <c r="BD12" t="s">
        <v>225</v>
      </c>
      <c r="BE12" t="s">
        <v>6702</v>
      </c>
    </row>
    <row r="13" spans="1:57">
      <c r="A13" s="1">
        <f>HYPERLINK("https://lsnyc.legalserver.org/matter/dynamic-profile/view/1890566","19-1890566")</f>
        <v>0</v>
      </c>
      <c r="B13" t="s">
        <v>57</v>
      </c>
      <c r="C13" t="s">
        <v>63</v>
      </c>
      <c r="D13" t="s">
        <v>214</v>
      </c>
      <c r="E13" t="s">
        <v>226</v>
      </c>
      <c r="G13" t="s">
        <v>592</v>
      </c>
      <c r="H13" t="s">
        <v>1335</v>
      </c>
      <c r="J13" t="s">
        <v>2067</v>
      </c>
      <c r="K13" t="s">
        <v>2999</v>
      </c>
      <c r="L13" t="s">
        <v>3329</v>
      </c>
      <c r="M13" t="s">
        <v>3379</v>
      </c>
      <c r="N13">
        <v>10451</v>
      </c>
      <c r="O13" t="s">
        <v>3382</v>
      </c>
      <c r="P13" t="s">
        <v>3380</v>
      </c>
      <c r="R13" t="s">
        <v>3411</v>
      </c>
      <c r="S13">
        <v>9</v>
      </c>
      <c r="T13" t="s">
        <v>4197</v>
      </c>
      <c r="U13" t="s">
        <v>4223</v>
      </c>
      <c r="W13" t="s">
        <v>4239</v>
      </c>
      <c r="X13" t="s">
        <v>3382</v>
      </c>
      <c r="Y13" t="s">
        <v>3382</v>
      </c>
      <c r="AA13" t="s">
        <v>4256</v>
      </c>
      <c r="AB13" t="s">
        <v>4261</v>
      </c>
      <c r="AC13">
        <v>0</v>
      </c>
      <c r="AD13">
        <v>1110.56</v>
      </c>
      <c r="AE13">
        <v>27.25</v>
      </c>
      <c r="AG13" t="s">
        <v>4291</v>
      </c>
      <c r="AI13" t="s">
        <v>5386</v>
      </c>
      <c r="AJ13">
        <v>85</v>
      </c>
      <c r="AL13">
        <v>3</v>
      </c>
      <c r="AM13">
        <v>1</v>
      </c>
      <c r="AN13">
        <v>167.77</v>
      </c>
      <c r="AQ13" t="s">
        <v>6286</v>
      </c>
      <c r="AS13" t="s">
        <v>6299</v>
      </c>
      <c r="AT13">
        <v>43200</v>
      </c>
      <c r="AW13" t="s">
        <v>6323</v>
      </c>
      <c r="AX13" t="s">
        <v>6386</v>
      </c>
      <c r="BA13" t="s">
        <v>6477</v>
      </c>
      <c r="BD13" t="s">
        <v>222</v>
      </c>
      <c r="BE13" t="s">
        <v>6702</v>
      </c>
    </row>
    <row r="14" spans="1:57">
      <c r="A14" s="1">
        <f>HYPERLINK("https://lsnyc.legalserver.org/matter/dynamic-profile/view/1914542","19-1914542")</f>
        <v>0</v>
      </c>
      <c r="B14" t="s">
        <v>57</v>
      </c>
      <c r="C14" t="s">
        <v>64</v>
      </c>
      <c r="D14" t="s">
        <v>214</v>
      </c>
      <c r="E14" t="s">
        <v>227</v>
      </c>
      <c r="G14" t="s">
        <v>593</v>
      </c>
      <c r="H14" t="s">
        <v>1336</v>
      </c>
      <c r="J14" t="s">
        <v>2068</v>
      </c>
      <c r="K14" t="s">
        <v>3000</v>
      </c>
      <c r="L14" t="s">
        <v>3329</v>
      </c>
      <c r="M14" t="s">
        <v>3379</v>
      </c>
      <c r="N14">
        <v>10473</v>
      </c>
      <c r="O14" t="s">
        <v>3380</v>
      </c>
      <c r="P14" t="s">
        <v>3381</v>
      </c>
      <c r="R14" t="s">
        <v>3412</v>
      </c>
      <c r="S14">
        <v>25</v>
      </c>
      <c r="T14" t="s">
        <v>4197</v>
      </c>
      <c r="U14" t="s">
        <v>4224</v>
      </c>
      <c r="W14" t="s">
        <v>4239</v>
      </c>
      <c r="X14" t="s">
        <v>3382</v>
      </c>
      <c r="Y14" t="s">
        <v>3382</v>
      </c>
      <c r="AA14" t="s">
        <v>4256</v>
      </c>
      <c r="AB14" t="s">
        <v>4261</v>
      </c>
      <c r="AC14">
        <v>0</v>
      </c>
      <c r="AD14">
        <v>985.59</v>
      </c>
      <c r="AE14">
        <v>2.8</v>
      </c>
      <c r="AG14" t="s">
        <v>4292</v>
      </c>
      <c r="AI14" t="s">
        <v>5387</v>
      </c>
      <c r="AJ14">
        <v>222</v>
      </c>
      <c r="AL14">
        <v>1</v>
      </c>
      <c r="AM14">
        <v>0</v>
      </c>
      <c r="AN14">
        <v>75.26000000000001</v>
      </c>
      <c r="AS14" t="s">
        <v>6298</v>
      </c>
      <c r="AT14">
        <v>9400</v>
      </c>
      <c r="AX14" t="s">
        <v>6387</v>
      </c>
      <c r="BA14" t="s">
        <v>6480</v>
      </c>
      <c r="BD14" t="s">
        <v>231</v>
      </c>
      <c r="BE14" t="s">
        <v>6702</v>
      </c>
    </row>
    <row r="15" spans="1:57">
      <c r="A15" s="1">
        <f>HYPERLINK("https://lsnyc.legalserver.org/matter/dynamic-profile/view/1913197","19-1913197")</f>
        <v>0</v>
      </c>
      <c r="B15" t="s">
        <v>57</v>
      </c>
      <c r="C15" t="s">
        <v>64</v>
      </c>
      <c r="D15" t="s">
        <v>214</v>
      </c>
      <c r="E15" t="s">
        <v>228</v>
      </c>
      <c r="G15" t="s">
        <v>594</v>
      </c>
      <c r="H15" t="s">
        <v>1337</v>
      </c>
      <c r="J15" t="s">
        <v>2069</v>
      </c>
      <c r="K15" t="s">
        <v>3001</v>
      </c>
      <c r="L15" t="s">
        <v>3329</v>
      </c>
      <c r="M15" t="s">
        <v>3379</v>
      </c>
      <c r="N15">
        <v>10467</v>
      </c>
      <c r="O15" t="s">
        <v>3382</v>
      </c>
      <c r="P15" t="s">
        <v>3381</v>
      </c>
      <c r="Q15" t="s">
        <v>3387</v>
      </c>
      <c r="R15" t="s">
        <v>3413</v>
      </c>
      <c r="S15">
        <v>22</v>
      </c>
      <c r="T15" t="s">
        <v>4196</v>
      </c>
      <c r="U15" t="s">
        <v>4223</v>
      </c>
      <c r="W15" t="s">
        <v>4238</v>
      </c>
      <c r="X15" t="s">
        <v>3382</v>
      </c>
      <c r="Y15" t="s">
        <v>3382</v>
      </c>
      <c r="AA15" t="s">
        <v>4256</v>
      </c>
      <c r="AC15">
        <v>0</v>
      </c>
      <c r="AD15">
        <v>1003.2</v>
      </c>
      <c r="AE15">
        <v>12.9</v>
      </c>
      <c r="AG15" t="s">
        <v>4293</v>
      </c>
      <c r="AJ15">
        <v>49</v>
      </c>
      <c r="AK15" t="s">
        <v>6267</v>
      </c>
      <c r="AL15">
        <v>1</v>
      </c>
      <c r="AM15">
        <v>0</v>
      </c>
      <c r="AN15">
        <v>77.02</v>
      </c>
      <c r="AR15" t="s">
        <v>5312</v>
      </c>
      <c r="AS15" t="s">
        <v>6298</v>
      </c>
      <c r="AT15">
        <v>9620</v>
      </c>
      <c r="AX15" t="s">
        <v>6390</v>
      </c>
      <c r="BA15" t="s">
        <v>6477</v>
      </c>
      <c r="BD15" t="s">
        <v>218</v>
      </c>
      <c r="BE15" t="s">
        <v>6702</v>
      </c>
    </row>
    <row r="16" spans="1:57">
      <c r="A16" s="1">
        <f>HYPERLINK("https://lsnyc.legalserver.org/matter/dynamic-profile/view/1909109","19-1909109")</f>
        <v>0</v>
      </c>
      <c r="B16" t="s">
        <v>57</v>
      </c>
      <c r="C16" t="s">
        <v>64</v>
      </c>
      <c r="D16" t="s">
        <v>214</v>
      </c>
      <c r="E16" t="s">
        <v>229</v>
      </c>
      <c r="G16" t="s">
        <v>595</v>
      </c>
      <c r="H16" t="s">
        <v>1338</v>
      </c>
      <c r="J16" t="s">
        <v>2070</v>
      </c>
      <c r="K16" t="s">
        <v>3002</v>
      </c>
      <c r="L16" t="s">
        <v>3329</v>
      </c>
      <c r="M16" t="s">
        <v>3379</v>
      </c>
      <c r="N16">
        <v>10463</v>
      </c>
      <c r="O16" t="s">
        <v>3380</v>
      </c>
      <c r="P16" t="s">
        <v>3381</v>
      </c>
      <c r="Q16" t="s">
        <v>3385</v>
      </c>
      <c r="R16" t="s">
        <v>3414</v>
      </c>
      <c r="S16">
        <v>1</v>
      </c>
      <c r="T16" t="s">
        <v>4196</v>
      </c>
      <c r="U16" t="s">
        <v>4224</v>
      </c>
      <c r="W16" t="s">
        <v>4239</v>
      </c>
      <c r="X16" t="s">
        <v>3382</v>
      </c>
      <c r="Y16" t="s">
        <v>3382</v>
      </c>
      <c r="AA16" t="s">
        <v>4256</v>
      </c>
      <c r="AB16" t="s">
        <v>4262</v>
      </c>
      <c r="AC16">
        <v>0</v>
      </c>
      <c r="AD16">
        <v>1400</v>
      </c>
      <c r="AE16">
        <v>5.6</v>
      </c>
      <c r="AG16" t="s">
        <v>4294</v>
      </c>
      <c r="AI16" t="s">
        <v>5388</v>
      </c>
      <c r="AJ16">
        <v>52</v>
      </c>
      <c r="AK16" t="s">
        <v>6267</v>
      </c>
      <c r="AL16">
        <v>1</v>
      </c>
      <c r="AM16">
        <v>0</v>
      </c>
      <c r="AN16">
        <v>422.74</v>
      </c>
      <c r="AS16" t="s">
        <v>6298</v>
      </c>
      <c r="AT16">
        <v>52800</v>
      </c>
      <c r="AW16" t="s">
        <v>6324</v>
      </c>
      <c r="AX16" t="s">
        <v>6391</v>
      </c>
      <c r="BA16" t="s">
        <v>6474</v>
      </c>
      <c r="BD16" t="s">
        <v>231</v>
      </c>
      <c r="BE16" t="s">
        <v>6702</v>
      </c>
    </row>
    <row r="17" spans="1:57">
      <c r="A17" s="1">
        <f>HYPERLINK("https://lsnyc.legalserver.org/matter/dynamic-profile/view/1914210","19-1914210")</f>
        <v>0</v>
      </c>
      <c r="B17" t="s">
        <v>57</v>
      </c>
      <c r="C17" t="s">
        <v>64</v>
      </c>
      <c r="D17" t="s">
        <v>214</v>
      </c>
      <c r="E17" t="s">
        <v>230</v>
      </c>
      <c r="G17" t="s">
        <v>596</v>
      </c>
      <c r="H17" t="s">
        <v>1339</v>
      </c>
      <c r="J17" t="s">
        <v>2071</v>
      </c>
      <c r="K17" t="s">
        <v>3003</v>
      </c>
      <c r="L17" t="s">
        <v>3329</v>
      </c>
      <c r="M17" t="s">
        <v>3379</v>
      </c>
      <c r="N17">
        <v>10457</v>
      </c>
      <c r="O17" t="s">
        <v>3380</v>
      </c>
      <c r="P17" t="s">
        <v>3381</v>
      </c>
      <c r="R17" t="s">
        <v>3415</v>
      </c>
      <c r="S17">
        <v>40</v>
      </c>
      <c r="T17" t="s">
        <v>4196</v>
      </c>
      <c r="U17" t="s">
        <v>4223</v>
      </c>
      <c r="W17" t="s">
        <v>4238</v>
      </c>
      <c r="X17" t="s">
        <v>3382</v>
      </c>
      <c r="Y17" t="s">
        <v>3382</v>
      </c>
      <c r="AA17" t="s">
        <v>4256</v>
      </c>
      <c r="AC17">
        <v>0</v>
      </c>
      <c r="AD17">
        <v>845</v>
      </c>
      <c r="AE17">
        <v>1.8</v>
      </c>
      <c r="AG17" t="s">
        <v>4295</v>
      </c>
      <c r="AH17">
        <v>3963045</v>
      </c>
      <c r="AI17" t="s">
        <v>5389</v>
      </c>
      <c r="AJ17">
        <v>120</v>
      </c>
      <c r="AL17">
        <v>3</v>
      </c>
      <c r="AM17">
        <v>5</v>
      </c>
      <c r="AN17">
        <v>63.31</v>
      </c>
      <c r="AR17" t="s">
        <v>6290</v>
      </c>
      <c r="AS17" t="s">
        <v>6298</v>
      </c>
      <c r="AT17">
        <v>27496</v>
      </c>
      <c r="AX17" t="s">
        <v>6392</v>
      </c>
      <c r="BA17" t="s">
        <v>6481</v>
      </c>
      <c r="BD17" t="s">
        <v>224</v>
      </c>
      <c r="BE17" t="s">
        <v>6702</v>
      </c>
    </row>
    <row r="18" spans="1:57">
      <c r="A18" s="1">
        <f>HYPERLINK("https://lsnyc.legalserver.org/matter/dynamic-profile/view/1914239","19-1914239")</f>
        <v>0</v>
      </c>
      <c r="B18" t="s">
        <v>57</v>
      </c>
      <c r="C18" t="s">
        <v>64</v>
      </c>
      <c r="D18" t="s">
        <v>214</v>
      </c>
      <c r="E18" t="s">
        <v>230</v>
      </c>
      <c r="G18" t="s">
        <v>597</v>
      </c>
      <c r="H18" t="s">
        <v>1335</v>
      </c>
      <c r="J18" t="s">
        <v>2072</v>
      </c>
      <c r="K18" t="s">
        <v>2997</v>
      </c>
      <c r="L18" t="s">
        <v>3329</v>
      </c>
      <c r="M18" t="s">
        <v>3379</v>
      </c>
      <c r="N18">
        <v>10457</v>
      </c>
      <c r="O18" t="s">
        <v>3380</v>
      </c>
      <c r="P18" t="s">
        <v>3381</v>
      </c>
      <c r="Q18" t="s">
        <v>3387</v>
      </c>
      <c r="R18" t="s">
        <v>3416</v>
      </c>
      <c r="S18">
        <v>4</v>
      </c>
      <c r="T18" t="s">
        <v>4196</v>
      </c>
      <c r="U18" t="s">
        <v>4223</v>
      </c>
      <c r="W18" t="s">
        <v>4238</v>
      </c>
      <c r="X18" t="s">
        <v>3382</v>
      </c>
      <c r="Y18" t="s">
        <v>3382</v>
      </c>
      <c r="AA18" t="s">
        <v>4256</v>
      </c>
      <c r="AC18">
        <v>0</v>
      </c>
      <c r="AD18">
        <v>1268</v>
      </c>
      <c r="AE18">
        <v>2.6</v>
      </c>
      <c r="AG18" t="s">
        <v>4296</v>
      </c>
      <c r="AI18" t="s">
        <v>5390</v>
      </c>
      <c r="AJ18">
        <v>4</v>
      </c>
      <c r="AK18" t="s">
        <v>6266</v>
      </c>
      <c r="AL18">
        <v>2</v>
      </c>
      <c r="AM18">
        <v>0</v>
      </c>
      <c r="AN18">
        <v>115.6</v>
      </c>
      <c r="AR18" t="s">
        <v>6291</v>
      </c>
      <c r="AS18" t="s">
        <v>6298</v>
      </c>
      <c r="AT18">
        <v>19548</v>
      </c>
      <c r="AX18" t="s">
        <v>6390</v>
      </c>
      <c r="BA18" t="s">
        <v>6482</v>
      </c>
      <c r="BD18" t="s">
        <v>224</v>
      </c>
      <c r="BE18" t="s">
        <v>6702</v>
      </c>
    </row>
    <row r="19" spans="1:57">
      <c r="A19" s="1">
        <f>HYPERLINK("https://lsnyc.legalserver.org/matter/dynamic-profile/view/1915443","19-1915443")</f>
        <v>0</v>
      </c>
      <c r="B19" t="s">
        <v>57</v>
      </c>
      <c r="C19" t="s">
        <v>64</v>
      </c>
      <c r="D19" t="s">
        <v>214</v>
      </c>
      <c r="E19" t="s">
        <v>231</v>
      </c>
      <c r="G19" t="s">
        <v>598</v>
      </c>
      <c r="H19" t="s">
        <v>1340</v>
      </c>
      <c r="J19" t="s">
        <v>2073</v>
      </c>
      <c r="K19" t="s">
        <v>3004</v>
      </c>
      <c r="L19" t="s">
        <v>3329</v>
      </c>
      <c r="M19" t="s">
        <v>3379</v>
      </c>
      <c r="N19">
        <v>10457</v>
      </c>
      <c r="O19" t="s">
        <v>3380</v>
      </c>
      <c r="P19" t="s">
        <v>3381</v>
      </c>
      <c r="Q19" t="s">
        <v>3387</v>
      </c>
      <c r="R19" t="s">
        <v>3417</v>
      </c>
      <c r="S19">
        <v>7</v>
      </c>
      <c r="T19" t="s">
        <v>4196</v>
      </c>
      <c r="W19" t="s">
        <v>4238</v>
      </c>
      <c r="X19" t="s">
        <v>3382</v>
      </c>
      <c r="Y19" t="s">
        <v>3382</v>
      </c>
      <c r="AA19" t="s">
        <v>4256</v>
      </c>
      <c r="AC19">
        <v>0</v>
      </c>
      <c r="AD19">
        <v>1047</v>
      </c>
      <c r="AE19">
        <v>1.2</v>
      </c>
      <c r="AG19" t="s">
        <v>4297</v>
      </c>
      <c r="AH19">
        <v>301404861</v>
      </c>
      <c r="AI19" t="s">
        <v>5391</v>
      </c>
      <c r="AJ19">
        <v>51</v>
      </c>
      <c r="AK19" t="s">
        <v>6266</v>
      </c>
      <c r="AL19">
        <v>2</v>
      </c>
      <c r="AM19">
        <v>2</v>
      </c>
      <c r="AN19">
        <v>0</v>
      </c>
      <c r="AS19" t="s">
        <v>6299</v>
      </c>
      <c r="AT19">
        <v>0</v>
      </c>
      <c r="AX19" t="s">
        <v>6390</v>
      </c>
      <c r="BA19" t="s">
        <v>6479</v>
      </c>
      <c r="BD19" t="s">
        <v>231</v>
      </c>
      <c r="BE19" t="s">
        <v>6702</v>
      </c>
    </row>
    <row r="20" spans="1:57">
      <c r="A20" s="1">
        <f>HYPERLINK("https://lsnyc.legalserver.org/matter/dynamic-profile/view/1914102","19-1914102")</f>
        <v>0</v>
      </c>
      <c r="B20" t="s">
        <v>57</v>
      </c>
      <c r="C20" t="s">
        <v>65</v>
      </c>
      <c r="D20" t="s">
        <v>214</v>
      </c>
      <c r="E20" t="s">
        <v>219</v>
      </c>
      <c r="G20" t="s">
        <v>599</v>
      </c>
      <c r="H20" t="s">
        <v>1341</v>
      </c>
      <c r="J20" t="s">
        <v>2074</v>
      </c>
      <c r="K20">
        <v>3</v>
      </c>
      <c r="L20" t="s">
        <v>3329</v>
      </c>
      <c r="M20" t="s">
        <v>3379</v>
      </c>
      <c r="N20">
        <v>10474</v>
      </c>
      <c r="O20" t="s">
        <v>3380</v>
      </c>
      <c r="P20" t="s">
        <v>3381</v>
      </c>
      <c r="Q20" t="s">
        <v>3384</v>
      </c>
      <c r="R20" t="s">
        <v>3418</v>
      </c>
      <c r="S20">
        <v>13</v>
      </c>
      <c r="T20" t="s">
        <v>4197</v>
      </c>
      <c r="U20" t="s">
        <v>4224</v>
      </c>
      <c r="W20" t="s">
        <v>4239</v>
      </c>
      <c r="X20" t="s">
        <v>3382</v>
      </c>
      <c r="Y20" t="s">
        <v>3382</v>
      </c>
      <c r="AA20" t="s">
        <v>4256</v>
      </c>
      <c r="AC20">
        <v>0</v>
      </c>
      <c r="AD20">
        <v>1723</v>
      </c>
      <c r="AE20">
        <v>2.7</v>
      </c>
      <c r="AG20" t="s">
        <v>4298</v>
      </c>
      <c r="AI20" t="s">
        <v>5392</v>
      </c>
      <c r="AJ20">
        <v>20</v>
      </c>
      <c r="AK20" t="s">
        <v>6267</v>
      </c>
      <c r="AL20">
        <v>2</v>
      </c>
      <c r="AM20">
        <v>3</v>
      </c>
      <c r="AN20">
        <v>31.37</v>
      </c>
      <c r="AR20" t="s">
        <v>6290</v>
      </c>
      <c r="AS20" t="s">
        <v>6298</v>
      </c>
      <c r="AT20">
        <v>9464</v>
      </c>
      <c r="AX20" t="s">
        <v>6387</v>
      </c>
      <c r="BA20" t="s">
        <v>6478</v>
      </c>
      <c r="BD20" t="s">
        <v>217</v>
      </c>
      <c r="BE20" t="s">
        <v>6702</v>
      </c>
    </row>
    <row r="21" spans="1:57">
      <c r="A21" s="1">
        <f>HYPERLINK("https://lsnyc.legalserver.org/matter/dynamic-profile/view/1914122","19-1914122")</f>
        <v>0</v>
      </c>
      <c r="B21" t="s">
        <v>57</v>
      </c>
      <c r="C21" t="s">
        <v>65</v>
      </c>
      <c r="D21" t="s">
        <v>214</v>
      </c>
      <c r="E21" t="s">
        <v>219</v>
      </c>
      <c r="G21" t="s">
        <v>600</v>
      </c>
      <c r="H21" t="s">
        <v>1342</v>
      </c>
      <c r="J21" t="s">
        <v>2075</v>
      </c>
      <c r="K21">
        <v>2</v>
      </c>
      <c r="L21" t="s">
        <v>3329</v>
      </c>
      <c r="M21" t="s">
        <v>3379</v>
      </c>
      <c r="N21">
        <v>10466</v>
      </c>
      <c r="O21" t="s">
        <v>3380</v>
      </c>
      <c r="P21" t="s">
        <v>3381</v>
      </c>
      <c r="Q21" t="s">
        <v>3384</v>
      </c>
      <c r="R21" t="s">
        <v>3419</v>
      </c>
      <c r="S21">
        <v>3</v>
      </c>
      <c r="T21" t="s">
        <v>4197</v>
      </c>
      <c r="W21" t="s">
        <v>4239</v>
      </c>
      <c r="X21" t="s">
        <v>3382</v>
      </c>
      <c r="Y21" t="s">
        <v>3382</v>
      </c>
      <c r="AA21" t="s">
        <v>4256</v>
      </c>
      <c r="AB21" t="s">
        <v>4261</v>
      </c>
      <c r="AC21">
        <v>0</v>
      </c>
      <c r="AD21">
        <v>1515</v>
      </c>
      <c r="AE21">
        <v>1.7</v>
      </c>
      <c r="AG21" t="s">
        <v>4299</v>
      </c>
      <c r="AI21" t="s">
        <v>5393</v>
      </c>
      <c r="AJ21">
        <v>2</v>
      </c>
      <c r="AK21" t="s">
        <v>6268</v>
      </c>
      <c r="AL21">
        <v>1</v>
      </c>
      <c r="AM21">
        <v>1</v>
      </c>
      <c r="AN21">
        <v>0</v>
      </c>
      <c r="AR21" t="s">
        <v>6289</v>
      </c>
      <c r="AS21" t="s">
        <v>6298</v>
      </c>
      <c r="AT21">
        <v>0</v>
      </c>
      <c r="AX21" t="s">
        <v>6387</v>
      </c>
      <c r="BA21" t="s">
        <v>6479</v>
      </c>
      <c r="BD21" t="s">
        <v>218</v>
      </c>
      <c r="BE21" t="s">
        <v>6702</v>
      </c>
    </row>
    <row r="22" spans="1:57">
      <c r="A22" s="1">
        <f>HYPERLINK("https://lsnyc.legalserver.org/matter/dynamic-profile/view/1905340","19-1905340")</f>
        <v>0</v>
      </c>
      <c r="B22" t="s">
        <v>57</v>
      </c>
      <c r="C22" t="s">
        <v>66</v>
      </c>
      <c r="D22" t="s">
        <v>214</v>
      </c>
      <c r="E22" t="s">
        <v>232</v>
      </c>
      <c r="G22" t="s">
        <v>601</v>
      </c>
      <c r="H22" t="s">
        <v>1343</v>
      </c>
      <c r="J22" t="s">
        <v>2076</v>
      </c>
      <c r="K22" t="s">
        <v>3005</v>
      </c>
      <c r="L22" t="s">
        <v>3329</v>
      </c>
      <c r="M22" t="s">
        <v>3379</v>
      </c>
      <c r="N22">
        <v>10458</v>
      </c>
      <c r="O22" t="s">
        <v>3380</v>
      </c>
      <c r="P22" t="s">
        <v>3381</v>
      </c>
      <c r="R22" t="s">
        <v>3420</v>
      </c>
      <c r="S22">
        <v>9</v>
      </c>
      <c r="T22" t="s">
        <v>4197</v>
      </c>
      <c r="U22" t="s">
        <v>4223</v>
      </c>
      <c r="W22" t="s">
        <v>4239</v>
      </c>
      <c r="X22" t="s">
        <v>3382</v>
      </c>
      <c r="AA22" t="s">
        <v>4256</v>
      </c>
      <c r="AB22" t="s">
        <v>4261</v>
      </c>
      <c r="AC22">
        <v>0</v>
      </c>
      <c r="AD22">
        <v>0</v>
      </c>
      <c r="AE22">
        <v>26.1</v>
      </c>
      <c r="AF22" t="s">
        <v>4267</v>
      </c>
      <c r="AG22" t="s">
        <v>4300</v>
      </c>
      <c r="AI22" t="s">
        <v>5394</v>
      </c>
      <c r="AJ22">
        <v>0</v>
      </c>
      <c r="AK22" t="s">
        <v>6269</v>
      </c>
      <c r="AL22">
        <v>2</v>
      </c>
      <c r="AM22">
        <v>2</v>
      </c>
      <c r="AN22">
        <v>154.81</v>
      </c>
      <c r="AS22" t="s">
        <v>6298</v>
      </c>
      <c r="AT22">
        <v>39864</v>
      </c>
      <c r="AX22" t="s">
        <v>6387</v>
      </c>
      <c r="BA22" t="s">
        <v>6477</v>
      </c>
      <c r="BD22" t="s">
        <v>275</v>
      </c>
      <c r="BE22" t="s">
        <v>6702</v>
      </c>
    </row>
    <row r="23" spans="1:57">
      <c r="A23" s="1">
        <f>HYPERLINK("https://lsnyc.legalserver.org/matter/dynamic-profile/view/1911256","19-1911256")</f>
        <v>0</v>
      </c>
      <c r="B23" t="s">
        <v>57</v>
      </c>
      <c r="C23" t="s">
        <v>67</v>
      </c>
      <c r="D23" t="s">
        <v>214</v>
      </c>
      <c r="E23" t="s">
        <v>233</v>
      </c>
      <c r="G23" t="s">
        <v>602</v>
      </c>
      <c r="H23" t="s">
        <v>1344</v>
      </c>
      <c r="J23" t="s">
        <v>2077</v>
      </c>
      <c r="K23" t="s">
        <v>3006</v>
      </c>
      <c r="L23" t="s">
        <v>3329</v>
      </c>
      <c r="M23" t="s">
        <v>3379</v>
      </c>
      <c r="N23">
        <v>10470</v>
      </c>
      <c r="O23" t="s">
        <v>3380</v>
      </c>
      <c r="P23" t="s">
        <v>3381</v>
      </c>
      <c r="Q23" t="s">
        <v>3384</v>
      </c>
      <c r="R23" t="s">
        <v>3421</v>
      </c>
      <c r="S23">
        <v>12</v>
      </c>
      <c r="T23" t="s">
        <v>4197</v>
      </c>
      <c r="W23" t="s">
        <v>4239</v>
      </c>
      <c r="X23" t="s">
        <v>3382</v>
      </c>
      <c r="Y23" t="s">
        <v>3382</v>
      </c>
      <c r="AA23" t="s">
        <v>4256</v>
      </c>
      <c r="AB23" t="s">
        <v>4261</v>
      </c>
      <c r="AC23">
        <v>0</v>
      </c>
      <c r="AD23">
        <v>1400</v>
      </c>
      <c r="AE23">
        <v>3.1</v>
      </c>
      <c r="AG23" t="s">
        <v>4301</v>
      </c>
      <c r="AI23" t="s">
        <v>5395</v>
      </c>
      <c r="AJ23">
        <v>84</v>
      </c>
      <c r="AK23" t="s">
        <v>6267</v>
      </c>
      <c r="AL23">
        <v>3</v>
      </c>
      <c r="AM23">
        <v>3</v>
      </c>
      <c r="AN23">
        <v>94.36</v>
      </c>
      <c r="AR23" t="s">
        <v>5312</v>
      </c>
      <c r="AS23" t="s">
        <v>6298</v>
      </c>
      <c r="AT23">
        <v>32640</v>
      </c>
      <c r="AX23" t="s">
        <v>6387</v>
      </c>
      <c r="BA23" t="s">
        <v>6477</v>
      </c>
      <c r="BD23" t="s">
        <v>230</v>
      </c>
      <c r="BE23" t="s">
        <v>6702</v>
      </c>
    </row>
    <row r="24" spans="1:57">
      <c r="A24" s="1">
        <f>HYPERLINK("https://lsnyc.legalserver.org/matter/dynamic-profile/view/1911013","19-1911013")</f>
        <v>0</v>
      </c>
      <c r="B24" t="s">
        <v>57</v>
      </c>
      <c r="C24" t="s">
        <v>67</v>
      </c>
      <c r="D24" t="s">
        <v>214</v>
      </c>
      <c r="E24" t="s">
        <v>234</v>
      </c>
      <c r="G24" t="s">
        <v>603</v>
      </c>
      <c r="H24" t="s">
        <v>1345</v>
      </c>
      <c r="J24" t="s">
        <v>2078</v>
      </c>
      <c r="K24" t="s">
        <v>3007</v>
      </c>
      <c r="L24" t="s">
        <v>3329</v>
      </c>
      <c r="M24" t="s">
        <v>3379</v>
      </c>
      <c r="N24">
        <v>10468</v>
      </c>
      <c r="O24" t="s">
        <v>3380</v>
      </c>
      <c r="P24" t="s">
        <v>3381</v>
      </c>
      <c r="Q24" t="s">
        <v>3383</v>
      </c>
      <c r="R24" t="s">
        <v>3422</v>
      </c>
      <c r="S24">
        <v>0</v>
      </c>
      <c r="T24" t="s">
        <v>4196</v>
      </c>
      <c r="U24" t="s">
        <v>4224</v>
      </c>
      <c r="W24" t="s">
        <v>4238</v>
      </c>
      <c r="X24" t="s">
        <v>3382</v>
      </c>
      <c r="Y24" t="s">
        <v>3382</v>
      </c>
      <c r="AA24" t="s">
        <v>4256</v>
      </c>
      <c r="AC24">
        <v>0</v>
      </c>
      <c r="AD24">
        <v>250</v>
      </c>
      <c r="AE24">
        <v>0.75</v>
      </c>
      <c r="AG24" t="s">
        <v>4302</v>
      </c>
      <c r="AH24" t="s">
        <v>5236</v>
      </c>
      <c r="AI24" t="s">
        <v>5396</v>
      </c>
      <c r="AJ24">
        <v>20</v>
      </c>
      <c r="AK24" t="s">
        <v>6266</v>
      </c>
      <c r="AL24">
        <v>2</v>
      </c>
      <c r="AM24">
        <v>0</v>
      </c>
      <c r="AN24">
        <v>53.22</v>
      </c>
      <c r="AR24" t="s">
        <v>6290</v>
      </c>
      <c r="AS24" t="s">
        <v>6298</v>
      </c>
      <c r="AT24">
        <v>9000</v>
      </c>
      <c r="AX24" t="s">
        <v>6385</v>
      </c>
      <c r="BA24" t="s">
        <v>6478</v>
      </c>
      <c r="BD24" t="s">
        <v>279</v>
      </c>
      <c r="BE24" t="s">
        <v>6703</v>
      </c>
    </row>
    <row r="25" spans="1:57">
      <c r="A25" s="1">
        <f>HYPERLINK("https://lsnyc.legalserver.org/matter/dynamic-profile/view/1908855","19-1908855")</f>
        <v>0</v>
      </c>
      <c r="B25" t="s">
        <v>57</v>
      </c>
      <c r="C25" t="s">
        <v>67</v>
      </c>
      <c r="D25" t="s">
        <v>214</v>
      </c>
      <c r="E25" t="s">
        <v>235</v>
      </c>
      <c r="G25" t="s">
        <v>604</v>
      </c>
      <c r="H25" t="s">
        <v>1346</v>
      </c>
      <c r="J25" t="s">
        <v>2079</v>
      </c>
      <c r="K25" t="s">
        <v>3008</v>
      </c>
      <c r="L25" t="s">
        <v>3329</v>
      </c>
      <c r="M25" t="s">
        <v>3379</v>
      </c>
      <c r="N25">
        <v>10467</v>
      </c>
      <c r="O25" t="s">
        <v>3380</v>
      </c>
      <c r="P25" t="s">
        <v>3381</v>
      </c>
      <c r="Q25" t="s">
        <v>3383</v>
      </c>
      <c r="R25" t="s">
        <v>3423</v>
      </c>
      <c r="S25">
        <v>4</v>
      </c>
      <c r="T25" t="s">
        <v>4196</v>
      </c>
      <c r="U25" t="s">
        <v>4224</v>
      </c>
      <c r="W25" t="s">
        <v>4238</v>
      </c>
      <c r="X25" t="s">
        <v>3382</v>
      </c>
      <c r="Y25" t="s">
        <v>3382</v>
      </c>
      <c r="AA25" t="s">
        <v>4256</v>
      </c>
      <c r="AC25">
        <v>0</v>
      </c>
      <c r="AD25">
        <v>1359.82</v>
      </c>
      <c r="AE25">
        <v>0.5</v>
      </c>
      <c r="AG25" t="s">
        <v>4303</v>
      </c>
      <c r="AH25" t="s">
        <v>5237</v>
      </c>
      <c r="AI25" t="s">
        <v>5397</v>
      </c>
      <c r="AJ25">
        <v>100</v>
      </c>
      <c r="AK25" t="s">
        <v>6266</v>
      </c>
      <c r="AL25">
        <v>1</v>
      </c>
      <c r="AM25">
        <v>1</v>
      </c>
      <c r="AN25">
        <v>19.73</v>
      </c>
      <c r="AR25" t="s">
        <v>5312</v>
      </c>
      <c r="AS25" t="s">
        <v>6298</v>
      </c>
      <c r="AT25">
        <v>3336</v>
      </c>
      <c r="AX25" t="s">
        <v>6385</v>
      </c>
      <c r="BA25" t="s">
        <v>6483</v>
      </c>
      <c r="BD25" t="s">
        <v>235</v>
      </c>
      <c r="BE25" t="s">
        <v>6703</v>
      </c>
    </row>
    <row r="26" spans="1:57">
      <c r="A26" s="1">
        <f>HYPERLINK("https://lsnyc.legalserver.org/matter/dynamic-profile/view/1909358","19-1909358")</f>
        <v>0</v>
      </c>
      <c r="B26" t="s">
        <v>57</v>
      </c>
      <c r="C26" t="s">
        <v>67</v>
      </c>
      <c r="D26" t="s">
        <v>214</v>
      </c>
      <c r="E26" t="s">
        <v>236</v>
      </c>
      <c r="G26" t="s">
        <v>600</v>
      </c>
      <c r="H26" t="s">
        <v>1347</v>
      </c>
      <c r="J26" t="s">
        <v>2080</v>
      </c>
      <c r="K26" t="s">
        <v>3009</v>
      </c>
      <c r="L26" t="s">
        <v>3329</v>
      </c>
      <c r="M26" t="s">
        <v>3379</v>
      </c>
      <c r="N26">
        <v>10467</v>
      </c>
      <c r="O26" t="s">
        <v>3380</v>
      </c>
      <c r="P26" t="s">
        <v>3381</v>
      </c>
      <c r="Q26" t="s">
        <v>3384</v>
      </c>
      <c r="R26" t="s">
        <v>3424</v>
      </c>
      <c r="S26">
        <v>4</v>
      </c>
      <c r="T26" t="s">
        <v>4196</v>
      </c>
      <c r="W26" t="s">
        <v>4239</v>
      </c>
      <c r="X26" t="s">
        <v>3382</v>
      </c>
      <c r="Y26" t="s">
        <v>3382</v>
      </c>
      <c r="AA26" t="s">
        <v>4256</v>
      </c>
      <c r="AC26">
        <v>0</v>
      </c>
      <c r="AD26">
        <v>1531</v>
      </c>
      <c r="AE26">
        <v>4</v>
      </c>
      <c r="AG26" t="s">
        <v>4304</v>
      </c>
      <c r="AJ26">
        <v>60</v>
      </c>
      <c r="AK26" t="s">
        <v>6267</v>
      </c>
      <c r="AL26">
        <v>2</v>
      </c>
      <c r="AM26">
        <v>1</v>
      </c>
      <c r="AN26">
        <v>159.44</v>
      </c>
      <c r="AS26" t="s">
        <v>6299</v>
      </c>
      <c r="AT26">
        <v>34008</v>
      </c>
      <c r="AX26" t="s">
        <v>6387</v>
      </c>
      <c r="BA26" t="s">
        <v>6477</v>
      </c>
      <c r="BD26" t="s">
        <v>305</v>
      </c>
      <c r="BE26" t="s">
        <v>6702</v>
      </c>
    </row>
    <row r="27" spans="1:57">
      <c r="A27" s="1">
        <f>HYPERLINK("https://lsnyc.legalserver.org/matter/dynamic-profile/view/1915010","19-1915010")</f>
        <v>0</v>
      </c>
      <c r="B27" t="s">
        <v>57</v>
      </c>
      <c r="C27" t="s">
        <v>67</v>
      </c>
      <c r="D27" t="s">
        <v>214</v>
      </c>
      <c r="E27" t="s">
        <v>237</v>
      </c>
      <c r="G27" t="s">
        <v>605</v>
      </c>
      <c r="H27" t="s">
        <v>1348</v>
      </c>
      <c r="J27" t="s">
        <v>2081</v>
      </c>
      <c r="K27" t="s">
        <v>3010</v>
      </c>
      <c r="L27" t="s">
        <v>3329</v>
      </c>
      <c r="M27" t="s">
        <v>3379</v>
      </c>
      <c r="N27">
        <v>10467</v>
      </c>
      <c r="O27" t="s">
        <v>3381</v>
      </c>
      <c r="P27" t="s">
        <v>3381</v>
      </c>
      <c r="Q27" t="s">
        <v>3387</v>
      </c>
      <c r="S27">
        <v>5</v>
      </c>
      <c r="T27" t="s">
        <v>4196</v>
      </c>
      <c r="W27" t="s">
        <v>4238</v>
      </c>
      <c r="X27" t="s">
        <v>3382</v>
      </c>
      <c r="Y27" t="s">
        <v>3380</v>
      </c>
      <c r="AA27" t="s">
        <v>4256</v>
      </c>
      <c r="AC27">
        <v>0</v>
      </c>
      <c r="AD27">
        <v>1700</v>
      </c>
      <c r="AE27">
        <v>0</v>
      </c>
      <c r="AG27" t="s">
        <v>4305</v>
      </c>
      <c r="AH27" t="s">
        <v>5238</v>
      </c>
      <c r="AI27" t="s">
        <v>5398</v>
      </c>
      <c r="AJ27">
        <v>0</v>
      </c>
      <c r="AL27">
        <v>1</v>
      </c>
      <c r="AM27">
        <v>0</v>
      </c>
      <c r="AN27">
        <v>39.14</v>
      </c>
      <c r="AR27" t="s">
        <v>6292</v>
      </c>
      <c r="AS27" t="s">
        <v>6298</v>
      </c>
      <c r="AT27">
        <v>4888</v>
      </c>
      <c r="AX27" t="s">
        <v>6393</v>
      </c>
      <c r="BA27" t="s">
        <v>6484</v>
      </c>
      <c r="BE27" t="s">
        <v>6702</v>
      </c>
    </row>
    <row r="28" spans="1:57">
      <c r="A28" s="1">
        <f>HYPERLINK("https://lsnyc.legalserver.org/matter/dynamic-profile/view/1914263","19-1914263")</f>
        <v>0</v>
      </c>
      <c r="B28" t="s">
        <v>57</v>
      </c>
      <c r="C28" t="s">
        <v>67</v>
      </c>
      <c r="D28" t="s">
        <v>214</v>
      </c>
      <c r="E28" t="s">
        <v>230</v>
      </c>
      <c r="G28" t="s">
        <v>606</v>
      </c>
      <c r="H28" t="s">
        <v>1349</v>
      </c>
      <c r="J28" t="s">
        <v>2082</v>
      </c>
      <c r="K28">
        <v>3</v>
      </c>
      <c r="L28" t="s">
        <v>3329</v>
      </c>
      <c r="M28" t="s">
        <v>3379</v>
      </c>
      <c r="N28">
        <v>10462</v>
      </c>
      <c r="O28" t="s">
        <v>3380</v>
      </c>
      <c r="P28" t="s">
        <v>3381</v>
      </c>
      <c r="Q28" t="s">
        <v>3383</v>
      </c>
      <c r="R28" t="s">
        <v>3425</v>
      </c>
      <c r="S28">
        <v>14</v>
      </c>
      <c r="T28" t="s">
        <v>4197</v>
      </c>
      <c r="W28" t="s">
        <v>4238</v>
      </c>
      <c r="X28" t="s">
        <v>3382</v>
      </c>
      <c r="Y28" t="s">
        <v>3382</v>
      </c>
      <c r="AA28" t="s">
        <v>4256</v>
      </c>
      <c r="AC28">
        <v>0</v>
      </c>
      <c r="AD28">
        <v>1800</v>
      </c>
      <c r="AE28">
        <v>0.5</v>
      </c>
      <c r="AG28" t="s">
        <v>4306</v>
      </c>
      <c r="AI28" t="s">
        <v>5399</v>
      </c>
      <c r="AJ28">
        <v>3</v>
      </c>
      <c r="AK28" t="s">
        <v>6266</v>
      </c>
      <c r="AL28">
        <v>3</v>
      </c>
      <c r="AM28">
        <v>0</v>
      </c>
      <c r="AN28">
        <v>109.7</v>
      </c>
      <c r="AR28" t="s">
        <v>6290</v>
      </c>
      <c r="AS28" t="s">
        <v>6298</v>
      </c>
      <c r="AT28">
        <v>23400</v>
      </c>
      <c r="AX28" t="s">
        <v>6385</v>
      </c>
      <c r="BA28" t="s">
        <v>6485</v>
      </c>
      <c r="BD28" t="s">
        <v>230</v>
      </c>
      <c r="BE28" t="s">
        <v>6702</v>
      </c>
    </row>
    <row r="29" spans="1:57">
      <c r="A29" s="1">
        <f>HYPERLINK("https://lsnyc.legalserver.org/matter/dynamic-profile/view/1914200","19-1914200")</f>
        <v>0</v>
      </c>
      <c r="B29" t="s">
        <v>57</v>
      </c>
      <c r="C29" t="s">
        <v>67</v>
      </c>
      <c r="D29" t="s">
        <v>214</v>
      </c>
      <c r="E29" t="s">
        <v>230</v>
      </c>
      <c r="G29" t="s">
        <v>607</v>
      </c>
      <c r="H29" t="s">
        <v>1350</v>
      </c>
      <c r="J29" t="s">
        <v>2083</v>
      </c>
      <c r="K29" t="s">
        <v>2994</v>
      </c>
      <c r="L29" t="s">
        <v>3329</v>
      </c>
      <c r="M29" t="s">
        <v>3379</v>
      </c>
      <c r="N29">
        <v>10457</v>
      </c>
      <c r="O29" t="s">
        <v>3380</v>
      </c>
      <c r="P29" t="s">
        <v>3381</v>
      </c>
      <c r="Q29" t="s">
        <v>3383</v>
      </c>
      <c r="R29" t="s">
        <v>3426</v>
      </c>
      <c r="S29">
        <v>46</v>
      </c>
      <c r="T29" t="s">
        <v>4196</v>
      </c>
      <c r="W29" t="s">
        <v>4238</v>
      </c>
      <c r="X29" t="s">
        <v>3382</v>
      </c>
      <c r="Y29" t="s">
        <v>3382</v>
      </c>
      <c r="AA29" t="s">
        <v>4256</v>
      </c>
      <c r="AC29">
        <v>0</v>
      </c>
      <c r="AD29">
        <v>740</v>
      </c>
      <c r="AE29">
        <v>0.5</v>
      </c>
      <c r="AG29" t="s">
        <v>4307</v>
      </c>
      <c r="AI29" t="s">
        <v>5400</v>
      </c>
      <c r="AJ29">
        <v>67</v>
      </c>
      <c r="AK29" t="s">
        <v>6267</v>
      </c>
      <c r="AL29">
        <v>1</v>
      </c>
      <c r="AM29">
        <v>0</v>
      </c>
      <c r="AN29">
        <v>11.35</v>
      </c>
      <c r="AR29" t="s">
        <v>5312</v>
      </c>
      <c r="AS29" t="s">
        <v>6298</v>
      </c>
      <c r="AT29">
        <v>1417.2</v>
      </c>
      <c r="AX29" t="s">
        <v>6385</v>
      </c>
      <c r="BA29" t="s">
        <v>6478</v>
      </c>
      <c r="BD29" t="s">
        <v>230</v>
      </c>
      <c r="BE29" t="s">
        <v>6702</v>
      </c>
    </row>
    <row r="30" spans="1:57">
      <c r="A30" s="1">
        <f>HYPERLINK("https://lsnyc.legalserver.org/matter/dynamic-profile/view/1910007","19-1910007")</f>
        <v>0</v>
      </c>
      <c r="B30" t="s">
        <v>57</v>
      </c>
      <c r="C30" t="s">
        <v>67</v>
      </c>
      <c r="D30" t="s">
        <v>214</v>
      </c>
      <c r="E30" t="s">
        <v>238</v>
      </c>
      <c r="G30" t="s">
        <v>608</v>
      </c>
      <c r="H30" t="s">
        <v>1351</v>
      </c>
      <c r="J30" t="s">
        <v>2084</v>
      </c>
      <c r="L30" t="s">
        <v>3329</v>
      </c>
      <c r="M30" t="s">
        <v>3379</v>
      </c>
      <c r="N30">
        <v>10457</v>
      </c>
      <c r="O30" t="s">
        <v>3380</v>
      </c>
      <c r="P30" t="s">
        <v>3381</v>
      </c>
      <c r="Q30" t="s">
        <v>3383</v>
      </c>
      <c r="R30" t="s">
        <v>3427</v>
      </c>
      <c r="S30">
        <v>20</v>
      </c>
      <c r="U30" t="s">
        <v>4224</v>
      </c>
      <c r="W30" t="s">
        <v>4238</v>
      </c>
      <c r="X30" t="s">
        <v>3382</v>
      </c>
      <c r="Y30" t="s">
        <v>3382</v>
      </c>
      <c r="AA30" t="s">
        <v>4256</v>
      </c>
      <c r="AC30">
        <v>0</v>
      </c>
      <c r="AD30">
        <v>1036</v>
      </c>
      <c r="AE30">
        <v>0.5</v>
      </c>
      <c r="AG30" t="s">
        <v>4308</v>
      </c>
      <c r="AJ30">
        <v>36</v>
      </c>
      <c r="AK30" t="s">
        <v>6266</v>
      </c>
      <c r="AL30">
        <v>1</v>
      </c>
      <c r="AM30">
        <v>0</v>
      </c>
      <c r="AN30">
        <v>230.02</v>
      </c>
      <c r="AR30" t="s">
        <v>5312</v>
      </c>
      <c r="AS30" t="s">
        <v>6298</v>
      </c>
      <c r="AT30">
        <v>28730</v>
      </c>
      <c r="AW30" t="s">
        <v>6325</v>
      </c>
      <c r="AX30" t="s">
        <v>6385</v>
      </c>
      <c r="BA30" t="s">
        <v>6477</v>
      </c>
      <c r="BD30" t="s">
        <v>238</v>
      </c>
      <c r="BE30" t="s">
        <v>6702</v>
      </c>
    </row>
    <row r="31" spans="1:57">
      <c r="A31" s="1">
        <f>HYPERLINK("https://lsnyc.legalserver.org/matter/dynamic-profile/view/1912050","19-1912050")</f>
        <v>0</v>
      </c>
      <c r="B31" t="s">
        <v>57</v>
      </c>
      <c r="C31" t="s">
        <v>67</v>
      </c>
      <c r="D31" t="s">
        <v>214</v>
      </c>
      <c r="E31" t="s">
        <v>216</v>
      </c>
      <c r="G31" t="s">
        <v>609</v>
      </c>
      <c r="H31" t="s">
        <v>1352</v>
      </c>
      <c r="J31" t="s">
        <v>2085</v>
      </c>
      <c r="K31" t="s">
        <v>3011</v>
      </c>
      <c r="L31" t="s">
        <v>3329</v>
      </c>
      <c r="M31" t="s">
        <v>3379</v>
      </c>
      <c r="N31">
        <v>10454</v>
      </c>
      <c r="O31" t="s">
        <v>3380</v>
      </c>
      <c r="P31" t="s">
        <v>3381</v>
      </c>
      <c r="Q31" t="s">
        <v>3384</v>
      </c>
      <c r="R31" t="s">
        <v>3428</v>
      </c>
      <c r="S31">
        <v>8</v>
      </c>
      <c r="T31" t="s">
        <v>4196</v>
      </c>
      <c r="W31" t="s">
        <v>4239</v>
      </c>
      <c r="X31" t="s">
        <v>3382</v>
      </c>
      <c r="Y31" t="s">
        <v>3382</v>
      </c>
      <c r="AA31" t="s">
        <v>4256</v>
      </c>
      <c r="AC31">
        <v>0</v>
      </c>
      <c r="AD31">
        <v>1250</v>
      </c>
      <c r="AE31">
        <v>0.5</v>
      </c>
      <c r="AG31" t="s">
        <v>4309</v>
      </c>
      <c r="AH31" t="s">
        <v>5239</v>
      </c>
      <c r="AI31" t="s">
        <v>5401</v>
      </c>
      <c r="AJ31">
        <v>43</v>
      </c>
      <c r="AK31" t="s">
        <v>6267</v>
      </c>
      <c r="AL31">
        <v>2</v>
      </c>
      <c r="AM31">
        <v>0</v>
      </c>
      <c r="AN31">
        <v>0</v>
      </c>
      <c r="AS31" t="s">
        <v>6298</v>
      </c>
      <c r="AT31">
        <v>0</v>
      </c>
      <c r="AX31" t="s">
        <v>6385</v>
      </c>
      <c r="BA31" t="s">
        <v>6486</v>
      </c>
      <c r="BD31" t="s">
        <v>216</v>
      </c>
      <c r="BE31" t="s">
        <v>6703</v>
      </c>
    </row>
    <row r="32" spans="1:57">
      <c r="A32" s="1">
        <f>HYPERLINK("https://lsnyc.legalserver.org/matter/dynamic-profile/view/1895862","19-1895862")</f>
        <v>0</v>
      </c>
      <c r="B32" t="s">
        <v>57</v>
      </c>
      <c r="C32" t="s">
        <v>67</v>
      </c>
      <c r="D32" t="s">
        <v>214</v>
      </c>
      <c r="E32" t="s">
        <v>239</v>
      </c>
      <c r="G32" t="s">
        <v>610</v>
      </c>
      <c r="H32" t="s">
        <v>1353</v>
      </c>
      <c r="J32" t="s">
        <v>2086</v>
      </c>
      <c r="K32">
        <v>14</v>
      </c>
      <c r="L32" t="s">
        <v>3329</v>
      </c>
      <c r="M32" t="s">
        <v>3379</v>
      </c>
      <c r="N32">
        <v>10451</v>
      </c>
      <c r="O32" t="s">
        <v>3380</v>
      </c>
      <c r="P32" t="s">
        <v>3380</v>
      </c>
      <c r="Q32" t="s">
        <v>3384</v>
      </c>
      <c r="R32" t="s">
        <v>3429</v>
      </c>
      <c r="S32">
        <v>45</v>
      </c>
      <c r="T32" t="s">
        <v>4196</v>
      </c>
      <c r="U32" t="s">
        <v>4225</v>
      </c>
      <c r="W32" t="s">
        <v>4239</v>
      </c>
      <c r="X32" t="s">
        <v>3382</v>
      </c>
      <c r="Y32" t="s">
        <v>3382</v>
      </c>
      <c r="AA32" t="s">
        <v>4256</v>
      </c>
      <c r="AC32">
        <v>0</v>
      </c>
      <c r="AD32">
        <v>998</v>
      </c>
      <c r="AE32">
        <v>6.5</v>
      </c>
      <c r="AG32" t="s">
        <v>4310</v>
      </c>
      <c r="AI32" t="s">
        <v>5402</v>
      </c>
      <c r="AJ32">
        <v>84</v>
      </c>
      <c r="AK32" t="s">
        <v>6266</v>
      </c>
      <c r="AL32">
        <v>2</v>
      </c>
      <c r="AM32">
        <v>0</v>
      </c>
      <c r="AN32">
        <v>30.29</v>
      </c>
      <c r="AQ32" t="s">
        <v>6287</v>
      </c>
      <c r="AR32" t="s">
        <v>5312</v>
      </c>
      <c r="AS32" t="s">
        <v>6298</v>
      </c>
      <c r="AT32">
        <v>5122</v>
      </c>
      <c r="AW32" t="s">
        <v>6326</v>
      </c>
      <c r="AX32" t="s">
        <v>6385</v>
      </c>
      <c r="BA32" t="s">
        <v>6478</v>
      </c>
      <c r="BD32" t="s">
        <v>341</v>
      </c>
      <c r="BE32" t="s">
        <v>6702</v>
      </c>
    </row>
    <row r="33" spans="1:57">
      <c r="A33" s="1">
        <f>HYPERLINK("https://lsnyc.legalserver.org/matter/dynamic-profile/view/1902055","19-1902055")</f>
        <v>0</v>
      </c>
      <c r="B33" t="s">
        <v>57</v>
      </c>
      <c r="C33" t="s">
        <v>68</v>
      </c>
      <c r="D33" t="s">
        <v>214</v>
      </c>
      <c r="E33" t="s">
        <v>240</v>
      </c>
      <c r="G33" t="s">
        <v>611</v>
      </c>
      <c r="H33" t="s">
        <v>737</v>
      </c>
      <c r="J33" t="s">
        <v>2087</v>
      </c>
      <c r="K33" t="s">
        <v>3012</v>
      </c>
      <c r="L33" t="s">
        <v>3329</v>
      </c>
      <c r="M33" t="s">
        <v>3379</v>
      </c>
      <c r="N33">
        <v>10472</v>
      </c>
      <c r="O33" t="s">
        <v>3382</v>
      </c>
      <c r="P33" t="s">
        <v>3381</v>
      </c>
      <c r="Q33" t="s">
        <v>3388</v>
      </c>
      <c r="R33" t="s">
        <v>3430</v>
      </c>
      <c r="S33">
        <v>40</v>
      </c>
      <c r="T33" t="s">
        <v>4199</v>
      </c>
      <c r="U33" t="s">
        <v>4223</v>
      </c>
      <c r="W33" t="s">
        <v>4239</v>
      </c>
      <c r="X33" t="s">
        <v>3382</v>
      </c>
      <c r="Y33" t="s">
        <v>3382</v>
      </c>
      <c r="AA33" t="s">
        <v>4258</v>
      </c>
      <c r="AB33" t="s">
        <v>4261</v>
      </c>
      <c r="AC33">
        <v>0</v>
      </c>
      <c r="AD33">
        <v>1000</v>
      </c>
      <c r="AE33">
        <v>8.9</v>
      </c>
      <c r="AG33" t="s">
        <v>4311</v>
      </c>
      <c r="AI33" t="s">
        <v>5403</v>
      </c>
      <c r="AJ33">
        <v>594</v>
      </c>
      <c r="AK33" t="s">
        <v>6270</v>
      </c>
      <c r="AL33">
        <v>1</v>
      </c>
      <c r="AM33">
        <v>0</v>
      </c>
      <c r="AN33">
        <v>324.74</v>
      </c>
      <c r="AR33" t="s">
        <v>5312</v>
      </c>
      <c r="AS33" t="s">
        <v>6298</v>
      </c>
      <c r="AT33">
        <v>40560</v>
      </c>
      <c r="AW33" t="s">
        <v>6327</v>
      </c>
      <c r="AX33" t="s">
        <v>68</v>
      </c>
      <c r="BA33" t="s">
        <v>6477</v>
      </c>
      <c r="BD33" t="s">
        <v>230</v>
      </c>
      <c r="BE33" t="s">
        <v>5312</v>
      </c>
    </row>
    <row r="34" spans="1:57">
      <c r="A34" s="1">
        <f>HYPERLINK("https://lsnyc.legalserver.org/matter/dynamic-profile/view/1891278","19-1891278")</f>
        <v>0</v>
      </c>
      <c r="B34" t="s">
        <v>57</v>
      </c>
      <c r="C34" t="s">
        <v>68</v>
      </c>
      <c r="D34" t="s">
        <v>214</v>
      </c>
      <c r="E34" t="s">
        <v>241</v>
      </c>
      <c r="G34" t="s">
        <v>612</v>
      </c>
      <c r="H34" t="s">
        <v>1354</v>
      </c>
      <c r="J34" t="s">
        <v>2088</v>
      </c>
      <c r="K34" t="s">
        <v>3013</v>
      </c>
      <c r="L34" t="s">
        <v>3329</v>
      </c>
      <c r="M34" t="s">
        <v>3379</v>
      </c>
      <c r="N34">
        <v>10468</v>
      </c>
      <c r="O34" t="s">
        <v>3380</v>
      </c>
      <c r="P34" t="s">
        <v>3380</v>
      </c>
      <c r="Q34" t="s">
        <v>3383</v>
      </c>
      <c r="R34" t="s">
        <v>3406</v>
      </c>
      <c r="S34">
        <v>21</v>
      </c>
      <c r="T34" t="s">
        <v>4199</v>
      </c>
      <c r="U34" t="s">
        <v>4223</v>
      </c>
      <c r="W34" t="s">
        <v>4239</v>
      </c>
      <c r="X34" t="s">
        <v>3382</v>
      </c>
      <c r="Y34" t="s">
        <v>3382</v>
      </c>
      <c r="AA34" t="s">
        <v>4256</v>
      </c>
      <c r="AB34" t="s">
        <v>4261</v>
      </c>
      <c r="AC34">
        <v>0</v>
      </c>
      <c r="AD34">
        <v>1007.45</v>
      </c>
      <c r="AE34">
        <v>17.95</v>
      </c>
      <c r="AG34" t="s">
        <v>4312</v>
      </c>
      <c r="AI34" t="s">
        <v>5404</v>
      </c>
      <c r="AJ34">
        <v>22</v>
      </c>
      <c r="AK34" t="s">
        <v>6267</v>
      </c>
      <c r="AL34">
        <v>3</v>
      </c>
      <c r="AM34">
        <v>1</v>
      </c>
      <c r="AN34">
        <v>33.69</v>
      </c>
      <c r="AQ34" t="s">
        <v>6286</v>
      </c>
      <c r="AR34" t="s">
        <v>6293</v>
      </c>
      <c r="AS34" t="s">
        <v>6298</v>
      </c>
      <c r="AT34">
        <v>8676</v>
      </c>
      <c r="AU34" t="s">
        <v>6316</v>
      </c>
      <c r="AW34" t="s">
        <v>6328</v>
      </c>
      <c r="AX34" t="s">
        <v>68</v>
      </c>
      <c r="BA34" t="s">
        <v>6482</v>
      </c>
      <c r="BD34" t="s">
        <v>219</v>
      </c>
      <c r="BE34" t="s">
        <v>6702</v>
      </c>
    </row>
    <row r="35" spans="1:57">
      <c r="A35" s="1">
        <f>HYPERLINK("https://lsnyc.legalserver.org/matter/dynamic-profile/view/1901962","19-1901962")</f>
        <v>0</v>
      </c>
      <c r="B35" t="s">
        <v>57</v>
      </c>
      <c r="C35" t="s">
        <v>68</v>
      </c>
      <c r="D35" t="s">
        <v>214</v>
      </c>
      <c r="E35" t="s">
        <v>242</v>
      </c>
      <c r="G35" t="s">
        <v>613</v>
      </c>
      <c r="H35" t="s">
        <v>1355</v>
      </c>
      <c r="J35" t="s">
        <v>2089</v>
      </c>
      <c r="L35" t="s">
        <v>3329</v>
      </c>
      <c r="M35" t="s">
        <v>3379</v>
      </c>
      <c r="N35">
        <v>10462</v>
      </c>
      <c r="O35" t="s">
        <v>3380</v>
      </c>
      <c r="P35" t="s">
        <v>3381</v>
      </c>
      <c r="Q35" t="s">
        <v>3389</v>
      </c>
      <c r="R35" t="s">
        <v>3431</v>
      </c>
      <c r="S35">
        <v>54</v>
      </c>
      <c r="T35" t="s">
        <v>4200</v>
      </c>
      <c r="U35" t="s">
        <v>4223</v>
      </c>
      <c r="W35" t="s">
        <v>4238</v>
      </c>
      <c r="X35" t="s">
        <v>3382</v>
      </c>
      <c r="Y35" t="s">
        <v>3382</v>
      </c>
      <c r="AA35" t="s">
        <v>4257</v>
      </c>
      <c r="AB35" t="s">
        <v>4261</v>
      </c>
      <c r="AC35">
        <v>0</v>
      </c>
      <c r="AD35">
        <v>1467</v>
      </c>
      <c r="AE35">
        <v>9.25</v>
      </c>
      <c r="AG35" t="s">
        <v>4313</v>
      </c>
      <c r="AI35" t="s">
        <v>5405</v>
      </c>
      <c r="AJ35">
        <v>2659</v>
      </c>
      <c r="AK35" t="s">
        <v>6269</v>
      </c>
      <c r="AL35">
        <v>1</v>
      </c>
      <c r="AM35">
        <v>0</v>
      </c>
      <c r="AN35">
        <v>136.43</v>
      </c>
      <c r="AS35" t="s">
        <v>6298</v>
      </c>
      <c r="AT35">
        <v>17040</v>
      </c>
      <c r="AX35" t="s">
        <v>68</v>
      </c>
      <c r="BA35" t="s">
        <v>6487</v>
      </c>
      <c r="BD35" t="s">
        <v>316</v>
      </c>
      <c r="BE35" t="s">
        <v>6702</v>
      </c>
    </row>
    <row r="36" spans="1:57">
      <c r="A36" s="1">
        <f>HYPERLINK("https://lsnyc.legalserver.org/matter/dynamic-profile/view/1913892","19-1913892")</f>
        <v>0</v>
      </c>
      <c r="B36" t="s">
        <v>57</v>
      </c>
      <c r="C36" t="s">
        <v>68</v>
      </c>
      <c r="D36" t="s">
        <v>214</v>
      </c>
      <c r="E36" t="s">
        <v>222</v>
      </c>
      <c r="G36" t="s">
        <v>614</v>
      </c>
      <c r="H36" t="s">
        <v>1356</v>
      </c>
      <c r="J36" t="s">
        <v>2090</v>
      </c>
      <c r="K36" t="s">
        <v>3014</v>
      </c>
      <c r="L36" t="s">
        <v>3329</v>
      </c>
      <c r="M36" t="s">
        <v>3379</v>
      </c>
      <c r="N36">
        <v>10458</v>
      </c>
      <c r="O36" t="s">
        <v>3382</v>
      </c>
      <c r="P36" t="s">
        <v>3381</v>
      </c>
      <c r="Q36" t="s">
        <v>3386</v>
      </c>
      <c r="R36" t="s">
        <v>3432</v>
      </c>
      <c r="S36">
        <v>10</v>
      </c>
      <c r="T36" t="s">
        <v>4196</v>
      </c>
      <c r="U36" t="s">
        <v>4223</v>
      </c>
      <c r="W36" t="s">
        <v>4239</v>
      </c>
      <c r="X36" t="s">
        <v>3382</v>
      </c>
      <c r="Y36" t="s">
        <v>3382</v>
      </c>
      <c r="AA36" t="s">
        <v>4256</v>
      </c>
      <c r="AB36" t="s">
        <v>4261</v>
      </c>
      <c r="AC36">
        <v>0</v>
      </c>
      <c r="AD36">
        <v>263</v>
      </c>
      <c r="AE36">
        <v>1.75</v>
      </c>
      <c r="AG36" t="s">
        <v>4314</v>
      </c>
      <c r="AI36" t="s">
        <v>5406</v>
      </c>
      <c r="AJ36">
        <v>0</v>
      </c>
      <c r="AK36" t="s">
        <v>6267</v>
      </c>
      <c r="AL36">
        <v>2</v>
      </c>
      <c r="AM36">
        <v>0</v>
      </c>
      <c r="AN36">
        <v>10.92</v>
      </c>
      <c r="AR36" t="s">
        <v>6291</v>
      </c>
      <c r="AS36" t="s">
        <v>6299</v>
      </c>
      <c r="AT36">
        <v>1846</v>
      </c>
      <c r="AX36" t="s">
        <v>68</v>
      </c>
      <c r="BA36" t="s">
        <v>6478</v>
      </c>
      <c r="BD36" t="s">
        <v>227</v>
      </c>
      <c r="BE36" t="s">
        <v>5312</v>
      </c>
    </row>
    <row r="37" spans="1:57">
      <c r="A37" s="1">
        <f>HYPERLINK("https://lsnyc.legalserver.org/matter/dynamic-profile/view/1914527","19-1914527")</f>
        <v>0</v>
      </c>
      <c r="B37" t="s">
        <v>57</v>
      </c>
      <c r="C37" t="s">
        <v>68</v>
      </c>
      <c r="D37" t="s">
        <v>214</v>
      </c>
      <c r="E37" t="s">
        <v>227</v>
      </c>
      <c r="G37" t="s">
        <v>615</v>
      </c>
      <c r="H37" t="s">
        <v>1357</v>
      </c>
      <c r="J37" t="s">
        <v>2091</v>
      </c>
      <c r="L37" t="s">
        <v>3330</v>
      </c>
      <c r="M37" t="s">
        <v>3379</v>
      </c>
      <c r="N37">
        <v>10038</v>
      </c>
      <c r="O37" t="s">
        <v>3380</v>
      </c>
      <c r="P37" t="s">
        <v>3381</v>
      </c>
      <c r="Q37" t="s">
        <v>3384</v>
      </c>
      <c r="R37" t="s">
        <v>3433</v>
      </c>
      <c r="S37">
        <v>4</v>
      </c>
      <c r="T37" t="s">
        <v>4197</v>
      </c>
      <c r="U37" t="s">
        <v>4224</v>
      </c>
      <c r="W37" t="s">
        <v>4238</v>
      </c>
      <c r="X37" t="s">
        <v>3382</v>
      </c>
      <c r="Y37" t="s">
        <v>3382</v>
      </c>
      <c r="AA37" t="s">
        <v>4256</v>
      </c>
      <c r="AB37" t="s">
        <v>4263</v>
      </c>
      <c r="AC37">
        <v>0</v>
      </c>
      <c r="AD37">
        <v>650</v>
      </c>
      <c r="AE37">
        <v>0</v>
      </c>
      <c r="AG37" t="s">
        <v>4315</v>
      </c>
      <c r="AI37" t="s">
        <v>5407</v>
      </c>
      <c r="AJ37">
        <v>43</v>
      </c>
      <c r="AK37" t="s">
        <v>6268</v>
      </c>
      <c r="AL37">
        <v>2</v>
      </c>
      <c r="AM37">
        <v>0</v>
      </c>
      <c r="AN37">
        <v>68.2</v>
      </c>
      <c r="AS37" t="s">
        <v>6298</v>
      </c>
      <c r="AT37">
        <v>11532</v>
      </c>
      <c r="AX37" t="s">
        <v>6387</v>
      </c>
      <c r="BA37" t="s">
        <v>6488</v>
      </c>
      <c r="BE37" t="s">
        <v>6702</v>
      </c>
    </row>
    <row r="38" spans="1:57">
      <c r="A38" s="1">
        <f>HYPERLINK("https://lsnyc.legalserver.org/matter/dynamic-profile/view/1909893","19-1909893")</f>
        <v>0</v>
      </c>
      <c r="B38" t="s">
        <v>57</v>
      </c>
      <c r="C38" t="s">
        <v>69</v>
      </c>
      <c r="D38" t="s">
        <v>214</v>
      </c>
      <c r="E38" t="s">
        <v>238</v>
      </c>
      <c r="G38" t="s">
        <v>616</v>
      </c>
      <c r="H38" t="s">
        <v>1358</v>
      </c>
      <c r="J38" t="s">
        <v>2092</v>
      </c>
      <c r="K38" t="s">
        <v>3015</v>
      </c>
      <c r="L38" t="s">
        <v>3329</v>
      </c>
      <c r="M38" t="s">
        <v>3379</v>
      </c>
      <c r="N38">
        <v>10474</v>
      </c>
      <c r="O38" t="s">
        <v>3380</v>
      </c>
      <c r="P38" t="s">
        <v>3381</v>
      </c>
      <c r="Q38" t="s">
        <v>3390</v>
      </c>
      <c r="R38" t="s">
        <v>3434</v>
      </c>
      <c r="S38">
        <v>12</v>
      </c>
      <c r="T38" t="s">
        <v>4197</v>
      </c>
      <c r="U38" t="s">
        <v>4223</v>
      </c>
      <c r="W38" t="s">
        <v>4239</v>
      </c>
      <c r="X38" t="s">
        <v>3382</v>
      </c>
      <c r="Y38" t="s">
        <v>3382</v>
      </c>
      <c r="AA38" t="s">
        <v>4256</v>
      </c>
      <c r="AB38" t="s">
        <v>4261</v>
      </c>
      <c r="AC38">
        <v>0</v>
      </c>
      <c r="AD38">
        <v>0</v>
      </c>
      <c r="AE38">
        <v>14.25</v>
      </c>
      <c r="AG38" t="s">
        <v>4316</v>
      </c>
      <c r="AI38" t="s">
        <v>5408</v>
      </c>
      <c r="AJ38">
        <v>0</v>
      </c>
      <c r="AK38" t="s">
        <v>6267</v>
      </c>
      <c r="AL38">
        <v>1</v>
      </c>
      <c r="AM38">
        <v>0</v>
      </c>
      <c r="AN38">
        <v>36.12</v>
      </c>
      <c r="AR38" t="s">
        <v>6292</v>
      </c>
      <c r="AT38">
        <v>4512</v>
      </c>
      <c r="AX38" t="s">
        <v>99</v>
      </c>
      <c r="BA38" t="s">
        <v>6483</v>
      </c>
      <c r="BD38" t="s">
        <v>316</v>
      </c>
      <c r="BE38" t="s">
        <v>6702</v>
      </c>
    </row>
    <row r="39" spans="1:57">
      <c r="A39" s="1">
        <f>HYPERLINK("https://lsnyc.legalserver.org/matter/dynamic-profile/view/1912460","19-1912460")</f>
        <v>0</v>
      </c>
      <c r="B39" t="s">
        <v>57</v>
      </c>
      <c r="C39" t="s">
        <v>69</v>
      </c>
      <c r="D39" t="s">
        <v>214</v>
      </c>
      <c r="E39" t="s">
        <v>216</v>
      </c>
      <c r="G39" t="s">
        <v>617</v>
      </c>
      <c r="H39" t="s">
        <v>1359</v>
      </c>
      <c r="J39" t="s">
        <v>2093</v>
      </c>
      <c r="K39">
        <v>33</v>
      </c>
      <c r="L39" t="s">
        <v>3329</v>
      </c>
      <c r="M39" t="s">
        <v>3379</v>
      </c>
      <c r="N39">
        <v>10468</v>
      </c>
      <c r="O39" t="s">
        <v>3380</v>
      </c>
      <c r="P39" t="s">
        <v>3381</v>
      </c>
      <c r="Q39" t="s">
        <v>3383</v>
      </c>
      <c r="R39" t="s">
        <v>3435</v>
      </c>
      <c r="S39">
        <v>20</v>
      </c>
      <c r="T39" t="s">
        <v>4196</v>
      </c>
      <c r="U39" t="s">
        <v>4223</v>
      </c>
      <c r="W39" t="s">
        <v>4238</v>
      </c>
      <c r="X39" t="s">
        <v>3382</v>
      </c>
      <c r="Y39" t="s">
        <v>3382</v>
      </c>
      <c r="AA39" t="s">
        <v>4256</v>
      </c>
      <c r="AB39" t="s">
        <v>4261</v>
      </c>
      <c r="AC39">
        <v>0</v>
      </c>
      <c r="AD39">
        <v>701</v>
      </c>
      <c r="AE39">
        <v>7.25</v>
      </c>
      <c r="AG39" t="s">
        <v>4317</v>
      </c>
      <c r="AI39" t="s">
        <v>5409</v>
      </c>
      <c r="AJ39">
        <v>28</v>
      </c>
      <c r="AK39" t="s">
        <v>6267</v>
      </c>
      <c r="AL39">
        <v>2</v>
      </c>
      <c r="AM39">
        <v>2</v>
      </c>
      <c r="AN39">
        <v>32.62</v>
      </c>
      <c r="AR39" t="s">
        <v>5312</v>
      </c>
      <c r="AS39" t="s">
        <v>6299</v>
      </c>
      <c r="AT39">
        <v>8400</v>
      </c>
      <c r="AX39" t="s">
        <v>99</v>
      </c>
      <c r="BA39" t="s">
        <v>6482</v>
      </c>
      <c r="BD39" t="s">
        <v>231</v>
      </c>
      <c r="BE39" t="s">
        <v>6702</v>
      </c>
    </row>
    <row r="40" spans="1:57">
      <c r="A40" s="1">
        <f>HYPERLINK("https://lsnyc.legalserver.org/matter/dynamic-profile/view/1915037","19-1915037")</f>
        <v>0</v>
      </c>
      <c r="B40" t="s">
        <v>57</v>
      </c>
      <c r="C40" t="s">
        <v>69</v>
      </c>
      <c r="D40" t="s">
        <v>214</v>
      </c>
      <c r="E40" t="s">
        <v>243</v>
      </c>
      <c r="G40" t="s">
        <v>618</v>
      </c>
      <c r="H40" t="s">
        <v>1360</v>
      </c>
      <c r="J40" t="s">
        <v>2094</v>
      </c>
      <c r="K40" t="s">
        <v>3016</v>
      </c>
      <c r="L40" t="s">
        <v>3329</v>
      </c>
      <c r="M40" t="s">
        <v>3379</v>
      </c>
      <c r="N40">
        <v>10468</v>
      </c>
      <c r="O40" t="s">
        <v>3380</v>
      </c>
      <c r="P40" t="s">
        <v>3381</v>
      </c>
      <c r="Q40" t="s">
        <v>3383</v>
      </c>
      <c r="R40" t="s">
        <v>3436</v>
      </c>
      <c r="S40">
        <v>2</v>
      </c>
      <c r="T40" t="s">
        <v>4196</v>
      </c>
      <c r="U40" t="s">
        <v>4223</v>
      </c>
      <c r="W40" t="s">
        <v>4238</v>
      </c>
      <c r="X40" t="s">
        <v>3382</v>
      </c>
      <c r="AA40" t="s">
        <v>4256</v>
      </c>
      <c r="AC40">
        <v>0</v>
      </c>
      <c r="AD40">
        <v>1500</v>
      </c>
      <c r="AE40">
        <v>1</v>
      </c>
      <c r="AG40" t="s">
        <v>4318</v>
      </c>
      <c r="AI40" t="s">
        <v>5410</v>
      </c>
      <c r="AJ40">
        <v>0</v>
      </c>
      <c r="AK40" t="s">
        <v>6268</v>
      </c>
      <c r="AL40">
        <v>1</v>
      </c>
      <c r="AM40">
        <v>2</v>
      </c>
      <c r="AN40">
        <v>108.97</v>
      </c>
      <c r="AS40" t="s">
        <v>6299</v>
      </c>
      <c r="AT40">
        <v>23244</v>
      </c>
      <c r="AX40" t="s">
        <v>99</v>
      </c>
      <c r="BA40" t="s">
        <v>6489</v>
      </c>
      <c r="BD40" t="s">
        <v>231</v>
      </c>
      <c r="BE40" t="s">
        <v>6702</v>
      </c>
    </row>
    <row r="41" spans="1:57">
      <c r="A41" s="1">
        <f>HYPERLINK("https://lsnyc.legalserver.org/matter/dynamic-profile/view/1900694","19-1900694")</f>
        <v>0</v>
      </c>
      <c r="B41" t="s">
        <v>57</v>
      </c>
      <c r="C41" t="s">
        <v>69</v>
      </c>
      <c r="D41" t="s">
        <v>214</v>
      </c>
      <c r="E41" t="s">
        <v>244</v>
      </c>
      <c r="G41" t="s">
        <v>619</v>
      </c>
      <c r="H41" t="s">
        <v>1361</v>
      </c>
      <c r="J41" t="s">
        <v>2095</v>
      </c>
      <c r="K41">
        <v>1</v>
      </c>
      <c r="L41" t="s">
        <v>3329</v>
      </c>
      <c r="M41" t="s">
        <v>3379</v>
      </c>
      <c r="N41">
        <v>10467</v>
      </c>
      <c r="O41" t="s">
        <v>3380</v>
      </c>
      <c r="P41" t="s">
        <v>3381</v>
      </c>
      <c r="Q41" t="s">
        <v>3383</v>
      </c>
      <c r="R41" t="s">
        <v>3437</v>
      </c>
      <c r="S41">
        <v>1</v>
      </c>
      <c r="T41" t="s">
        <v>4196</v>
      </c>
      <c r="U41" t="s">
        <v>4223</v>
      </c>
      <c r="W41" t="s">
        <v>4238</v>
      </c>
      <c r="X41" t="s">
        <v>3382</v>
      </c>
      <c r="Y41" t="s">
        <v>3382</v>
      </c>
      <c r="AA41" t="s">
        <v>4256</v>
      </c>
      <c r="AC41">
        <v>0</v>
      </c>
      <c r="AD41">
        <v>2500</v>
      </c>
      <c r="AE41">
        <v>8.75</v>
      </c>
      <c r="AG41" t="s">
        <v>4319</v>
      </c>
      <c r="AI41" t="s">
        <v>5411</v>
      </c>
      <c r="AJ41">
        <v>2</v>
      </c>
      <c r="AK41" t="s">
        <v>6268</v>
      </c>
      <c r="AL41">
        <v>2</v>
      </c>
      <c r="AM41">
        <v>0</v>
      </c>
      <c r="AN41">
        <v>92.25</v>
      </c>
      <c r="AR41" t="s">
        <v>5312</v>
      </c>
      <c r="AS41" t="s">
        <v>6299</v>
      </c>
      <c r="AT41">
        <v>15600</v>
      </c>
      <c r="AX41" t="s">
        <v>99</v>
      </c>
      <c r="BA41" t="s">
        <v>3391</v>
      </c>
      <c r="BD41" t="s">
        <v>341</v>
      </c>
      <c r="BE41" t="s">
        <v>6702</v>
      </c>
    </row>
    <row r="42" spans="1:57">
      <c r="A42" s="1">
        <f>HYPERLINK("https://lsnyc.legalserver.org/matter/dynamic-profile/view/1910418","19-1910418")</f>
        <v>0</v>
      </c>
      <c r="B42" t="s">
        <v>57</v>
      </c>
      <c r="C42" t="s">
        <v>69</v>
      </c>
      <c r="D42" t="s">
        <v>214</v>
      </c>
      <c r="E42" t="s">
        <v>245</v>
      </c>
      <c r="G42" t="s">
        <v>620</v>
      </c>
      <c r="H42" t="s">
        <v>1349</v>
      </c>
      <c r="J42" t="s">
        <v>2096</v>
      </c>
      <c r="K42" t="s">
        <v>3017</v>
      </c>
      <c r="L42" t="s">
        <v>3329</v>
      </c>
      <c r="M42" t="s">
        <v>3379</v>
      </c>
      <c r="N42">
        <v>10467</v>
      </c>
      <c r="O42" t="s">
        <v>3380</v>
      </c>
      <c r="P42" t="s">
        <v>3381</v>
      </c>
      <c r="Q42" t="s">
        <v>3383</v>
      </c>
      <c r="R42" t="s">
        <v>3438</v>
      </c>
      <c r="S42">
        <v>2</v>
      </c>
      <c r="T42" t="s">
        <v>4196</v>
      </c>
      <c r="U42" t="s">
        <v>4223</v>
      </c>
      <c r="W42" t="s">
        <v>4238</v>
      </c>
      <c r="X42" t="s">
        <v>3382</v>
      </c>
      <c r="Y42" t="s">
        <v>3382</v>
      </c>
      <c r="AA42" t="s">
        <v>4256</v>
      </c>
      <c r="AB42" t="s">
        <v>4261</v>
      </c>
      <c r="AC42">
        <v>0</v>
      </c>
      <c r="AD42">
        <v>1200</v>
      </c>
      <c r="AE42">
        <v>7.2</v>
      </c>
      <c r="AG42" t="s">
        <v>4320</v>
      </c>
      <c r="AI42" t="s">
        <v>5412</v>
      </c>
      <c r="AJ42">
        <v>0</v>
      </c>
      <c r="AK42" t="s">
        <v>6267</v>
      </c>
      <c r="AL42">
        <v>2</v>
      </c>
      <c r="AM42">
        <v>1</v>
      </c>
      <c r="AN42">
        <v>99.28</v>
      </c>
      <c r="AR42" t="s">
        <v>5312</v>
      </c>
      <c r="AS42" t="s">
        <v>6299</v>
      </c>
      <c r="AT42">
        <v>21177</v>
      </c>
      <c r="AX42" t="s">
        <v>99</v>
      </c>
      <c r="BA42" t="s">
        <v>6480</v>
      </c>
      <c r="BD42" t="s">
        <v>231</v>
      </c>
      <c r="BE42" t="s">
        <v>6702</v>
      </c>
    </row>
    <row r="43" spans="1:57">
      <c r="A43" s="1">
        <f>HYPERLINK("https://lsnyc.legalserver.org/matter/dynamic-profile/view/1912809","19-1912809")</f>
        <v>0</v>
      </c>
      <c r="B43" t="s">
        <v>57</v>
      </c>
      <c r="C43" t="s">
        <v>69</v>
      </c>
      <c r="D43" t="s">
        <v>214</v>
      </c>
      <c r="E43" t="s">
        <v>246</v>
      </c>
      <c r="G43" t="s">
        <v>621</v>
      </c>
      <c r="H43" t="s">
        <v>1362</v>
      </c>
      <c r="J43" t="s">
        <v>2097</v>
      </c>
      <c r="K43" t="s">
        <v>3018</v>
      </c>
      <c r="L43" t="s">
        <v>3329</v>
      </c>
      <c r="M43" t="s">
        <v>3379</v>
      </c>
      <c r="N43">
        <v>10467</v>
      </c>
      <c r="O43" t="s">
        <v>3380</v>
      </c>
      <c r="P43" t="s">
        <v>3381</v>
      </c>
      <c r="Q43" t="s">
        <v>3383</v>
      </c>
      <c r="R43" t="s">
        <v>3439</v>
      </c>
      <c r="S43">
        <v>29</v>
      </c>
      <c r="T43" t="s">
        <v>4196</v>
      </c>
      <c r="U43" t="s">
        <v>4223</v>
      </c>
      <c r="W43" t="s">
        <v>4238</v>
      </c>
      <c r="X43" t="s">
        <v>3382</v>
      </c>
      <c r="Y43" t="s">
        <v>3382</v>
      </c>
      <c r="AA43" t="s">
        <v>4256</v>
      </c>
      <c r="AB43" t="s">
        <v>4261</v>
      </c>
      <c r="AC43">
        <v>0</v>
      </c>
      <c r="AD43">
        <v>1096.38</v>
      </c>
      <c r="AE43">
        <v>8.949999999999999</v>
      </c>
      <c r="AG43" t="s">
        <v>4321</v>
      </c>
      <c r="AI43" t="s">
        <v>5413</v>
      </c>
      <c r="AJ43">
        <v>43</v>
      </c>
      <c r="AK43" t="s">
        <v>6267</v>
      </c>
      <c r="AL43">
        <v>1</v>
      </c>
      <c r="AM43">
        <v>0</v>
      </c>
      <c r="AN43">
        <v>163.62</v>
      </c>
      <c r="AR43" t="s">
        <v>5312</v>
      </c>
      <c r="AS43" t="s">
        <v>6298</v>
      </c>
      <c r="AT43">
        <v>20436</v>
      </c>
      <c r="AX43" t="s">
        <v>99</v>
      </c>
      <c r="BA43" t="s">
        <v>6485</v>
      </c>
      <c r="BD43" t="s">
        <v>218</v>
      </c>
      <c r="BE43" t="s">
        <v>6702</v>
      </c>
    </row>
    <row r="44" spans="1:57">
      <c r="A44" s="1">
        <f>HYPERLINK("https://lsnyc.legalserver.org/matter/dynamic-profile/view/1915223","19-1915223")</f>
        <v>0</v>
      </c>
      <c r="B44" t="s">
        <v>57</v>
      </c>
      <c r="C44" t="s">
        <v>69</v>
      </c>
      <c r="D44" t="s">
        <v>214</v>
      </c>
      <c r="E44" t="s">
        <v>217</v>
      </c>
      <c r="G44" t="s">
        <v>622</v>
      </c>
      <c r="H44" t="s">
        <v>1363</v>
      </c>
      <c r="J44" t="s">
        <v>2098</v>
      </c>
      <c r="K44" t="s">
        <v>2995</v>
      </c>
      <c r="L44" t="s">
        <v>3329</v>
      </c>
      <c r="M44" t="s">
        <v>3379</v>
      </c>
      <c r="N44">
        <v>10467</v>
      </c>
      <c r="O44" t="s">
        <v>3380</v>
      </c>
      <c r="P44" t="s">
        <v>3381</v>
      </c>
      <c r="Q44" t="s">
        <v>3384</v>
      </c>
      <c r="R44" t="s">
        <v>3440</v>
      </c>
      <c r="S44">
        <v>9</v>
      </c>
      <c r="T44" t="s">
        <v>4196</v>
      </c>
      <c r="W44" t="s">
        <v>4238</v>
      </c>
      <c r="X44" t="s">
        <v>3382</v>
      </c>
      <c r="Y44" t="s">
        <v>3382</v>
      </c>
      <c r="AA44" t="s">
        <v>4256</v>
      </c>
      <c r="AC44">
        <v>0</v>
      </c>
      <c r="AD44">
        <v>980.9</v>
      </c>
      <c r="AE44">
        <v>1</v>
      </c>
      <c r="AG44" t="s">
        <v>4322</v>
      </c>
      <c r="AJ44">
        <v>54</v>
      </c>
      <c r="AK44" t="s">
        <v>6266</v>
      </c>
      <c r="AL44">
        <v>1</v>
      </c>
      <c r="AM44">
        <v>1</v>
      </c>
      <c r="AN44">
        <v>63.96</v>
      </c>
      <c r="AR44" t="s">
        <v>5312</v>
      </c>
      <c r="AS44" t="s">
        <v>6299</v>
      </c>
      <c r="AT44">
        <v>10816</v>
      </c>
      <c r="AX44" t="s">
        <v>6394</v>
      </c>
      <c r="BA44" t="s">
        <v>6473</v>
      </c>
      <c r="BD44" t="s">
        <v>231</v>
      </c>
      <c r="BE44" t="s">
        <v>6702</v>
      </c>
    </row>
    <row r="45" spans="1:57">
      <c r="A45" s="1">
        <f>HYPERLINK("https://lsnyc.legalserver.org/matter/dynamic-profile/view/1915294","19-1915294")</f>
        <v>0</v>
      </c>
      <c r="B45" t="s">
        <v>57</v>
      </c>
      <c r="C45" t="s">
        <v>69</v>
      </c>
      <c r="D45" t="s">
        <v>214</v>
      </c>
      <c r="E45" t="s">
        <v>217</v>
      </c>
      <c r="G45" t="s">
        <v>623</v>
      </c>
      <c r="H45" t="s">
        <v>1364</v>
      </c>
      <c r="J45" t="s">
        <v>2099</v>
      </c>
      <c r="K45" t="s">
        <v>3019</v>
      </c>
      <c r="L45" t="s">
        <v>3329</v>
      </c>
      <c r="M45" t="s">
        <v>3379</v>
      </c>
      <c r="N45">
        <v>10463</v>
      </c>
      <c r="O45" t="s">
        <v>3380</v>
      </c>
      <c r="P45" t="s">
        <v>3381</v>
      </c>
      <c r="Q45" t="s">
        <v>3387</v>
      </c>
      <c r="S45">
        <v>4</v>
      </c>
      <c r="T45" t="s">
        <v>4196</v>
      </c>
      <c r="W45" t="s">
        <v>4238</v>
      </c>
      <c r="X45" t="s">
        <v>3382</v>
      </c>
      <c r="Y45" t="s">
        <v>3382</v>
      </c>
      <c r="AA45" t="s">
        <v>4256</v>
      </c>
      <c r="AC45">
        <v>0</v>
      </c>
      <c r="AD45">
        <v>2750</v>
      </c>
      <c r="AE45">
        <v>5.4</v>
      </c>
      <c r="AG45" t="s">
        <v>4323</v>
      </c>
      <c r="AI45" t="s">
        <v>5414</v>
      </c>
      <c r="AJ45">
        <v>86</v>
      </c>
      <c r="AK45" t="s">
        <v>6267</v>
      </c>
      <c r="AL45">
        <v>2</v>
      </c>
      <c r="AM45">
        <v>0</v>
      </c>
      <c r="AN45">
        <v>389.52</v>
      </c>
      <c r="AS45" t="s">
        <v>6298</v>
      </c>
      <c r="AT45">
        <v>65868</v>
      </c>
      <c r="AX45" t="s">
        <v>6393</v>
      </c>
      <c r="BA45" t="s">
        <v>6490</v>
      </c>
      <c r="BD45" t="s">
        <v>231</v>
      </c>
      <c r="BE45" t="s">
        <v>6702</v>
      </c>
    </row>
    <row r="46" spans="1:57">
      <c r="A46" s="1">
        <f>HYPERLINK("https://lsnyc.legalserver.org/matter/dynamic-profile/view/1906795","19-1906795")</f>
        <v>0</v>
      </c>
      <c r="B46" t="s">
        <v>57</v>
      </c>
      <c r="C46" t="s">
        <v>69</v>
      </c>
      <c r="D46" t="s">
        <v>215</v>
      </c>
      <c r="E46" t="s">
        <v>247</v>
      </c>
      <c r="F46" t="s">
        <v>328</v>
      </c>
      <c r="G46" t="s">
        <v>624</v>
      </c>
      <c r="H46" t="s">
        <v>1365</v>
      </c>
      <c r="J46" t="s">
        <v>2100</v>
      </c>
      <c r="K46" t="s">
        <v>3020</v>
      </c>
      <c r="L46" t="s">
        <v>3329</v>
      </c>
      <c r="M46" t="s">
        <v>3379</v>
      </c>
      <c r="N46">
        <v>10462</v>
      </c>
      <c r="O46" t="s">
        <v>3380</v>
      </c>
      <c r="P46" t="s">
        <v>3381</v>
      </c>
      <c r="Q46" t="s">
        <v>3389</v>
      </c>
      <c r="R46" t="s">
        <v>3441</v>
      </c>
      <c r="S46">
        <v>5</v>
      </c>
      <c r="T46" t="s">
        <v>4196</v>
      </c>
      <c r="U46" t="s">
        <v>4225</v>
      </c>
      <c r="V46" t="s">
        <v>4230</v>
      </c>
      <c r="W46" t="s">
        <v>4238</v>
      </c>
      <c r="X46" t="s">
        <v>3382</v>
      </c>
      <c r="Y46" t="s">
        <v>3382</v>
      </c>
      <c r="AA46" t="s">
        <v>4256</v>
      </c>
      <c r="AB46" t="s">
        <v>4264</v>
      </c>
      <c r="AC46">
        <v>0</v>
      </c>
      <c r="AD46">
        <v>1367</v>
      </c>
      <c r="AE46">
        <v>8.5</v>
      </c>
      <c r="AF46" t="s">
        <v>4268</v>
      </c>
      <c r="AG46" t="s">
        <v>4324</v>
      </c>
      <c r="AH46" t="s">
        <v>5240</v>
      </c>
      <c r="AI46" t="s">
        <v>5415</v>
      </c>
      <c r="AJ46">
        <v>92</v>
      </c>
      <c r="AK46" t="s">
        <v>6267</v>
      </c>
      <c r="AL46">
        <v>1</v>
      </c>
      <c r="AM46">
        <v>0</v>
      </c>
      <c r="AN46">
        <v>17.58</v>
      </c>
      <c r="AS46" t="s">
        <v>6298</v>
      </c>
      <c r="AT46">
        <v>2196</v>
      </c>
      <c r="AX46" t="s">
        <v>6395</v>
      </c>
      <c r="BA46" t="s">
        <v>6483</v>
      </c>
      <c r="BD46" t="s">
        <v>274</v>
      </c>
      <c r="BE46" t="s">
        <v>6703</v>
      </c>
    </row>
    <row r="47" spans="1:57">
      <c r="A47" s="1">
        <f>HYPERLINK("https://lsnyc.legalserver.org/matter/dynamic-profile/view/1912366","19-1912366")</f>
        <v>0</v>
      </c>
      <c r="B47" t="s">
        <v>57</v>
      </c>
      <c r="C47" t="s">
        <v>69</v>
      </c>
      <c r="D47" t="s">
        <v>214</v>
      </c>
      <c r="E47" t="s">
        <v>248</v>
      </c>
      <c r="G47" t="s">
        <v>625</v>
      </c>
      <c r="H47" t="s">
        <v>1366</v>
      </c>
      <c r="J47" t="s">
        <v>2101</v>
      </c>
      <c r="K47" t="s">
        <v>3021</v>
      </c>
      <c r="L47" t="s">
        <v>3329</v>
      </c>
      <c r="M47" t="s">
        <v>3379</v>
      </c>
      <c r="N47">
        <v>10458</v>
      </c>
      <c r="O47" t="s">
        <v>3380</v>
      </c>
      <c r="P47" t="s">
        <v>3381</v>
      </c>
      <c r="Q47" t="s">
        <v>3384</v>
      </c>
      <c r="R47" t="s">
        <v>3442</v>
      </c>
      <c r="S47">
        <v>3</v>
      </c>
      <c r="T47" t="s">
        <v>4196</v>
      </c>
      <c r="U47" t="s">
        <v>4223</v>
      </c>
      <c r="W47" t="s">
        <v>4239</v>
      </c>
      <c r="X47" t="s">
        <v>3382</v>
      </c>
      <c r="Y47" t="s">
        <v>3382</v>
      </c>
      <c r="AA47" t="s">
        <v>4256</v>
      </c>
      <c r="AB47" t="s">
        <v>4261</v>
      </c>
      <c r="AC47">
        <v>0</v>
      </c>
      <c r="AD47">
        <v>1230</v>
      </c>
      <c r="AE47">
        <v>5.45</v>
      </c>
      <c r="AG47" t="s">
        <v>4325</v>
      </c>
      <c r="AI47" t="s">
        <v>5416</v>
      </c>
      <c r="AJ47">
        <v>51</v>
      </c>
      <c r="AK47" t="s">
        <v>6267</v>
      </c>
      <c r="AL47">
        <v>1</v>
      </c>
      <c r="AM47">
        <v>2</v>
      </c>
      <c r="AN47">
        <v>87.77</v>
      </c>
      <c r="AS47" t="s">
        <v>6299</v>
      </c>
      <c r="AT47">
        <v>18722.08</v>
      </c>
      <c r="AX47" t="s">
        <v>6387</v>
      </c>
      <c r="BA47" t="s">
        <v>6477</v>
      </c>
      <c r="BD47" t="s">
        <v>237</v>
      </c>
      <c r="BE47" t="s">
        <v>6702</v>
      </c>
    </row>
    <row r="48" spans="1:57">
      <c r="A48" s="1">
        <f>HYPERLINK("https://lsnyc.legalserver.org/matter/dynamic-profile/view/1912013","19-1912013")</f>
        <v>0</v>
      </c>
      <c r="B48" t="s">
        <v>57</v>
      </c>
      <c r="C48" t="s">
        <v>69</v>
      </c>
      <c r="D48" t="s">
        <v>214</v>
      </c>
      <c r="E48" t="s">
        <v>221</v>
      </c>
      <c r="G48" t="s">
        <v>626</v>
      </c>
      <c r="H48" t="s">
        <v>1367</v>
      </c>
      <c r="J48" t="s">
        <v>2102</v>
      </c>
      <c r="K48">
        <v>1201</v>
      </c>
      <c r="L48" t="s">
        <v>3329</v>
      </c>
      <c r="M48" t="s">
        <v>3379</v>
      </c>
      <c r="N48">
        <v>10457</v>
      </c>
      <c r="O48" t="s">
        <v>3380</v>
      </c>
      <c r="P48" t="s">
        <v>3381</v>
      </c>
      <c r="Q48" t="s">
        <v>3383</v>
      </c>
      <c r="R48" t="s">
        <v>3443</v>
      </c>
      <c r="S48">
        <v>27</v>
      </c>
      <c r="T48" t="s">
        <v>4197</v>
      </c>
      <c r="U48" t="s">
        <v>4223</v>
      </c>
      <c r="W48" t="s">
        <v>4238</v>
      </c>
      <c r="X48" t="s">
        <v>3382</v>
      </c>
      <c r="Y48" t="s">
        <v>3382</v>
      </c>
      <c r="AA48" t="s">
        <v>4256</v>
      </c>
      <c r="AB48" t="s">
        <v>4261</v>
      </c>
      <c r="AC48">
        <v>0</v>
      </c>
      <c r="AD48">
        <v>275</v>
      </c>
      <c r="AE48">
        <v>5.15</v>
      </c>
      <c r="AG48" t="s">
        <v>4326</v>
      </c>
      <c r="AI48" t="s">
        <v>5417</v>
      </c>
      <c r="AJ48">
        <v>99</v>
      </c>
      <c r="AK48" t="s">
        <v>6271</v>
      </c>
      <c r="AL48">
        <v>3</v>
      </c>
      <c r="AM48">
        <v>0</v>
      </c>
      <c r="AN48">
        <v>13.28</v>
      </c>
      <c r="AR48" t="s">
        <v>6290</v>
      </c>
      <c r="AS48" t="s">
        <v>6298</v>
      </c>
      <c r="AT48">
        <v>2832</v>
      </c>
      <c r="AX48" t="s">
        <v>99</v>
      </c>
      <c r="BA48" t="s">
        <v>6483</v>
      </c>
      <c r="BD48" t="s">
        <v>224</v>
      </c>
      <c r="BE48" t="s">
        <v>6702</v>
      </c>
    </row>
    <row r="49" spans="1:57">
      <c r="A49" s="1">
        <f>HYPERLINK("https://lsnyc.legalserver.org/matter/dynamic-profile/view/1912001","19-1912001")</f>
        <v>0</v>
      </c>
      <c r="B49" t="s">
        <v>57</v>
      </c>
      <c r="C49" t="s">
        <v>69</v>
      </c>
      <c r="D49" t="s">
        <v>214</v>
      </c>
      <c r="E49" t="s">
        <v>221</v>
      </c>
      <c r="G49" t="s">
        <v>611</v>
      </c>
      <c r="H49" t="s">
        <v>1368</v>
      </c>
      <c r="J49" t="s">
        <v>2103</v>
      </c>
      <c r="K49" t="s">
        <v>3022</v>
      </c>
      <c r="L49" t="s">
        <v>3329</v>
      </c>
      <c r="M49" t="s">
        <v>3379</v>
      </c>
      <c r="N49">
        <v>10457</v>
      </c>
      <c r="O49" t="s">
        <v>3380</v>
      </c>
      <c r="P49" t="s">
        <v>3381</v>
      </c>
      <c r="Q49" t="s">
        <v>3383</v>
      </c>
      <c r="R49" t="s">
        <v>3444</v>
      </c>
      <c r="S49">
        <v>1</v>
      </c>
      <c r="T49" t="s">
        <v>4196</v>
      </c>
      <c r="U49" t="s">
        <v>4224</v>
      </c>
      <c r="W49" t="s">
        <v>4238</v>
      </c>
      <c r="X49" t="s">
        <v>3382</v>
      </c>
      <c r="Y49" t="s">
        <v>3382</v>
      </c>
      <c r="AA49" t="s">
        <v>4256</v>
      </c>
      <c r="AB49" t="s">
        <v>4264</v>
      </c>
      <c r="AC49">
        <v>0</v>
      </c>
      <c r="AD49">
        <v>1550</v>
      </c>
      <c r="AE49">
        <v>2.95</v>
      </c>
      <c r="AG49" t="s">
        <v>4327</v>
      </c>
      <c r="AI49" t="s">
        <v>5418</v>
      </c>
      <c r="AJ49">
        <v>42</v>
      </c>
      <c r="AK49" t="s">
        <v>6267</v>
      </c>
      <c r="AL49">
        <v>2</v>
      </c>
      <c r="AM49">
        <v>1</v>
      </c>
      <c r="AN49">
        <v>128.84</v>
      </c>
      <c r="AR49" t="s">
        <v>5312</v>
      </c>
      <c r="AS49" t="s">
        <v>6299</v>
      </c>
      <c r="AT49">
        <v>27482</v>
      </c>
      <c r="AX49" t="s">
        <v>99</v>
      </c>
      <c r="BA49" t="s">
        <v>6477</v>
      </c>
      <c r="BD49" t="s">
        <v>266</v>
      </c>
      <c r="BE49" t="s">
        <v>6702</v>
      </c>
    </row>
    <row r="50" spans="1:57">
      <c r="A50" s="1">
        <f>HYPERLINK("https://lsnyc.legalserver.org/matter/dynamic-profile/view/1913921","19-1913921")</f>
        <v>0</v>
      </c>
      <c r="B50" t="s">
        <v>57</v>
      </c>
      <c r="C50" t="s">
        <v>69</v>
      </c>
      <c r="D50" t="s">
        <v>214</v>
      </c>
      <c r="E50" t="s">
        <v>249</v>
      </c>
      <c r="G50" t="s">
        <v>627</v>
      </c>
      <c r="H50" t="s">
        <v>1369</v>
      </c>
      <c r="J50" t="s">
        <v>2104</v>
      </c>
      <c r="L50" t="s">
        <v>3329</v>
      </c>
      <c r="M50" t="s">
        <v>3379</v>
      </c>
      <c r="N50">
        <v>10457</v>
      </c>
      <c r="O50" t="s">
        <v>3380</v>
      </c>
      <c r="P50" t="s">
        <v>3381</v>
      </c>
      <c r="Q50" t="s">
        <v>3384</v>
      </c>
      <c r="R50" t="s">
        <v>3445</v>
      </c>
      <c r="S50">
        <v>8</v>
      </c>
      <c r="T50" t="s">
        <v>4196</v>
      </c>
      <c r="U50" t="s">
        <v>4223</v>
      </c>
      <c r="W50" t="s">
        <v>4238</v>
      </c>
      <c r="X50" t="s">
        <v>3382</v>
      </c>
      <c r="Y50" t="s">
        <v>3382</v>
      </c>
      <c r="AA50" t="s">
        <v>4256</v>
      </c>
      <c r="AC50">
        <v>0</v>
      </c>
      <c r="AD50">
        <v>1232</v>
      </c>
      <c r="AE50">
        <v>0.75</v>
      </c>
      <c r="AG50" t="s">
        <v>4328</v>
      </c>
      <c r="AI50" t="s">
        <v>5419</v>
      </c>
      <c r="AJ50">
        <v>66</v>
      </c>
      <c r="AL50">
        <v>2</v>
      </c>
      <c r="AM50">
        <v>1</v>
      </c>
      <c r="AN50">
        <v>196.91</v>
      </c>
      <c r="AR50" t="s">
        <v>5312</v>
      </c>
      <c r="AT50">
        <v>42000</v>
      </c>
      <c r="AX50" t="s">
        <v>6394</v>
      </c>
      <c r="BA50" t="s">
        <v>6477</v>
      </c>
      <c r="BD50" t="s">
        <v>218</v>
      </c>
      <c r="BE50" t="s">
        <v>6702</v>
      </c>
    </row>
    <row r="51" spans="1:57">
      <c r="A51" s="1">
        <f>HYPERLINK("https://lsnyc.legalserver.org/matter/dynamic-profile/view/1910895","19-1910895")</f>
        <v>0</v>
      </c>
      <c r="B51" t="s">
        <v>57</v>
      </c>
      <c r="C51" t="s">
        <v>69</v>
      </c>
      <c r="D51" t="s">
        <v>215</v>
      </c>
      <c r="E51" t="s">
        <v>250</v>
      </c>
      <c r="F51" t="s">
        <v>293</v>
      </c>
      <c r="G51" t="s">
        <v>628</v>
      </c>
      <c r="H51" t="s">
        <v>1370</v>
      </c>
      <c r="J51" t="s">
        <v>2105</v>
      </c>
      <c r="K51" t="s">
        <v>3023</v>
      </c>
      <c r="L51" t="s">
        <v>3329</v>
      </c>
      <c r="M51" t="s">
        <v>3379</v>
      </c>
      <c r="N51">
        <v>10454</v>
      </c>
      <c r="O51" t="s">
        <v>3380</v>
      </c>
      <c r="P51" t="s">
        <v>3381</v>
      </c>
      <c r="Q51" t="s">
        <v>3386</v>
      </c>
      <c r="S51">
        <v>35</v>
      </c>
      <c r="T51" t="s">
        <v>4196</v>
      </c>
      <c r="U51" t="s">
        <v>4225</v>
      </c>
      <c r="V51" t="s">
        <v>4230</v>
      </c>
      <c r="W51" t="s">
        <v>4239</v>
      </c>
      <c r="X51" t="s">
        <v>3382</v>
      </c>
      <c r="Y51" t="s">
        <v>3382</v>
      </c>
      <c r="AA51" t="s">
        <v>4256</v>
      </c>
      <c r="AB51" t="s">
        <v>4261</v>
      </c>
      <c r="AC51">
        <v>0</v>
      </c>
      <c r="AD51">
        <v>1499.34</v>
      </c>
      <c r="AE51">
        <v>1.65</v>
      </c>
      <c r="AF51" t="s">
        <v>4268</v>
      </c>
      <c r="AG51" t="s">
        <v>4329</v>
      </c>
      <c r="AI51" t="s">
        <v>5420</v>
      </c>
      <c r="AJ51">
        <v>50</v>
      </c>
      <c r="AK51" t="s">
        <v>6267</v>
      </c>
      <c r="AL51">
        <v>1</v>
      </c>
      <c r="AM51">
        <v>0</v>
      </c>
      <c r="AN51">
        <v>62.64</v>
      </c>
      <c r="AR51" t="s">
        <v>6290</v>
      </c>
      <c r="AS51" t="s">
        <v>6298</v>
      </c>
      <c r="AT51">
        <v>7824</v>
      </c>
      <c r="AX51" t="s">
        <v>99</v>
      </c>
      <c r="BA51" t="s">
        <v>6491</v>
      </c>
      <c r="BD51" t="s">
        <v>293</v>
      </c>
      <c r="BE51" t="s">
        <v>6702</v>
      </c>
    </row>
    <row r="52" spans="1:57">
      <c r="A52" s="1">
        <f>HYPERLINK("https://lsnyc.legalserver.org/matter/dynamic-profile/view/1913569","19-1913569")</f>
        <v>0</v>
      </c>
      <c r="B52" t="s">
        <v>57</v>
      </c>
      <c r="C52" t="s">
        <v>69</v>
      </c>
      <c r="D52" t="s">
        <v>215</v>
      </c>
      <c r="E52" t="s">
        <v>251</v>
      </c>
      <c r="F52" t="s">
        <v>341</v>
      </c>
      <c r="G52" t="s">
        <v>629</v>
      </c>
      <c r="H52" t="s">
        <v>1371</v>
      </c>
      <c r="J52" t="s">
        <v>2106</v>
      </c>
      <c r="K52" t="s">
        <v>3018</v>
      </c>
      <c r="L52" t="s">
        <v>3329</v>
      </c>
      <c r="M52" t="s">
        <v>3379</v>
      </c>
      <c r="N52">
        <v>10453</v>
      </c>
      <c r="O52" t="s">
        <v>3380</v>
      </c>
      <c r="P52" t="s">
        <v>3381</v>
      </c>
      <c r="Q52" t="s">
        <v>3386</v>
      </c>
      <c r="R52" t="s">
        <v>3446</v>
      </c>
      <c r="S52">
        <v>10</v>
      </c>
      <c r="T52" t="s">
        <v>4196</v>
      </c>
      <c r="U52" t="s">
        <v>4223</v>
      </c>
      <c r="V52" t="s">
        <v>4231</v>
      </c>
      <c r="W52" t="s">
        <v>4239</v>
      </c>
      <c r="X52" t="s">
        <v>3382</v>
      </c>
      <c r="Y52" t="s">
        <v>3382</v>
      </c>
      <c r="AA52" t="s">
        <v>4256</v>
      </c>
      <c r="AB52" t="s">
        <v>4265</v>
      </c>
      <c r="AC52">
        <v>0</v>
      </c>
      <c r="AD52">
        <v>1633</v>
      </c>
      <c r="AE52">
        <v>8.300000000000001</v>
      </c>
      <c r="AF52" t="s">
        <v>4269</v>
      </c>
      <c r="AG52" t="s">
        <v>4330</v>
      </c>
      <c r="AI52" t="s">
        <v>5421</v>
      </c>
      <c r="AJ52">
        <v>31</v>
      </c>
      <c r="AK52" t="s">
        <v>6272</v>
      </c>
      <c r="AL52">
        <v>2</v>
      </c>
      <c r="AM52">
        <v>2</v>
      </c>
      <c r="AN52">
        <v>155.34</v>
      </c>
      <c r="AR52" t="s">
        <v>6290</v>
      </c>
      <c r="AT52">
        <v>40000</v>
      </c>
      <c r="AX52" t="s">
        <v>6387</v>
      </c>
      <c r="AY52" t="s">
        <v>6459</v>
      </c>
      <c r="AZ52" t="s">
        <v>6463</v>
      </c>
      <c r="BA52" t="s">
        <v>6477</v>
      </c>
      <c r="BB52" t="s">
        <v>6602</v>
      </c>
      <c r="BC52" t="s">
        <v>6605</v>
      </c>
      <c r="BD52" t="s">
        <v>341</v>
      </c>
      <c r="BE52" t="s">
        <v>6702</v>
      </c>
    </row>
    <row r="53" spans="1:57">
      <c r="A53" s="1">
        <f>HYPERLINK("https://lsnyc.legalserver.org/matter/dynamic-profile/view/1906048","19-1906048")</f>
        <v>0</v>
      </c>
      <c r="B53" t="s">
        <v>57</v>
      </c>
      <c r="C53" t="s">
        <v>69</v>
      </c>
      <c r="D53" t="s">
        <v>215</v>
      </c>
      <c r="E53" t="s">
        <v>252</v>
      </c>
      <c r="F53" t="s">
        <v>328</v>
      </c>
      <c r="G53" t="s">
        <v>630</v>
      </c>
      <c r="H53" t="s">
        <v>1372</v>
      </c>
      <c r="J53" t="s">
        <v>2107</v>
      </c>
      <c r="K53" t="s">
        <v>3024</v>
      </c>
      <c r="L53" t="s">
        <v>3329</v>
      </c>
      <c r="M53" t="s">
        <v>3379</v>
      </c>
      <c r="N53">
        <v>10452</v>
      </c>
      <c r="O53" t="s">
        <v>3380</v>
      </c>
      <c r="P53" t="s">
        <v>3381</v>
      </c>
      <c r="Q53" t="s">
        <v>3386</v>
      </c>
      <c r="R53" t="s">
        <v>3447</v>
      </c>
      <c r="S53">
        <v>40</v>
      </c>
      <c r="T53" t="s">
        <v>4196</v>
      </c>
      <c r="U53" t="s">
        <v>4223</v>
      </c>
      <c r="V53" t="s">
        <v>4231</v>
      </c>
      <c r="W53" t="s">
        <v>4239</v>
      </c>
      <c r="X53" t="s">
        <v>3382</v>
      </c>
      <c r="Y53" t="s">
        <v>3382</v>
      </c>
      <c r="AA53" t="s">
        <v>4256</v>
      </c>
      <c r="AB53" t="s">
        <v>4265</v>
      </c>
      <c r="AC53">
        <v>0</v>
      </c>
      <c r="AD53">
        <v>983</v>
      </c>
      <c r="AE53">
        <v>7.7</v>
      </c>
      <c r="AF53" t="s">
        <v>4269</v>
      </c>
      <c r="AG53" t="s">
        <v>4331</v>
      </c>
      <c r="AI53" t="s">
        <v>5422</v>
      </c>
      <c r="AJ53">
        <v>68</v>
      </c>
      <c r="AK53" t="s">
        <v>6267</v>
      </c>
      <c r="AL53">
        <v>1</v>
      </c>
      <c r="AM53">
        <v>0</v>
      </c>
      <c r="AN53">
        <v>124.9</v>
      </c>
      <c r="AR53" t="s">
        <v>5312</v>
      </c>
      <c r="AS53" t="s">
        <v>6298</v>
      </c>
      <c r="AT53">
        <v>15600</v>
      </c>
      <c r="AW53" t="s">
        <v>6329</v>
      </c>
      <c r="AX53" t="s">
        <v>99</v>
      </c>
      <c r="AY53" t="s">
        <v>6459</v>
      </c>
      <c r="AZ53" t="s">
        <v>6464</v>
      </c>
      <c r="BA53" t="s">
        <v>6492</v>
      </c>
      <c r="BB53" t="s">
        <v>6602</v>
      </c>
      <c r="BC53" t="s">
        <v>6606</v>
      </c>
      <c r="BD53" t="s">
        <v>328</v>
      </c>
      <c r="BE53" t="s">
        <v>6702</v>
      </c>
    </row>
    <row r="54" spans="1:57">
      <c r="A54" s="1">
        <f>HYPERLINK("https://lsnyc.legalserver.org/matter/dynamic-profile/view/1914398","19-1914398")</f>
        <v>0</v>
      </c>
      <c r="B54" t="s">
        <v>57</v>
      </c>
      <c r="C54" t="s">
        <v>70</v>
      </c>
      <c r="D54" t="s">
        <v>214</v>
      </c>
      <c r="E54" t="s">
        <v>224</v>
      </c>
      <c r="G54" t="s">
        <v>631</v>
      </c>
      <c r="H54" t="s">
        <v>1328</v>
      </c>
      <c r="J54" t="s">
        <v>2108</v>
      </c>
      <c r="K54" t="s">
        <v>3021</v>
      </c>
      <c r="L54" t="s">
        <v>3329</v>
      </c>
      <c r="M54" t="s">
        <v>3379</v>
      </c>
      <c r="N54">
        <v>10467</v>
      </c>
      <c r="O54" t="s">
        <v>3380</v>
      </c>
      <c r="P54" t="s">
        <v>3381</v>
      </c>
      <c r="Q54" t="s">
        <v>3384</v>
      </c>
      <c r="R54" t="s">
        <v>3448</v>
      </c>
      <c r="S54">
        <v>7</v>
      </c>
      <c r="T54" t="s">
        <v>4196</v>
      </c>
      <c r="U54" t="s">
        <v>4223</v>
      </c>
      <c r="W54" t="s">
        <v>4238</v>
      </c>
      <c r="X54" t="s">
        <v>3382</v>
      </c>
      <c r="Y54" t="s">
        <v>3382</v>
      </c>
      <c r="AA54" t="s">
        <v>4256</v>
      </c>
      <c r="AC54">
        <v>0</v>
      </c>
      <c r="AD54">
        <v>1120.59</v>
      </c>
      <c r="AE54">
        <v>1</v>
      </c>
      <c r="AG54" t="s">
        <v>4332</v>
      </c>
      <c r="AI54" t="s">
        <v>5423</v>
      </c>
      <c r="AJ54">
        <v>99</v>
      </c>
      <c r="AK54" t="s">
        <v>6267</v>
      </c>
      <c r="AL54">
        <v>2</v>
      </c>
      <c r="AM54">
        <v>2</v>
      </c>
      <c r="AN54">
        <v>134.49</v>
      </c>
      <c r="AS54" t="s">
        <v>6298</v>
      </c>
      <c r="AT54">
        <v>34632</v>
      </c>
      <c r="AX54" t="s">
        <v>6387</v>
      </c>
      <c r="BA54" t="s">
        <v>6473</v>
      </c>
      <c r="BD54" t="s">
        <v>224</v>
      </c>
      <c r="BE54" t="s">
        <v>6702</v>
      </c>
    </row>
    <row r="55" spans="1:57">
      <c r="A55" s="1">
        <f>HYPERLINK("https://lsnyc.legalserver.org/matter/dynamic-profile/view/1914402","19-1914402")</f>
        <v>0</v>
      </c>
      <c r="B55" t="s">
        <v>57</v>
      </c>
      <c r="C55" t="s">
        <v>70</v>
      </c>
      <c r="D55" t="s">
        <v>214</v>
      </c>
      <c r="E55" t="s">
        <v>224</v>
      </c>
      <c r="G55" t="s">
        <v>632</v>
      </c>
      <c r="H55" t="s">
        <v>1373</v>
      </c>
      <c r="J55" t="s">
        <v>2109</v>
      </c>
      <c r="K55" t="s">
        <v>3025</v>
      </c>
      <c r="L55" t="s">
        <v>3329</v>
      </c>
      <c r="M55" t="s">
        <v>3379</v>
      </c>
      <c r="N55">
        <v>10467</v>
      </c>
      <c r="O55" t="s">
        <v>3380</v>
      </c>
      <c r="P55" t="s">
        <v>3381</v>
      </c>
      <c r="Q55" t="s">
        <v>3383</v>
      </c>
      <c r="R55" t="s">
        <v>3449</v>
      </c>
      <c r="S55">
        <v>17</v>
      </c>
      <c r="T55" t="s">
        <v>4196</v>
      </c>
      <c r="W55" t="s">
        <v>4238</v>
      </c>
      <c r="X55" t="s">
        <v>3382</v>
      </c>
      <c r="Y55" t="s">
        <v>3382</v>
      </c>
      <c r="AA55" t="s">
        <v>4256</v>
      </c>
      <c r="AC55">
        <v>0</v>
      </c>
      <c r="AD55">
        <v>139</v>
      </c>
      <c r="AE55">
        <v>0.85</v>
      </c>
      <c r="AG55" t="s">
        <v>4333</v>
      </c>
      <c r="AI55" t="s">
        <v>5424</v>
      </c>
      <c r="AJ55">
        <v>26</v>
      </c>
      <c r="AK55" t="s">
        <v>6273</v>
      </c>
      <c r="AL55">
        <v>1</v>
      </c>
      <c r="AM55">
        <v>0</v>
      </c>
      <c r="AN55">
        <v>72.83</v>
      </c>
      <c r="AR55" t="s">
        <v>6290</v>
      </c>
      <c r="AS55" t="s">
        <v>6298</v>
      </c>
      <c r="AT55">
        <v>9096</v>
      </c>
      <c r="AX55" t="s">
        <v>6385</v>
      </c>
      <c r="BA55" t="s">
        <v>6482</v>
      </c>
      <c r="BD55" t="s">
        <v>243</v>
      </c>
      <c r="BE55" t="s">
        <v>6702</v>
      </c>
    </row>
    <row r="56" spans="1:57">
      <c r="A56" s="1">
        <f>HYPERLINK("https://lsnyc.legalserver.org/matter/dynamic-profile/view/1911365","19-1911365")</f>
        <v>0</v>
      </c>
      <c r="B56" t="s">
        <v>57</v>
      </c>
      <c r="C56" t="s">
        <v>70</v>
      </c>
      <c r="D56" t="s">
        <v>214</v>
      </c>
      <c r="E56" t="s">
        <v>253</v>
      </c>
      <c r="G56" t="s">
        <v>614</v>
      </c>
      <c r="H56" t="s">
        <v>1374</v>
      </c>
      <c r="J56" t="s">
        <v>2110</v>
      </c>
      <c r="K56" t="s">
        <v>3026</v>
      </c>
      <c r="L56" t="s">
        <v>3329</v>
      </c>
      <c r="M56" t="s">
        <v>3379</v>
      </c>
      <c r="N56">
        <v>10458</v>
      </c>
      <c r="O56" t="s">
        <v>3380</v>
      </c>
      <c r="P56" t="s">
        <v>3381</v>
      </c>
      <c r="Q56" t="s">
        <v>3389</v>
      </c>
      <c r="R56" t="s">
        <v>3450</v>
      </c>
      <c r="S56">
        <v>13</v>
      </c>
      <c r="T56" t="s">
        <v>4196</v>
      </c>
      <c r="U56" t="s">
        <v>4223</v>
      </c>
      <c r="W56" t="s">
        <v>4239</v>
      </c>
      <c r="X56" t="s">
        <v>3382</v>
      </c>
      <c r="Y56" t="s">
        <v>3382</v>
      </c>
      <c r="AA56" t="s">
        <v>4256</v>
      </c>
      <c r="AB56" t="s">
        <v>4262</v>
      </c>
      <c r="AC56">
        <v>0</v>
      </c>
      <c r="AD56">
        <v>1383</v>
      </c>
      <c r="AE56">
        <v>10</v>
      </c>
      <c r="AG56" t="s">
        <v>4334</v>
      </c>
      <c r="AJ56">
        <v>40</v>
      </c>
      <c r="AK56" t="s">
        <v>6267</v>
      </c>
      <c r="AL56">
        <v>4</v>
      </c>
      <c r="AM56">
        <v>1</v>
      </c>
      <c r="AN56">
        <v>25.34</v>
      </c>
      <c r="AS56" t="s">
        <v>6299</v>
      </c>
      <c r="AT56">
        <v>7644</v>
      </c>
      <c r="AX56" t="s">
        <v>6387</v>
      </c>
      <c r="BA56" t="s">
        <v>6475</v>
      </c>
      <c r="BD56" t="s">
        <v>275</v>
      </c>
      <c r="BE56" t="s">
        <v>6702</v>
      </c>
    </row>
    <row r="57" spans="1:57">
      <c r="A57" s="1">
        <f>HYPERLINK("https://lsnyc.legalserver.org/matter/dynamic-profile/view/1914449","19-1914449")</f>
        <v>0</v>
      </c>
      <c r="B57" t="s">
        <v>57</v>
      </c>
      <c r="C57" t="s">
        <v>70</v>
      </c>
      <c r="D57" t="s">
        <v>214</v>
      </c>
      <c r="E57" t="s">
        <v>224</v>
      </c>
      <c r="G57" t="s">
        <v>633</v>
      </c>
      <c r="H57" t="s">
        <v>1375</v>
      </c>
      <c r="J57" t="s">
        <v>2111</v>
      </c>
      <c r="K57" t="s">
        <v>3027</v>
      </c>
      <c r="L57" t="s">
        <v>3329</v>
      </c>
      <c r="M57" t="s">
        <v>3379</v>
      </c>
      <c r="N57">
        <v>10457</v>
      </c>
      <c r="O57" t="s">
        <v>3380</v>
      </c>
      <c r="P57" t="s">
        <v>3381</v>
      </c>
      <c r="Q57" t="s">
        <v>3383</v>
      </c>
      <c r="R57" t="s">
        <v>3451</v>
      </c>
      <c r="S57">
        <v>2</v>
      </c>
      <c r="T57" t="s">
        <v>4196</v>
      </c>
      <c r="U57" t="s">
        <v>4223</v>
      </c>
      <c r="W57" t="s">
        <v>4238</v>
      </c>
      <c r="X57" t="s">
        <v>3382</v>
      </c>
      <c r="Y57" t="s">
        <v>3382</v>
      </c>
      <c r="AA57" t="s">
        <v>4256</v>
      </c>
      <c r="AC57">
        <v>0</v>
      </c>
      <c r="AD57">
        <v>1450</v>
      </c>
      <c r="AE57">
        <v>1.85</v>
      </c>
      <c r="AG57" t="s">
        <v>4335</v>
      </c>
      <c r="AI57" t="s">
        <v>5425</v>
      </c>
      <c r="AJ57">
        <v>38</v>
      </c>
      <c r="AK57" t="s">
        <v>6266</v>
      </c>
      <c r="AL57">
        <v>1</v>
      </c>
      <c r="AM57">
        <v>0</v>
      </c>
      <c r="AN57">
        <v>166.53</v>
      </c>
      <c r="AS57" t="s">
        <v>6299</v>
      </c>
      <c r="AT57">
        <v>20800</v>
      </c>
      <c r="AX57" t="s">
        <v>6385</v>
      </c>
      <c r="BA57" t="s">
        <v>6477</v>
      </c>
      <c r="BD57" t="s">
        <v>237</v>
      </c>
      <c r="BE57" t="s">
        <v>6702</v>
      </c>
    </row>
    <row r="58" spans="1:57">
      <c r="A58" s="1">
        <f>HYPERLINK("https://lsnyc.legalserver.org/matter/dynamic-profile/view/1899535","19-1899535")</f>
        <v>0</v>
      </c>
      <c r="B58" t="s">
        <v>57</v>
      </c>
      <c r="C58" t="s">
        <v>70</v>
      </c>
      <c r="D58" t="s">
        <v>214</v>
      </c>
      <c r="E58" t="s">
        <v>254</v>
      </c>
      <c r="G58" t="s">
        <v>634</v>
      </c>
      <c r="H58" t="s">
        <v>1357</v>
      </c>
      <c r="J58" t="s">
        <v>2112</v>
      </c>
      <c r="K58" t="s">
        <v>3028</v>
      </c>
      <c r="L58" t="s">
        <v>3329</v>
      </c>
      <c r="M58" t="s">
        <v>3379</v>
      </c>
      <c r="N58">
        <v>10453</v>
      </c>
      <c r="O58" t="s">
        <v>3382</v>
      </c>
      <c r="P58" t="s">
        <v>3381</v>
      </c>
      <c r="R58" t="s">
        <v>3452</v>
      </c>
      <c r="S58">
        <v>22</v>
      </c>
      <c r="T58" t="s">
        <v>4196</v>
      </c>
      <c r="U58" t="s">
        <v>4226</v>
      </c>
      <c r="W58" t="s">
        <v>4239</v>
      </c>
      <c r="X58" t="s">
        <v>3382</v>
      </c>
      <c r="Y58" t="s">
        <v>3382</v>
      </c>
      <c r="AA58" t="s">
        <v>4256</v>
      </c>
      <c r="AC58">
        <v>0</v>
      </c>
      <c r="AD58">
        <v>1078</v>
      </c>
      <c r="AE58">
        <v>1.7</v>
      </c>
      <c r="AG58" t="s">
        <v>4336</v>
      </c>
      <c r="AI58" t="s">
        <v>5426</v>
      </c>
      <c r="AJ58">
        <v>54</v>
      </c>
      <c r="AL58">
        <v>1</v>
      </c>
      <c r="AM58">
        <v>1</v>
      </c>
      <c r="AN58">
        <v>78.06</v>
      </c>
      <c r="AR58" t="s">
        <v>6290</v>
      </c>
      <c r="AS58" t="s">
        <v>6298</v>
      </c>
      <c r="AT58">
        <v>13200</v>
      </c>
      <c r="AW58" t="s">
        <v>6330</v>
      </c>
      <c r="AX58" t="s">
        <v>6387</v>
      </c>
      <c r="BA58" t="s">
        <v>6475</v>
      </c>
      <c r="BD58" t="s">
        <v>296</v>
      </c>
      <c r="BE58" t="s">
        <v>5312</v>
      </c>
    </row>
    <row r="59" spans="1:57">
      <c r="A59" s="1">
        <f>HYPERLINK("https://lsnyc.legalserver.org/matter/dynamic-profile/view/1899952","19-1899952")</f>
        <v>0</v>
      </c>
      <c r="B59" t="s">
        <v>57</v>
      </c>
      <c r="C59" t="s">
        <v>71</v>
      </c>
      <c r="D59" t="s">
        <v>214</v>
      </c>
      <c r="E59" t="s">
        <v>255</v>
      </c>
      <c r="G59" t="s">
        <v>635</v>
      </c>
      <c r="H59" t="s">
        <v>1013</v>
      </c>
      <c r="J59" t="s">
        <v>2113</v>
      </c>
      <c r="K59" t="s">
        <v>2994</v>
      </c>
      <c r="L59" t="s">
        <v>3329</v>
      </c>
      <c r="M59" t="s">
        <v>3379</v>
      </c>
      <c r="N59">
        <v>10457</v>
      </c>
      <c r="O59" t="s">
        <v>3382</v>
      </c>
      <c r="P59" t="s">
        <v>3381</v>
      </c>
      <c r="R59" t="s">
        <v>3453</v>
      </c>
      <c r="S59">
        <v>6</v>
      </c>
      <c r="T59" t="s">
        <v>4196</v>
      </c>
      <c r="U59" t="s">
        <v>4223</v>
      </c>
      <c r="W59" t="s">
        <v>4238</v>
      </c>
      <c r="X59" t="s">
        <v>3382</v>
      </c>
      <c r="AA59" t="s">
        <v>4256</v>
      </c>
      <c r="AC59">
        <v>0</v>
      </c>
      <c r="AD59">
        <v>1151.46</v>
      </c>
      <c r="AE59">
        <v>31.6</v>
      </c>
      <c r="AG59" t="s">
        <v>4337</v>
      </c>
      <c r="AI59" t="s">
        <v>5427</v>
      </c>
      <c r="AJ59">
        <v>55</v>
      </c>
      <c r="AL59">
        <v>1</v>
      </c>
      <c r="AM59">
        <v>0</v>
      </c>
      <c r="AN59">
        <v>0</v>
      </c>
      <c r="AS59" t="s">
        <v>6298</v>
      </c>
      <c r="AT59">
        <v>0</v>
      </c>
      <c r="AW59" t="s">
        <v>6331</v>
      </c>
      <c r="AX59" t="s">
        <v>6387</v>
      </c>
      <c r="BA59" t="s">
        <v>6479</v>
      </c>
      <c r="BD59" t="s">
        <v>217</v>
      </c>
      <c r="BE59" t="s">
        <v>6702</v>
      </c>
    </row>
    <row r="60" spans="1:57">
      <c r="A60" s="1">
        <f>HYPERLINK("https://lsnyc.legalserver.org/matter/dynamic-profile/view/1901293","19-1901293")</f>
        <v>0</v>
      </c>
      <c r="B60" t="s">
        <v>57</v>
      </c>
      <c r="C60" t="s">
        <v>71</v>
      </c>
      <c r="D60" t="s">
        <v>214</v>
      </c>
      <c r="E60" t="s">
        <v>256</v>
      </c>
      <c r="G60" t="s">
        <v>636</v>
      </c>
      <c r="H60" t="s">
        <v>1376</v>
      </c>
      <c r="J60" t="s">
        <v>2071</v>
      </c>
      <c r="K60" t="s">
        <v>3029</v>
      </c>
      <c r="L60" t="s">
        <v>3329</v>
      </c>
      <c r="M60" t="s">
        <v>3379</v>
      </c>
      <c r="N60">
        <v>10457</v>
      </c>
      <c r="O60" t="s">
        <v>3380</v>
      </c>
      <c r="P60" t="s">
        <v>3381</v>
      </c>
      <c r="R60" t="s">
        <v>3454</v>
      </c>
      <c r="S60">
        <v>7</v>
      </c>
      <c r="U60" t="s">
        <v>4223</v>
      </c>
      <c r="W60" t="s">
        <v>4238</v>
      </c>
      <c r="X60" t="s">
        <v>3382</v>
      </c>
      <c r="AA60" t="s">
        <v>4256</v>
      </c>
      <c r="AC60">
        <v>0</v>
      </c>
      <c r="AD60">
        <v>2175</v>
      </c>
      <c r="AE60">
        <v>12.3</v>
      </c>
      <c r="AG60" t="s">
        <v>4338</v>
      </c>
      <c r="AI60" t="s">
        <v>5428</v>
      </c>
      <c r="AJ60">
        <v>120</v>
      </c>
      <c r="AL60">
        <v>3</v>
      </c>
      <c r="AM60">
        <v>3</v>
      </c>
      <c r="AN60">
        <v>85.76000000000001</v>
      </c>
      <c r="AS60" t="s">
        <v>6298</v>
      </c>
      <c r="AT60">
        <v>29666</v>
      </c>
      <c r="AX60" t="s">
        <v>6387</v>
      </c>
      <c r="BA60" t="s">
        <v>6477</v>
      </c>
      <c r="BD60" t="s">
        <v>218</v>
      </c>
      <c r="BE60" t="s">
        <v>6702</v>
      </c>
    </row>
    <row r="61" spans="1:57">
      <c r="A61" s="1">
        <f>HYPERLINK("https://lsnyc.legalserver.org/matter/dynamic-profile/view/1914335","19-1914335")</f>
        <v>0</v>
      </c>
      <c r="B61" t="s">
        <v>57</v>
      </c>
      <c r="C61" t="s">
        <v>71</v>
      </c>
      <c r="D61" t="s">
        <v>215</v>
      </c>
      <c r="E61" t="s">
        <v>224</v>
      </c>
      <c r="F61" t="s">
        <v>227</v>
      </c>
      <c r="G61" t="s">
        <v>637</v>
      </c>
      <c r="H61" t="s">
        <v>1377</v>
      </c>
      <c r="J61" t="s">
        <v>2114</v>
      </c>
      <c r="K61" t="s">
        <v>3030</v>
      </c>
      <c r="L61" t="s">
        <v>3329</v>
      </c>
      <c r="M61" t="s">
        <v>3379</v>
      </c>
      <c r="N61">
        <v>10455</v>
      </c>
      <c r="O61" t="s">
        <v>3380</v>
      </c>
      <c r="P61" t="s">
        <v>3381</v>
      </c>
      <c r="Q61" t="s">
        <v>3389</v>
      </c>
      <c r="R61" t="s">
        <v>3455</v>
      </c>
      <c r="S61">
        <v>5</v>
      </c>
      <c r="T61" t="s">
        <v>4196</v>
      </c>
      <c r="V61" t="s">
        <v>4230</v>
      </c>
      <c r="W61" t="s">
        <v>4239</v>
      </c>
      <c r="X61" t="s">
        <v>3382</v>
      </c>
      <c r="Y61" t="s">
        <v>3382</v>
      </c>
      <c r="AA61" t="s">
        <v>4256</v>
      </c>
      <c r="AB61" t="s">
        <v>4265</v>
      </c>
      <c r="AC61">
        <v>0</v>
      </c>
      <c r="AD61">
        <v>1495</v>
      </c>
      <c r="AE61">
        <v>3</v>
      </c>
      <c r="AF61" t="s">
        <v>4268</v>
      </c>
      <c r="AG61" t="s">
        <v>4339</v>
      </c>
      <c r="AH61" t="s">
        <v>5241</v>
      </c>
      <c r="AI61" t="s">
        <v>5429</v>
      </c>
      <c r="AJ61">
        <v>58</v>
      </c>
      <c r="AL61">
        <v>1</v>
      </c>
      <c r="AM61">
        <v>1</v>
      </c>
      <c r="AN61">
        <v>42.58</v>
      </c>
      <c r="AS61" t="s">
        <v>6298</v>
      </c>
      <c r="AT61">
        <v>7200</v>
      </c>
      <c r="AX61" t="s">
        <v>6387</v>
      </c>
      <c r="BA61" t="s">
        <v>6477</v>
      </c>
      <c r="BD61" t="s">
        <v>227</v>
      </c>
      <c r="BE61" t="s">
        <v>6702</v>
      </c>
    </row>
    <row r="62" spans="1:57">
      <c r="A62" s="1">
        <f>HYPERLINK("https://lsnyc.legalserver.org/matter/dynamic-profile/view/1890083","19-1890083")</f>
        <v>0</v>
      </c>
      <c r="B62" t="s">
        <v>57</v>
      </c>
      <c r="C62" t="s">
        <v>72</v>
      </c>
      <c r="D62" t="s">
        <v>214</v>
      </c>
      <c r="E62" t="s">
        <v>257</v>
      </c>
      <c r="G62" t="s">
        <v>638</v>
      </c>
      <c r="H62" t="s">
        <v>1378</v>
      </c>
      <c r="J62" t="s">
        <v>2115</v>
      </c>
      <c r="K62" t="s">
        <v>3031</v>
      </c>
      <c r="L62" t="s">
        <v>3329</v>
      </c>
      <c r="M62" t="s">
        <v>3379</v>
      </c>
      <c r="N62">
        <v>10468</v>
      </c>
      <c r="O62" t="s">
        <v>3380</v>
      </c>
      <c r="P62" t="s">
        <v>3382</v>
      </c>
      <c r="Q62" t="s">
        <v>3383</v>
      </c>
      <c r="R62" t="s">
        <v>3456</v>
      </c>
      <c r="S62">
        <v>5</v>
      </c>
      <c r="T62" t="s">
        <v>4196</v>
      </c>
      <c r="U62" t="s">
        <v>4223</v>
      </c>
      <c r="W62" t="s">
        <v>4238</v>
      </c>
      <c r="X62" t="s">
        <v>3382</v>
      </c>
      <c r="Y62" t="s">
        <v>3382</v>
      </c>
      <c r="AA62" t="s">
        <v>4256</v>
      </c>
      <c r="AC62">
        <v>0</v>
      </c>
      <c r="AD62">
        <v>1990</v>
      </c>
      <c r="AE62">
        <v>17.45</v>
      </c>
      <c r="AG62" t="s">
        <v>4340</v>
      </c>
      <c r="AJ62">
        <v>55</v>
      </c>
      <c r="AK62" t="s">
        <v>6267</v>
      </c>
      <c r="AL62">
        <v>3</v>
      </c>
      <c r="AM62">
        <v>3</v>
      </c>
      <c r="AN62">
        <v>90.5</v>
      </c>
      <c r="AQ62" t="s">
        <v>6288</v>
      </c>
      <c r="AR62" t="s">
        <v>5312</v>
      </c>
      <c r="AS62" t="s">
        <v>6299</v>
      </c>
      <c r="AT62">
        <v>31304</v>
      </c>
      <c r="AW62" t="s">
        <v>6332</v>
      </c>
      <c r="AX62" t="s">
        <v>6385</v>
      </c>
      <c r="BA62" t="s">
        <v>6477</v>
      </c>
      <c r="BD62" t="s">
        <v>237</v>
      </c>
    </row>
    <row r="63" spans="1:57">
      <c r="A63" s="1">
        <f>HYPERLINK("https://lsnyc.legalserver.org/matter/dynamic-profile/view/1913200","19-1913200")</f>
        <v>0</v>
      </c>
      <c r="B63" t="s">
        <v>57</v>
      </c>
      <c r="C63" t="s">
        <v>72</v>
      </c>
      <c r="D63" t="s">
        <v>214</v>
      </c>
      <c r="E63" t="s">
        <v>228</v>
      </c>
      <c r="G63" t="s">
        <v>639</v>
      </c>
      <c r="H63" t="s">
        <v>1379</v>
      </c>
      <c r="J63" t="s">
        <v>2116</v>
      </c>
      <c r="K63" t="s">
        <v>3021</v>
      </c>
      <c r="L63" t="s">
        <v>3329</v>
      </c>
      <c r="M63" t="s">
        <v>3379</v>
      </c>
      <c r="N63">
        <v>10468</v>
      </c>
      <c r="O63" t="s">
        <v>3380</v>
      </c>
      <c r="P63" t="s">
        <v>3381</v>
      </c>
      <c r="Q63" t="s">
        <v>3387</v>
      </c>
      <c r="R63" t="s">
        <v>3457</v>
      </c>
      <c r="S63">
        <v>6</v>
      </c>
      <c r="T63" t="s">
        <v>4196</v>
      </c>
      <c r="U63" t="s">
        <v>4223</v>
      </c>
      <c r="W63" t="s">
        <v>4238</v>
      </c>
      <c r="X63" t="s">
        <v>3382</v>
      </c>
      <c r="Y63" t="s">
        <v>3382</v>
      </c>
      <c r="AA63" t="s">
        <v>4256</v>
      </c>
      <c r="AC63">
        <v>0</v>
      </c>
      <c r="AD63">
        <v>978</v>
      </c>
      <c r="AE63">
        <v>3.5</v>
      </c>
      <c r="AG63" t="s">
        <v>4341</v>
      </c>
      <c r="AI63" t="s">
        <v>5430</v>
      </c>
      <c r="AJ63">
        <v>44</v>
      </c>
      <c r="AK63" t="s">
        <v>6266</v>
      </c>
      <c r="AL63">
        <v>2</v>
      </c>
      <c r="AM63">
        <v>1</v>
      </c>
      <c r="AN63">
        <v>180.03</v>
      </c>
      <c r="AR63" t="s">
        <v>5312</v>
      </c>
      <c r="AS63" t="s">
        <v>6298</v>
      </c>
      <c r="AT63">
        <v>38400</v>
      </c>
      <c r="AX63" t="s">
        <v>6390</v>
      </c>
      <c r="BA63" t="s">
        <v>6477</v>
      </c>
      <c r="BD63" t="s">
        <v>275</v>
      </c>
      <c r="BE63" t="s">
        <v>6702</v>
      </c>
    </row>
    <row r="64" spans="1:57">
      <c r="A64" s="1">
        <f>HYPERLINK("https://lsnyc.legalserver.org/matter/dynamic-profile/view/1915222","19-1915222")</f>
        <v>0</v>
      </c>
      <c r="B64" t="s">
        <v>57</v>
      </c>
      <c r="C64" t="s">
        <v>72</v>
      </c>
      <c r="D64" t="s">
        <v>214</v>
      </c>
      <c r="E64" t="s">
        <v>217</v>
      </c>
      <c r="G64" t="s">
        <v>640</v>
      </c>
      <c r="H64" t="s">
        <v>1380</v>
      </c>
      <c r="J64" t="s">
        <v>2117</v>
      </c>
      <c r="K64" t="s">
        <v>3000</v>
      </c>
      <c r="L64" t="s">
        <v>3329</v>
      </c>
      <c r="M64" t="s">
        <v>3379</v>
      </c>
      <c r="N64">
        <v>10468</v>
      </c>
      <c r="O64" t="s">
        <v>3381</v>
      </c>
      <c r="P64" t="s">
        <v>3381</v>
      </c>
      <c r="Q64" t="s">
        <v>3384</v>
      </c>
      <c r="R64" t="s">
        <v>3458</v>
      </c>
      <c r="S64">
        <v>7</v>
      </c>
      <c r="T64" t="s">
        <v>4196</v>
      </c>
      <c r="U64" t="s">
        <v>4223</v>
      </c>
      <c r="W64" t="s">
        <v>4239</v>
      </c>
      <c r="X64" t="s">
        <v>3382</v>
      </c>
      <c r="AA64" t="s">
        <v>4256</v>
      </c>
      <c r="AC64">
        <v>0</v>
      </c>
      <c r="AD64">
        <v>1050</v>
      </c>
      <c r="AE64">
        <v>0</v>
      </c>
      <c r="AG64" t="s">
        <v>4342</v>
      </c>
      <c r="AI64" t="s">
        <v>5431</v>
      </c>
      <c r="AJ64">
        <v>0</v>
      </c>
      <c r="AK64" t="s">
        <v>6267</v>
      </c>
      <c r="AL64">
        <v>1</v>
      </c>
      <c r="AM64">
        <v>4</v>
      </c>
      <c r="AN64">
        <v>68.94</v>
      </c>
      <c r="AR64" t="s">
        <v>6289</v>
      </c>
      <c r="AS64" t="s">
        <v>6299</v>
      </c>
      <c r="AT64">
        <v>20800</v>
      </c>
      <c r="AX64" t="s">
        <v>6386</v>
      </c>
      <c r="BA64" t="s">
        <v>6477</v>
      </c>
    </row>
    <row r="65" spans="1:57">
      <c r="A65" s="1">
        <f>HYPERLINK("https://lsnyc.legalserver.org/matter/dynamic-profile/view/1904952","19-1904952")</f>
        <v>0</v>
      </c>
      <c r="B65" t="s">
        <v>57</v>
      </c>
      <c r="C65" t="s">
        <v>72</v>
      </c>
      <c r="D65" t="s">
        <v>214</v>
      </c>
      <c r="E65" t="s">
        <v>258</v>
      </c>
      <c r="G65" t="s">
        <v>641</v>
      </c>
      <c r="H65" t="s">
        <v>1381</v>
      </c>
      <c r="J65" t="s">
        <v>2118</v>
      </c>
      <c r="K65" t="s">
        <v>3032</v>
      </c>
      <c r="L65" t="s">
        <v>3329</v>
      </c>
      <c r="M65" t="s">
        <v>3379</v>
      </c>
      <c r="N65">
        <v>10467</v>
      </c>
      <c r="O65" t="s">
        <v>3380</v>
      </c>
      <c r="P65" t="s">
        <v>3381</v>
      </c>
      <c r="R65" t="s">
        <v>3459</v>
      </c>
      <c r="S65">
        <v>0</v>
      </c>
      <c r="T65" t="s">
        <v>4197</v>
      </c>
      <c r="U65" t="s">
        <v>4223</v>
      </c>
      <c r="W65" t="s">
        <v>4238</v>
      </c>
      <c r="X65" t="s">
        <v>3382</v>
      </c>
      <c r="Y65" t="s">
        <v>3382</v>
      </c>
      <c r="AA65" t="s">
        <v>4256</v>
      </c>
      <c r="AC65">
        <v>0</v>
      </c>
      <c r="AD65">
        <v>0</v>
      </c>
      <c r="AE65">
        <v>9</v>
      </c>
      <c r="AG65" t="s">
        <v>4343</v>
      </c>
      <c r="AI65" t="s">
        <v>5432</v>
      </c>
      <c r="AJ65">
        <v>83</v>
      </c>
      <c r="AL65">
        <v>2</v>
      </c>
      <c r="AM65">
        <v>1</v>
      </c>
      <c r="AN65">
        <v>23.77</v>
      </c>
      <c r="AS65" t="s">
        <v>6299</v>
      </c>
      <c r="AT65">
        <v>5070</v>
      </c>
      <c r="AW65" t="s">
        <v>6329</v>
      </c>
      <c r="AX65" t="s">
        <v>6387</v>
      </c>
      <c r="BA65" t="s">
        <v>6483</v>
      </c>
      <c r="BD65" t="s">
        <v>504</v>
      </c>
    </row>
    <row r="66" spans="1:57">
      <c r="A66" s="1">
        <f>HYPERLINK("https://lsnyc.legalserver.org/matter/dynamic-profile/view/1913190","19-1913190")</f>
        <v>0</v>
      </c>
      <c r="B66" t="s">
        <v>57</v>
      </c>
      <c r="C66" t="s">
        <v>72</v>
      </c>
      <c r="D66" t="s">
        <v>214</v>
      </c>
      <c r="E66" t="s">
        <v>259</v>
      </c>
      <c r="G66" t="s">
        <v>642</v>
      </c>
      <c r="H66" t="s">
        <v>1360</v>
      </c>
      <c r="J66" t="s">
        <v>2119</v>
      </c>
      <c r="K66">
        <v>1</v>
      </c>
      <c r="L66" t="s">
        <v>3329</v>
      </c>
      <c r="M66" t="s">
        <v>3379</v>
      </c>
      <c r="N66">
        <v>10467</v>
      </c>
      <c r="O66" t="s">
        <v>3380</v>
      </c>
      <c r="P66" t="s">
        <v>3381</v>
      </c>
      <c r="Q66" t="s">
        <v>3387</v>
      </c>
      <c r="R66" t="s">
        <v>3460</v>
      </c>
      <c r="S66">
        <v>2</v>
      </c>
      <c r="T66" t="s">
        <v>4197</v>
      </c>
      <c r="W66" t="s">
        <v>4238</v>
      </c>
      <c r="X66" t="s">
        <v>3382</v>
      </c>
      <c r="Y66" t="s">
        <v>3382</v>
      </c>
      <c r="AA66" t="s">
        <v>4256</v>
      </c>
      <c r="AC66">
        <v>0</v>
      </c>
      <c r="AD66">
        <v>1284</v>
      </c>
      <c r="AE66">
        <v>1.7</v>
      </c>
      <c r="AG66" t="s">
        <v>4344</v>
      </c>
      <c r="AH66" t="s">
        <v>5242</v>
      </c>
      <c r="AJ66">
        <v>3</v>
      </c>
      <c r="AK66" t="s">
        <v>6266</v>
      </c>
      <c r="AL66">
        <v>1</v>
      </c>
      <c r="AM66">
        <v>2</v>
      </c>
      <c r="AN66">
        <v>60.2</v>
      </c>
      <c r="AR66" t="s">
        <v>6291</v>
      </c>
      <c r="AS66" t="s">
        <v>6299</v>
      </c>
      <c r="AT66">
        <v>12840</v>
      </c>
      <c r="AX66" t="s">
        <v>6390</v>
      </c>
      <c r="BA66" t="s">
        <v>6493</v>
      </c>
      <c r="BD66" t="s">
        <v>217</v>
      </c>
      <c r="BE66" t="s">
        <v>6702</v>
      </c>
    </row>
    <row r="67" spans="1:57">
      <c r="A67" s="1">
        <f>HYPERLINK("https://lsnyc.legalserver.org/matter/dynamic-profile/view/1913192","19-1913192")</f>
        <v>0</v>
      </c>
      <c r="B67" t="s">
        <v>57</v>
      </c>
      <c r="C67" t="s">
        <v>72</v>
      </c>
      <c r="D67" t="s">
        <v>214</v>
      </c>
      <c r="E67" t="s">
        <v>259</v>
      </c>
      <c r="G67" t="s">
        <v>643</v>
      </c>
      <c r="H67" t="s">
        <v>1382</v>
      </c>
      <c r="J67" t="s">
        <v>2120</v>
      </c>
      <c r="K67" t="s">
        <v>3033</v>
      </c>
      <c r="L67" t="s">
        <v>3329</v>
      </c>
      <c r="M67" t="s">
        <v>3379</v>
      </c>
      <c r="N67">
        <v>10467</v>
      </c>
      <c r="O67" t="s">
        <v>3380</v>
      </c>
      <c r="P67" t="s">
        <v>3381</v>
      </c>
      <c r="Q67" t="s">
        <v>3387</v>
      </c>
      <c r="R67" t="s">
        <v>3461</v>
      </c>
      <c r="S67">
        <v>3</v>
      </c>
      <c r="T67" t="s">
        <v>4196</v>
      </c>
      <c r="U67" t="s">
        <v>4223</v>
      </c>
      <c r="W67" t="s">
        <v>4238</v>
      </c>
      <c r="X67" t="s">
        <v>3382</v>
      </c>
      <c r="Y67" t="s">
        <v>3382</v>
      </c>
      <c r="AA67" t="s">
        <v>4256</v>
      </c>
      <c r="AC67">
        <v>0</v>
      </c>
      <c r="AD67">
        <v>1470</v>
      </c>
      <c r="AE67">
        <v>1.1</v>
      </c>
      <c r="AG67" t="s">
        <v>4345</v>
      </c>
      <c r="AI67" t="s">
        <v>5433</v>
      </c>
      <c r="AJ67">
        <v>66</v>
      </c>
      <c r="AK67" t="s">
        <v>6267</v>
      </c>
      <c r="AL67">
        <v>1</v>
      </c>
      <c r="AM67">
        <v>0</v>
      </c>
      <c r="AN67">
        <v>0</v>
      </c>
      <c r="AS67" t="s">
        <v>6298</v>
      </c>
      <c r="AT67">
        <v>0</v>
      </c>
      <c r="AX67" t="s">
        <v>6390</v>
      </c>
      <c r="BA67" t="s">
        <v>6479</v>
      </c>
      <c r="BD67" t="s">
        <v>231</v>
      </c>
      <c r="BE67" t="s">
        <v>6702</v>
      </c>
    </row>
    <row r="68" spans="1:57">
      <c r="A68" s="1">
        <f>HYPERLINK("https://lsnyc.legalserver.org/matter/dynamic-profile/view/1890141","19-1890141")</f>
        <v>0</v>
      </c>
      <c r="B68" t="s">
        <v>57</v>
      </c>
      <c r="C68" t="s">
        <v>72</v>
      </c>
      <c r="D68" t="s">
        <v>214</v>
      </c>
      <c r="E68" t="s">
        <v>257</v>
      </c>
      <c r="G68" t="s">
        <v>644</v>
      </c>
      <c r="H68" t="s">
        <v>1383</v>
      </c>
      <c r="J68" t="s">
        <v>2121</v>
      </c>
      <c r="K68" t="s">
        <v>3011</v>
      </c>
      <c r="L68" t="s">
        <v>3329</v>
      </c>
      <c r="M68" t="s">
        <v>3379</v>
      </c>
      <c r="N68">
        <v>10462</v>
      </c>
      <c r="O68" t="s">
        <v>3381</v>
      </c>
      <c r="P68" t="s">
        <v>3381</v>
      </c>
      <c r="Q68" t="s">
        <v>3391</v>
      </c>
      <c r="R68" t="s">
        <v>3462</v>
      </c>
      <c r="S68">
        <v>9</v>
      </c>
      <c r="T68" t="s">
        <v>4196</v>
      </c>
      <c r="U68" t="s">
        <v>4223</v>
      </c>
      <c r="W68" t="s">
        <v>4238</v>
      </c>
      <c r="X68" t="s">
        <v>3382</v>
      </c>
      <c r="Y68" t="s">
        <v>3382</v>
      </c>
      <c r="AA68" t="s">
        <v>4256</v>
      </c>
      <c r="AC68">
        <v>0</v>
      </c>
      <c r="AD68">
        <v>1340</v>
      </c>
      <c r="AE68">
        <v>38.2</v>
      </c>
      <c r="AG68" t="s">
        <v>4346</v>
      </c>
      <c r="AI68" t="s">
        <v>5434</v>
      </c>
      <c r="AJ68">
        <v>60</v>
      </c>
      <c r="AK68" t="s">
        <v>6274</v>
      </c>
      <c r="AL68">
        <v>1</v>
      </c>
      <c r="AM68">
        <v>0</v>
      </c>
      <c r="AN68">
        <v>0</v>
      </c>
      <c r="AR68" t="s">
        <v>5312</v>
      </c>
      <c r="AS68" t="s">
        <v>6298</v>
      </c>
      <c r="AT68">
        <v>0</v>
      </c>
      <c r="AW68" t="s">
        <v>6332</v>
      </c>
      <c r="AX68" t="s">
        <v>6396</v>
      </c>
      <c r="BA68" t="s">
        <v>6479</v>
      </c>
      <c r="BD68" t="s">
        <v>230</v>
      </c>
    </row>
    <row r="69" spans="1:57">
      <c r="A69" s="1">
        <f>HYPERLINK("https://lsnyc.legalserver.org/matter/dynamic-profile/view/1910389","19-1910389")</f>
        <v>0</v>
      </c>
      <c r="B69" t="s">
        <v>57</v>
      </c>
      <c r="C69" t="s">
        <v>72</v>
      </c>
      <c r="D69" t="s">
        <v>214</v>
      </c>
      <c r="E69" t="s">
        <v>260</v>
      </c>
      <c r="G69" t="s">
        <v>645</v>
      </c>
      <c r="H69" t="s">
        <v>1384</v>
      </c>
      <c r="J69" t="s">
        <v>2122</v>
      </c>
      <c r="K69" t="s">
        <v>3034</v>
      </c>
      <c r="L69" t="s">
        <v>3329</v>
      </c>
      <c r="M69" t="s">
        <v>3379</v>
      </c>
      <c r="N69">
        <v>10462</v>
      </c>
      <c r="O69" t="s">
        <v>3381</v>
      </c>
      <c r="P69" t="s">
        <v>3381</v>
      </c>
      <c r="Q69" t="s">
        <v>3383</v>
      </c>
      <c r="R69" t="s">
        <v>3463</v>
      </c>
      <c r="S69">
        <v>0</v>
      </c>
      <c r="T69" t="s">
        <v>4196</v>
      </c>
      <c r="U69" t="s">
        <v>4223</v>
      </c>
      <c r="W69" t="s">
        <v>4238</v>
      </c>
      <c r="X69" t="s">
        <v>3382</v>
      </c>
      <c r="Y69" t="s">
        <v>3382</v>
      </c>
      <c r="AA69" t="s">
        <v>4256</v>
      </c>
      <c r="AB69" t="s">
        <v>4265</v>
      </c>
      <c r="AC69">
        <v>0</v>
      </c>
      <c r="AD69">
        <v>1482</v>
      </c>
      <c r="AE69">
        <v>12.2</v>
      </c>
      <c r="AG69" t="s">
        <v>4347</v>
      </c>
      <c r="AI69" t="s">
        <v>5435</v>
      </c>
      <c r="AJ69">
        <v>2141</v>
      </c>
      <c r="AK69" t="s">
        <v>6275</v>
      </c>
      <c r="AL69">
        <v>1</v>
      </c>
      <c r="AM69">
        <v>0</v>
      </c>
      <c r="AN69">
        <v>93.26000000000001</v>
      </c>
      <c r="AS69" t="s">
        <v>6298</v>
      </c>
      <c r="AT69">
        <v>11648</v>
      </c>
      <c r="AW69" t="s">
        <v>6333</v>
      </c>
      <c r="AX69" t="s">
        <v>72</v>
      </c>
      <c r="BA69" t="s">
        <v>6485</v>
      </c>
      <c r="BD69" t="s">
        <v>279</v>
      </c>
    </row>
    <row r="70" spans="1:57">
      <c r="A70" s="1">
        <f>HYPERLINK("https://lsnyc.legalserver.org/matter/dynamic-profile/view/1900929","19-1900929")</f>
        <v>0</v>
      </c>
      <c r="B70" t="s">
        <v>57</v>
      </c>
      <c r="C70" t="s">
        <v>72</v>
      </c>
      <c r="D70" t="s">
        <v>214</v>
      </c>
      <c r="E70" t="s">
        <v>261</v>
      </c>
      <c r="G70" t="s">
        <v>612</v>
      </c>
      <c r="H70" t="s">
        <v>1385</v>
      </c>
      <c r="J70" t="s">
        <v>2123</v>
      </c>
      <c r="K70">
        <v>20</v>
      </c>
      <c r="L70" t="s">
        <v>3329</v>
      </c>
      <c r="M70" t="s">
        <v>3379</v>
      </c>
      <c r="N70">
        <v>10460</v>
      </c>
      <c r="O70" t="s">
        <v>3381</v>
      </c>
      <c r="P70" t="s">
        <v>3381</v>
      </c>
      <c r="Q70" t="s">
        <v>3386</v>
      </c>
      <c r="R70" t="s">
        <v>3464</v>
      </c>
      <c r="S70">
        <v>0</v>
      </c>
      <c r="T70" t="s">
        <v>4196</v>
      </c>
      <c r="U70" t="s">
        <v>4223</v>
      </c>
      <c r="W70" t="s">
        <v>4238</v>
      </c>
      <c r="X70" t="s">
        <v>3382</v>
      </c>
      <c r="Y70" t="s">
        <v>3382</v>
      </c>
      <c r="AA70" t="s">
        <v>4259</v>
      </c>
      <c r="AB70" t="s">
        <v>4261</v>
      </c>
      <c r="AC70">
        <v>0</v>
      </c>
      <c r="AD70">
        <v>1334</v>
      </c>
      <c r="AE70">
        <v>14.4</v>
      </c>
      <c r="AG70" t="s">
        <v>4348</v>
      </c>
      <c r="AI70" t="s">
        <v>5436</v>
      </c>
      <c r="AJ70">
        <v>298</v>
      </c>
      <c r="AK70" t="s">
        <v>6273</v>
      </c>
      <c r="AL70">
        <v>2</v>
      </c>
      <c r="AM70">
        <v>0</v>
      </c>
      <c r="AN70">
        <v>195.15</v>
      </c>
      <c r="AS70" t="s">
        <v>6298</v>
      </c>
      <c r="AT70">
        <v>33000</v>
      </c>
      <c r="AW70" t="s">
        <v>6334</v>
      </c>
      <c r="AX70" t="s">
        <v>72</v>
      </c>
      <c r="BA70" t="s">
        <v>6494</v>
      </c>
      <c r="BD70" t="s">
        <v>237</v>
      </c>
    </row>
    <row r="71" spans="1:57">
      <c r="A71" s="1">
        <f>HYPERLINK("https://lsnyc.legalserver.org/matter/dynamic-profile/view/1901396","19-1901396")</f>
        <v>0</v>
      </c>
      <c r="B71" t="s">
        <v>57</v>
      </c>
      <c r="C71" t="s">
        <v>72</v>
      </c>
      <c r="D71" t="s">
        <v>214</v>
      </c>
      <c r="E71" t="s">
        <v>262</v>
      </c>
      <c r="G71" t="s">
        <v>646</v>
      </c>
      <c r="H71" t="s">
        <v>1386</v>
      </c>
      <c r="J71" t="s">
        <v>2124</v>
      </c>
      <c r="K71" t="s">
        <v>3035</v>
      </c>
      <c r="L71" t="s">
        <v>3329</v>
      </c>
      <c r="M71" t="s">
        <v>3379</v>
      </c>
      <c r="N71">
        <v>10460</v>
      </c>
      <c r="O71" t="s">
        <v>3380</v>
      </c>
      <c r="P71" t="s">
        <v>3381</v>
      </c>
      <c r="Q71" t="s">
        <v>3384</v>
      </c>
      <c r="S71">
        <v>0</v>
      </c>
      <c r="U71" t="s">
        <v>4225</v>
      </c>
      <c r="W71" t="s">
        <v>4239</v>
      </c>
      <c r="X71" t="s">
        <v>3382</v>
      </c>
      <c r="Y71" t="s">
        <v>3382</v>
      </c>
      <c r="AA71" t="s">
        <v>4256</v>
      </c>
      <c r="AC71">
        <v>0</v>
      </c>
      <c r="AD71">
        <v>0</v>
      </c>
      <c r="AE71">
        <v>0.6</v>
      </c>
      <c r="AG71" t="s">
        <v>4349</v>
      </c>
      <c r="AI71" t="s">
        <v>5437</v>
      </c>
      <c r="AJ71">
        <v>0</v>
      </c>
      <c r="AL71">
        <v>1</v>
      </c>
      <c r="AM71">
        <v>0</v>
      </c>
      <c r="AN71">
        <v>125.57</v>
      </c>
      <c r="AS71" t="s">
        <v>6298</v>
      </c>
      <c r="AT71">
        <v>15684</v>
      </c>
      <c r="AW71" t="s">
        <v>6335</v>
      </c>
      <c r="AX71" t="s">
        <v>6385</v>
      </c>
      <c r="BA71" t="s">
        <v>6478</v>
      </c>
      <c r="BD71" t="s">
        <v>263</v>
      </c>
      <c r="BE71" t="s">
        <v>6702</v>
      </c>
    </row>
    <row r="72" spans="1:57">
      <c r="A72" s="1">
        <f>HYPERLINK("https://lsnyc.legalserver.org/matter/dynamic-profile/view/1902314","19-1902314")</f>
        <v>0</v>
      </c>
      <c r="B72" t="s">
        <v>57</v>
      </c>
      <c r="C72" t="s">
        <v>72</v>
      </c>
      <c r="D72" t="s">
        <v>214</v>
      </c>
      <c r="E72" t="s">
        <v>263</v>
      </c>
      <c r="G72" t="s">
        <v>647</v>
      </c>
      <c r="H72" t="s">
        <v>1387</v>
      </c>
      <c r="J72" t="s">
        <v>2125</v>
      </c>
      <c r="K72" t="s">
        <v>3036</v>
      </c>
      <c r="L72" t="s">
        <v>3329</v>
      </c>
      <c r="M72" t="s">
        <v>3379</v>
      </c>
      <c r="N72">
        <v>10457</v>
      </c>
      <c r="O72" t="s">
        <v>3380</v>
      </c>
      <c r="P72" t="s">
        <v>3381</v>
      </c>
      <c r="Q72" t="s">
        <v>3383</v>
      </c>
      <c r="R72" t="s">
        <v>3465</v>
      </c>
      <c r="S72">
        <v>0</v>
      </c>
      <c r="T72" t="s">
        <v>4196</v>
      </c>
      <c r="U72" t="s">
        <v>4223</v>
      </c>
      <c r="W72" t="s">
        <v>4238</v>
      </c>
      <c r="X72" t="s">
        <v>3382</v>
      </c>
      <c r="Y72" t="s">
        <v>3382</v>
      </c>
      <c r="AA72" t="s">
        <v>4256</v>
      </c>
      <c r="AC72">
        <v>0</v>
      </c>
      <c r="AD72">
        <v>1683</v>
      </c>
      <c r="AE72">
        <v>10.8</v>
      </c>
      <c r="AG72" t="s">
        <v>4350</v>
      </c>
      <c r="AJ72">
        <v>26</v>
      </c>
      <c r="AK72" t="s">
        <v>6267</v>
      </c>
      <c r="AL72">
        <v>3</v>
      </c>
      <c r="AM72">
        <v>0</v>
      </c>
      <c r="AN72">
        <v>250.07</v>
      </c>
      <c r="AS72" t="s">
        <v>6298</v>
      </c>
      <c r="AT72">
        <v>53339</v>
      </c>
      <c r="AW72" t="s">
        <v>6329</v>
      </c>
      <c r="AX72" t="s">
        <v>6387</v>
      </c>
      <c r="BA72" t="s">
        <v>6477</v>
      </c>
      <c r="BD72" t="s">
        <v>294</v>
      </c>
    </row>
    <row r="73" spans="1:57">
      <c r="A73" s="1">
        <f>HYPERLINK("https://lsnyc.legalserver.org/matter/dynamic-profile/view/1915322","19-1915322")</f>
        <v>0</v>
      </c>
      <c r="B73" t="s">
        <v>57</v>
      </c>
      <c r="C73" t="s">
        <v>72</v>
      </c>
      <c r="D73" t="s">
        <v>214</v>
      </c>
      <c r="E73" t="s">
        <v>217</v>
      </c>
      <c r="G73" t="s">
        <v>648</v>
      </c>
      <c r="H73" t="s">
        <v>1388</v>
      </c>
      <c r="J73" t="s">
        <v>2126</v>
      </c>
      <c r="K73" t="s">
        <v>3000</v>
      </c>
      <c r="L73" t="s">
        <v>3329</v>
      </c>
      <c r="M73" t="s">
        <v>3379</v>
      </c>
      <c r="N73">
        <v>10457</v>
      </c>
      <c r="O73" t="s">
        <v>3381</v>
      </c>
      <c r="P73" t="s">
        <v>3381</v>
      </c>
      <c r="Q73" t="s">
        <v>3384</v>
      </c>
      <c r="R73" t="s">
        <v>3466</v>
      </c>
      <c r="S73">
        <v>5</v>
      </c>
      <c r="T73" t="s">
        <v>4196</v>
      </c>
      <c r="U73" t="s">
        <v>4223</v>
      </c>
      <c r="W73" t="s">
        <v>4239</v>
      </c>
      <c r="X73" t="s">
        <v>3382</v>
      </c>
      <c r="AA73" t="s">
        <v>4256</v>
      </c>
      <c r="AC73">
        <v>0</v>
      </c>
      <c r="AD73">
        <v>1070</v>
      </c>
      <c r="AE73">
        <v>0</v>
      </c>
      <c r="AG73" t="s">
        <v>4351</v>
      </c>
      <c r="AI73" t="s">
        <v>5438</v>
      </c>
      <c r="AJ73">
        <v>0</v>
      </c>
      <c r="AK73" t="s">
        <v>6267</v>
      </c>
      <c r="AL73">
        <v>2</v>
      </c>
      <c r="AM73">
        <v>0</v>
      </c>
      <c r="AN73">
        <v>0</v>
      </c>
      <c r="AS73" t="s">
        <v>6298</v>
      </c>
      <c r="AT73">
        <v>0</v>
      </c>
      <c r="AX73" t="s">
        <v>6386</v>
      </c>
      <c r="BA73" t="s">
        <v>6479</v>
      </c>
    </row>
    <row r="74" spans="1:57">
      <c r="A74" s="1">
        <f>HYPERLINK("https://lsnyc.legalserver.org/matter/dynamic-profile/view/1915442","19-1915442")</f>
        <v>0</v>
      </c>
      <c r="B74" t="s">
        <v>57</v>
      </c>
      <c r="C74" t="s">
        <v>72</v>
      </c>
      <c r="D74" t="s">
        <v>214</v>
      </c>
      <c r="E74" t="s">
        <v>231</v>
      </c>
      <c r="G74" t="s">
        <v>649</v>
      </c>
      <c r="H74" t="s">
        <v>1389</v>
      </c>
      <c r="J74" t="s">
        <v>2127</v>
      </c>
      <c r="K74" t="s">
        <v>3037</v>
      </c>
      <c r="L74" t="s">
        <v>3329</v>
      </c>
      <c r="M74" t="s">
        <v>3379</v>
      </c>
      <c r="N74">
        <v>10457</v>
      </c>
      <c r="O74" t="s">
        <v>3381</v>
      </c>
      <c r="P74" t="s">
        <v>3381</v>
      </c>
      <c r="S74">
        <v>0</v>
      </c>
      <c r="W74" t="s">
        <v>4238</v>
      </c>
      <c r="X74" t="s">
        <v>3382</v>
      </c>
      <c r="AA74" t="s">
        <v>4256</v>
      </c>
      <c r="AC74">
        <v>0</v>
      </c>
      <c r="AD74">
        <v>0</v>
      </c>
      <c r="AE74">
        <v>5.1</v>
      </c>
      <c r="AG74" t="s">
        <v>4352</v>
      </c>
      <c r="AI74" t="s">
        <v>5439</v>
      </c>
      <c r="AJ74">
        <v>0</v>
      </c>
      <c r="AL74">
        <v>3</v>
      </c>
      <c r="AM74">
        <v>0</v>
      </c>
      <c r="AN74">
        <v>191.75</v>
      </c>
      <c r="AS74" t="s">
        <v>6299</v>
      </c>
      <c r="AT74">
        <v>40900</v>
      </c>
      <c r="AX74" t="s">
        <v>72</v>
      </c>
      <c r="BA74" t="s">
        <v>6495</v>
      </c>
      <c r="BD74" t="s">
        <v>231</v>
      </c>
    </row>
    <row r="75" spans="1:57">
      <c r="A75" s="1">
        <f>HYPERLINK("https://lsnyc.legalserver.org/matter/dynamic-profile/view/1902944","19-1902944")</f>
        <v>0</v>
      </c>
      <c r="B75" t="s">
        <v>57</v>
      </c>
      <c r="C75" t="s">
        <v>72</v>
      </c>
      <c r="D75" t="s">
        <v>214</v>
      </c>
      <c r="E75" t="s">
        <v>264</v>
      </c>
      <c r="G75" t="s">
        <v>650</v>
      </c>
      <c r="H75" t="s">
        <v>1390</v>
      </c>
      <c r="J75" t="s">
        <v>2128</v>
      </c>
      <c r="K75">
        <v>4</v>
      </c>
      <c r="L75" t="s">
        <v>3329</v>
      </c>
      <c r="M75" t="s">
        <v>3379</v>
      </c>
      <c r="N75">
        <v>10455</v>
      </c>
      <c r="O75" t="s">
        <v>3382</v>
      </c>
      <c r="P75" t="s">
        <v>3381</v>
      </c>
      <c r="Q75" t="s">
        <v>3384</v>
      </c>
      <c r="R75" t="s">
        <v>3467</v>
      </c>
      <c r="S75">
        <v>0</v>
      </c>
      <c r="T75" t="s">
        <v>4197</v>
      </c>
      <c r="U75" t="s">
        <v>4225</v>
      </c>
      <c r="W75" t="s">
        <v>4239</v>
      </c>
      <c r="X75" t="s">
        <v>3382</v>
      </c>
      <c r="AA75" t="s">
        <v>4256</v>
      </c>
      <c r="AC75">
        <v>0</v>
      </c>
      <c r="AD75">
        <v>0</v>
      </c>
      <c r="AE75">
        <v>0.5</v>
      </c>
      <c r="AJ75">
        <v>0</v>
      </c>
      <c r="AL75">
        <v>2</v>
      </c>
      <c r="AM75">
        <v>0</v>
      </c>
      <c r="AN75">
        <v>0</v>
      </c>
      <c r="AS75" t="s">
        <v>6298</v>
      </c>
      <c r="AT75">
        <v>0</v>
      </c>
      <c r="AW75" t="s">
        <v>6336</v>
      </c>
      <c r="AX75" t="s">
        <v>6385</v>
      </c>
      <c r="BA75" t="s">
        <v>6479</v>
      </c>
      <c r="BD75" t="s">
        <v>264</v>
      </c>
    </row>
    <row r="76" spans="1:57">
      <c r="A76" s="1">
        <f>HYPERLINK("https://lsnyc.legalserver.org/matter/dynamic-profile/view/1895780","19-1895780")</f>
        <v>0</v>
      </c>
      <c r="B76" t="s">
        <v>57</v>
      </c>
      <c r="C76" t="s">
        <v>72</v>
      </c>
      <c r="D76" t="s">
        <v>214</v>
      </c>
      <c r="E76" t="s">
        <v>239</v>
      </c>
      <c r="G76" t="s">
        <v>651</v>
      </c>
      <c r="H76" t="s">
        <v>1345</v>
      </c>
      <c r="J76" t="s">
        <v>2129</v>
      </c>
      <c r="K76" t="s">
        <v>3038</v>
      </c>
      <c r="L76" t="s">
        <v>3329</v>
      </c>
      <c r="M76" t="s">
        <v>3379</v>
      </c>
      <c r="N76">
        <v>10455</v>
      </c>
      <c r="O76" t="s">
        <v>3380</v>
      </c>
      <c r="P76" t="s">
        <v>3380</v>
      </c>
      <c r="R76" t="s">
        <v>3468</v>
      </c>
      <c r="S76">
        <v>0</v>
      </c>
      <c r="T76" t="s">
        <v>4201</v>
      </c>
      <c r="U76" t="s">
        <v>4227</v>
      </c>
      <c r="W76" t="s">
        <v>4239</v>
      </c>
      <c r="X76" t="s">
        <v>3382</v>
      </c>
      <c r="Y76" t="s">
        <v>3382</v>
      </c>
      <c r="AA76" t="s">
        <v>4258</v>
      </c>
      <c r="AC76">
        <v>0</v>
      </c>
      <c r="AD76">
        <v>218</v>
      </c>
      <c r="AE76">
        <v>8.199999999999999</v>
      </c>
      <c r="AG76" t="s">
        <v>4353</v>
      </c>
      <c r="AI76" t="s">
        <v>5440</v>
      </c>
      <c r="AJ76">
        <v>0</v>
      </c>
      <c r="AK76" t="s">
        <v>6270</v>
      </c>
      <c r="AL76">
        <v>1</v>
      </c>
      <c r="AM76">
        <v>0</v>
      </c>
      <c r="AN76">
        <v>74.08</v>
      </c>
      <c r="AQ76" t="s">
        <v>6287</v>
      </c>
      <c r="AR76" t="s">
        <v>5312</v>
      </c>
      <c r="AS76" t="s">
        <v>6299</v>
      </c>
      <c r="AT76">
        <v>9252</v>
      </c>
      <c r="AW76" t="s">
        <v>6337</v>
      </c>
      <c r="AX76" t="s">
        <v>72</v>
      </c>
      <c r="BA76" t="s">
        <v>6487</v>
      </c>
      <c r="BD76" t="s">
        <v>349</v>
      </c>
    </row>
    <row r="77" spans="1:57">
      <c r="A77" s="1">
        <f>HYPERLINK("https://lsnyc.legalserver.org/matter/dynamic-profile/view/1909301","19-1909301")</f>
        <v>0</v>
      </c>
      <c r="B77" t="s">
        <v>57</v>
      </c>
      <c r="C77" t="s">
        <v>73</v>
      </c>
      <c r="D77" t="s">
        <v>215</v>
      </c>
      <c r="E77" t="s">
        <v>236</v>
      </c>
      <c r="F77" t="s">
        <v>245</v>
      </c>
      <c r="G77" t="s">
        <v>652</v>
      </c>
      <c r="H77" t="s">
        <v>1391</v>
      </c>
      <c r="J77" t="s">
        <v>2130</v>
      </c>
      <c r="K77" t="s">
        <v>3021</v>
      </c>
      <c r="L77" t="s">
        <v>3329</v>
      </c>
      <c r="M77" t="s">
        <v>3379</v>
      </c>
      <c r="N77">
        <v>10456</v>
      </c>
      <c r="O77" t="s">
        <v>3380</v>
      </c>
      <c r="P77" t="s">
        <v>3381</v>
      </c>
      <c r="Q77" t="s">
        <v>3384</v>
      </c>
      <c r="R77" t="s">
        <v>3469</v>
      </c>
      <c r="S77">
        <v>4</v>
      </c>
      <c r="U77" t="s">
        <v>4225</v>
      </c>
      <c r="V77" t="s">
        <v>4230</v>
      </c>
      <c r="W77" t="s">
        <v>4239</v>
      </c>
      <c r="X77" t="s">
        <v>3382</v>
      </c>
      <c r="Y77" t="s">
        <v>3382</v>
      </c>
      <c r="AA77" t="s">
        <v>4258</v>
      </c>
      <c r="AC77">
        <v>0</v>
      </c>
      <c r="AD77">
        <v>236</v>
      </c>
      <c r="AE77">
        <v>0.1</v>
      </c>
      <c r="AF77" t="s">
        <v>4268</v>
      </c>
      <c r="AG77" t="s">
        <v>4354</v>
      </c>
      <c r="AI77" t="s">
        <v>5441</v>
      </c>
      <c r="AJ77">
        <v>0</v>
      </c>
      <c r="AK77" t="s">
        <v>6270</v>
      </c>
      <c r="AL77">
        <v>1</v>
      </c>
      <c r="AM77">
        <v>3</v>
      </c>
      <c r="AN77">
        <v>18.13</v>
      </c>
      <c r="AR77" t="s">
        <v>3391</v>
      </c>
      <c r="AS77" t="s">
        <v>6298</v>
      </c>
      <c r="AT77">
        <v>4668</v>
      </c>
      <c r="AX77" t="s">
        <v>6395</v>
      </c>
      <c r="BA77" t="s">
        <v>6478</v>
      </c>
      <c r="BD77" t="s">
        <v>245</v>
      </c>
      <c r="BE77" t="s">
        <v>6702</v>
      </c>
    </row>
    <row r="78" spans="1:57">
      <c r="A78" s="1">
        <f>HYPERLINK("https://lsnyc.legalserver.org/matter/dynamic-profile/view/1913866","19-1913866")</f>
        <v>0</v>
      </c>
      <c r="B78" t="s">
        <v>57</v>
      </c>
      <c r="C78" t="s">
        <v>74</v>
      </c>
      <c r="D78" t="s">
        <v>214</v>
      </c>
      <c r="E78" t="s">
        <v>222</v>
      </c>
      <c r="G78" t="s">
        <v>653</v>
      </c>
      <c r="H78" t="s">
        <v>1392</v>
      </c>
      <c r="J78" t="s">
        <v>2131</v>
      </c>
      <c r="K78" t="s">
        <v>3000</v>
      </c>
      <c r="L78" t="s">
        <v>3329</v>
      </c>
      <c r="M78" t="s">
        <v>3379</v>
      </c>
      <c r="N78">
        <v>10467</v>
      </c>
      <c r="O78" t="s">
        <v>3380</v>
      </c>
      <c r="P78" t="s">
        <v>3381</v>
      </c>
      <c r="Q78" t="s">
        <v>3383</v>
      </c>
      <c r="R78" t="s">
        <v>3470</v>
      </c>
      <c r="S78">
        <v>29</v>
      </c>
      <c r="T78" t="s">
        <v>4196</v>
      </c>
      <c r="U78" t="s">
        <v>4223</v>
      </c>
      <c r="W78" t="s">
        <v>4238</v>
      </c>
      <c r="X78" t="s">
        <v>3382</v>
      </c>
      <c r="Y78" t="s">
        <v>3382</v>
      </c>
      <c r="AA78" t="s">
        <v>4256</v>
      </c>
      <c r="AC78">
        <v>0</v>
      </c>
      <c r="AD78">
        <v>1180</v>
      </c>
      <c r="AE78">
        <v>26.45</v>
      </c>
      <c r="AG78" t="s">
        <v>4355</v>
      </c>
      <c r="AH78" t="s">
        <v>5243</v>
      </c>
      <c r="AI78" t="s">
        <v>5442</v>
      </c>
      <c r="AJ78">
        <v>49</v>
      </c>
      <c r="AK78" t="s">
        <v>6267</v>
      </c>
      <c r="AL78">
        <v>1</v>
      </c>
      <c r="AM78">
        <v>0</v>
      </c>
      <c r="AN78">
        <v>249.8</v>
      </c>
      <c r="AR78" t="s">
        <v>5312</v>
      </c>
      <c r="AS78" t="s">
        <v>6298</v>
      </c>
      <c r="AT78">
        <v>31200</v>
      </c>
      <c r="AW78" t="s">
        <v>6338</v>
      </c>
      <c r="AX78" t="s">
        <v>6385</v>
      </c>
      <c r="BA78" t="s">
        <v>6477</v>
      </c>
      <c r="BD78" t="s">
        <v>231</v>
      </c>
      <c r="BE78" t="s">
        <v>6702</v>
      </c>
    </row>
    <row r="79" spans="1:57">
      <c r="A79" s="1">
        <f>HYPERLINK("https://lsnyc.legalserver.org/matter/dynamic-profile/view/1913153","19-1913153")</f>
        <v>0</v>
      </c>
      <c r="B79" t="s">
        <v>57</v>
      </c>
      <c r="C79" t="s">
        <v>74</v>
      </c>
      <c r="D79" t="s">
        <v>214</v>
      </c>
      <c r="E79" t="s">
        <v>259</v>
      </c>
      <c r="G79" t="s">
        <v>654</v>
      </c>
      <c r="H79" t="s">
        <v>1060</v>
      </c>
      <c r="J79" t="s">
        <v>2132</v>
      </c>
      <c r="K79">
        <v>4</v>
      </c>
      <c r="L79" t="s">
        <v>3329</v>
      </c>
      <c r="M79" t="s">
        <v>3379</v>
      </c>
      <c r="N79">
        <v>10466</v>
      </c>
      <c r="O79" t="s">
        <v>3380</v>
      </c>
      <c r="P79" t="s">
        <v>3381</v>
      </c>
      <c r="Q79" t="s">
        <v>3383</v>
      </c>
      <c r="R79" t="s">
        <v>3471</v>
      </c>
      <c r="S79">
        <v>18</v>
      </c>
      <c r="T79" t="s">
        <v>4197</v>
      </c>
      <c r="U79" t="s">
        <v>4224</v>
      </c>
      <c r="W79" t="s">
        <v>4239</v>
      </c>
      <c r="X79" t="s">
        <v>3382</v>
      </c>
      <c r="Y79" t="s">
        <v>3382</v>
      </c>
      <c r="AA79" t="s">
        <v>4256</v>
      </c>
      <c r="AB79" t="s">
        <v>4265</v>
      </c>
      <c r="AC79">
        <v>0</v>
      </c>
      <c r="AD79">
        <v>1050</v>
      </c>
      <c r="AE79">
        <v>2.3</v>
      </c>
      <c r="AG79" t="s">
        <v>4356</v>
      </c>
      <c r="AI79" t="s">
        <v>5443</v>
      </c>
      <c r="AJ79">
        <v>0</v>
      </c>
      <c r="AK79" t="s">
        <v>6274</v>
      </c>
      <c r="AL79">
        <v>1</v>
      </c>
      <c r="AM79">
        <v>0</v>
      </c>
      <c r="AN79">
        <v>89.83</v>
      </c>
      <c r="AS79" t="s">
        <v>6298</v>
      </c>
      <c r="AT79">
        <v>11220</v>
      </c>
      <c r="AX79" t="s">
        <v>6387</v>
      </c>
      <c r="BA79" t="s">
        <v>6496</v>
      </c>
      <c r="BD79" t="s">
        <v>231</v>
      </c>
      <c r="BE79" t="s">
        <v>6702</v>
      </c>
    </row>
    <row r="80" spans="1:57">
      <c r="A80" s="1">
        <f>HYPERLINK("https://lsnyc.legalserver.org/matter/dynamic-profile/view/1910443","19-1910443")</f>
        <v>0</v>
      </c>
      <c r="B80" t="s">
        <v>57</v>
      </c>
      <c r="C80" t="s">
        <v>74</v>
      </c>
      <c r="D80" t="s">
        <v>214</v>
      </c>
      <c r="E80" t="s">
        <v>245</v>
      </c>
      <c r="G80" t="s">
        <v>655</v>
      </c>
      <c r="H80" t="s">
        <v>1393</v>
      </c>
      <c r="J80" t="s">
        <v>2133</v>
      </c>
      <c r="K80" t="s">
        <v>3039</v>
      </c>
      <c r="L80" t="s">
        <v>3329</v>
      </c>
      <c r="M80" t="s">
        <v>3379</v>
      </c>
      <c r="N80">
        <v>10457</v>
      </c>
      <c r="O80" t="s">
        <v>3380</v>
      </c>
      <c r="P80" t="s">
        <v>3381</v>
      </c>
      <c r="Q80" t="s">
        <v>3383</v>
      </c>
      <c r="R80" t="s">
        <v>3472</v>
      </c>
      <c r="S80">
        <v>1</v>
      </c>
      <c r="T80" t="s">
        <v>4196</v>
      </c>
      <c r="U80" t="s">
        <v>4223</v>
      </c>
      <c r="W80" t="s">
        <v>4238</v>
      </c>
      <c r="X80" t="s">
        <v>3382</v>
      </c>
      <c r="Y80" t="s">
        <v>3382</v>
      </c>
      <c r="AA80" t="s">
        <v>4256</v>
      </c>
      <c r="AC80">
        <v>0</v>
      </c>
      <c r="AD80">
        <v>1665</v>
      </c>
      <c r="AE80">
        <v>10.4</v>
      </c>
      <c r="AG80" t="s">
        <v>4357</v>
      </c>
      <c r="AI80" t="s">
        <v>5444</v>
      </c>
      <c r="AJ80">
        <v>166</v>
      </c>
      <c r="AK80" t="s">
        <v>6266</v>
      </c>
      <c r="AL80">
        <v>2</v>
      </c>
      <c r="AM80">
        <v>2</v>
      </c>
      <c r="AN80">
        <v>179.57</v>
      </c>
      <c r="AR80" t="s">
        <v>5312</v>
      </c>
      <c r="AS80" t="s">
        <v>6298</v>
      </c>
      <c r="AT80">
        <v>46240</v>
      </c>
      <c r="AX80" t="s">
        <v>99</v>
      </c>
      <c r="BA80" t="s">
        <v>6480</v>
      </c>
      <c r="BD80" t="s">
        <v>243</v>
      </c>
      <c r="BE80" t="s">
        <v>6702</v>
      </c>
    </row>
    <row r="81" spans="1:57">
      <c r="A81" s="1">
        <f>HYPERLINK("https://lsnyc.legalserver.org/matter/dynamic-profile/view/1914237","19-1914237")</f>
        <v>0</v>
      </c>
      <c r="B81" t="s">
        <v>57</v>
      </c>
      <c r="C81" t="s">
        <v>74</v>
      </c>
      <c r="D81" t="s">
        <v>214</v>
      </c>
      <c r="E81" t="s">
        <v>230</v>
      </c>
      <c r="G81" t="s">
        <v>656</v>
      </c>
      <c r="H81" t="s">
        <v>1394</v>
      </c>
      <c r="J81" t="s">
        <v>2134</v>
      </c>
      <c r="K81" t="s">
        <v>3036</v>
      </c>
      <c r="L81" t="s">
        <v>3329</v>
      </c>
      <c r="M81" t="s">
        <v>3379</v>
      </c>
      <c r="N81">
        <v>10456</v>
      </c>
      <c r="O81" t="s">
        <v>3380</v>
      </c>
      <c r="P81" t="s">
        <v>3381</v>
      </c>
      <c r="Q81" t="s">
        <v>3385</v>
      </c>
      <c r="R81" t="s">
        <v>3473</v>
      </c>
      <c r="S81">
        <v>1</v>
      </c>
      <c r="T81" t="s">
        <v>4197</v>
      </c>
      <c r="U81" t="s">
        <v>4224</v>
      </c>
      <c r="W81" t="s">
        <v>4239</v>
      </c>
      <c r="X81" t="s">
        <v>3382</v>
      </c>
      <c r="Y81" t="s">
        <v>3382</v>
      </c>
      <c r="AA81" t="s">
        <v>4256</v>
      </c>
      <c r="AC81">
        <v>0</v>
      </c>
      <c r="AD81">
        <v>1238</v>
      </c>
      <c r="AE81">
        <v>4.8</v>
      </c>
      <c r="AG81" t="s">
        <v>4358</v>
      </c>
      <c r="AJ81">
        <v>20</v>
      </c>
      <c r="AK81" t="s">
        <v>6266</v>
      </c>
      <c r="AL81">
        <v>1</v>
      </c>
      <c r="AM81">
        <v>1</v>
      </c>
      <c r="AN81">
        <v>8.369999999999999</v>
      </c>
      <c r="AR81" t="s">
        <v>5312</v>
      </c>
      <c r="AS81" t="s">
        <v>6298</v>
      </c>
      <c r="AT81">
        <v>1416</v>
      </c>
      <c r="AX81" t="s">
        <v>6397</v>
      </c>
      <c r="BA81" t="s">
        <v>6478</v>
      </c>
      <c r="BD81" t="s">
        <v>6632</v>
      </c>
      <c r="BE81" t="s">
        <v>6702</v>
      </c>
    </row>
    <row r="82" spans="1:57">
      <c r="A82" s="1">
        <f>HYPERLINK("https://lsnyc.legalserver.org/matter/dynamic-profile/view/1900781","19-1900781")</f>
        <v>0</v>
      </c>
      <c r="B82" t="s">
        <v>57</v>
      </c>
      <c r="C82" t="s">
        <v>74</v>
      </c>
      <c r="D82" t="s">
        <v>214</v>
      </c>
      <c r="E82" t="s">
        <v>265</v>
      </c>
      <c r="G82" t="s">
        <v>657</v>
      </c>
      <c r="H82" t="s">
        <v>1395</v>
      </c>
      <c r="J82" t="s">
        <v>2135</v>
      </c>
      <c r="K82" t="s">
        <v>3040</v>
      </c>
      <c r="L82" t="s">
        <v>3329</v>
      </c>
      <c r="M82" t="s">
        <v>3379</v>
      </c>
      <c r="N82">
        <v>10453</v>
      </c>
      <c r="O82" t="s">
        <v>3381</v>
      </c>
      <c r="P82" t="s">
        <v>3381</v>
      </c>
      <c r="S82">
        <v>0</v>
      </c>
      <c r="W82" t="s">
        <v>4239</v>
      </c>
      <c r="X82" t="s">
        <v>3382</v>
      </c>
      <c r="AA82" t="s">
        <v>4256</v>
      </c>
      <c r="AC82">
        <v>0</v>
      </c>
      <c r="AD82">
        <v>0</v>
      </c>
      <c r="AE82">
        <v>9.800000000000001</v>
      </c>
      <c r="AG82" t="s">
        <v>4359</v>
      </c>
      <c r="AI82" t="s">
        <v>5445</v>
      </c>
      <c r="AJ82">
        <v>0</v>
      </c>
      <c r="AL82">
        <v>1</v>
      </c>
      <c r="AM82">
        <v>2</v>
      </c>
      <c r="AN82">
        <v>0</v>
      </c>
      <c r="AS82" t="s">
        <v>6298</v>
      </c>
      <c r="AT82">
        <v>0</v>
      </c>
      <c r="AX82" t="s">
        <v>6387</v>
      </c>
      <c r="BA82" t="s">
        <v>6479</v>
      </c>
      <c r="BD82" t="s">
        <v>482</v>
      </c>
    </row>
    <row r="83" spans="1:57">
      <c r="A83" s="1">
        <f>HYPERLINK("https://lsnyc.legalserver.org/matter/dynamic-profile/view/1912620","19-1912620")</f>
        <v>0</v>
      </c>
      <c r="B83" t="s">
        <v>57</v>
      </c>
      <c r="C83" t="s">
        <v>75</v>
      </c>
      <c r="D83" t="s">
        <v>214</v>
      </c>
      <c r="E83" t="s">
        <v>225</v>
      </c>
      <c r="G83" t="s">
        <v>658</v>
      </c>
      <c r="H83" t="s">
        <v>1396</v>
      </c>
      <c r="J83" t="s">
        <v>2136</v>
      </c>
      <c r="K83">
        <v>205</v>
      </c>
      <c r="L83" t="s">
        <v>3329</v>
      </c>
      <c r="M83" t="s">
        <v>3379</v>
      </c>
      <c r="N83">
        <v>10468</v>
      </c>
      <c r="O83" t="s">
        <v>3380</v>
      </c>
      <c r="P83" t="s">
        <v>3381</v>
      </c>
      <c r="R83" t="s">
        <v>3474</v>
      </c>
      <c r="S83">
        <v>6</v>
      </c>
      <c r="T83" t="s">
        <v>4196</v>
      </c>
      <c r="U83" t="s">
        <v>4223</v>
      </c>
      <c r="W83" t="s">
        <v>4238</v>
      </c>
      <c r="X83" t="s">
        <v>3382</v>
      </c>
      <c r="AA83" t="s">
        <v>4256</v>
      </c>
      <c r="AC83">
        <v>0</v>
      </c>
      <c r="AD83">
        <v>975</v>
      </c>
      <c r="AE83">
        <v>15.5</v>
      </c>
      <c r="AG83" t="s">
        <v>4360</v>
      </c>
      <c r="AI83" t="s">
        <v>5446</v>
      </c>
      <c r="AJ83">
        <v>51</v>
      </c>
      <c r="AL83">
        <v>1</v>
      </c>
      <c r="AM83">
        <v>0</v>
      </c>
      <c r="AN83">
        <v>0</v>
      </c>
      <c r="AP83" t="s">
        <v>6283</v>
      </c>
      <c r="AS83" t="s">
        <v>6298</v>
      </c>
      <c r="AT83">
        <v>0</v>
      </c>
      <c r="AX83" t="s">
        <v>6393</v>
      </c>
      <c r="BA83" t="s">
        <v>6479</v>
      </c>
      <c r="BD83" t="s">
        <v>275</v>
      </c>
      <c r="BE83" t="s">
        <v>6702</v>
      </c>
    </row>
    <row r="84" spans="1:57">
      <c r="A84" s="1">
        <f>HYPERLINK("https://lsnyc.legalserver.org/matter/dynamic-profile/view/1912670","19-1912670")</f>
        <v>0</v>
      </c>
      <c r="B84" t="s">
        <v>57</v>
      </c>
      <c r="C84" t="s">
        <v>75</v>
      </c>
      <c r="D84" t="s">
        <v>214</v>
      </c>
      <c r="E84" t="s">
        <v>246</v>
      </c>
      <c r="G84" t="s">
        <v>659</v>
      </c>
      <c r="H84" t="s">
        <v>1397</v>
      </c>
      <c r="J84" t="s">
        <v>2137</v>
      </c>
      <c r="K84" t="s">
        <v>3006</v>
      </c>
      <c r="L84" t="s">
        <v>3329</v>
      </c>
      <c r="M84" t="s">
        <v>3379</v>
      </c>
      <c r="N84">
        <v>10467</v>
      </c>
      <c r="O84" t="s">
        <v>3381</v>
      </c>
      <c r="P84" t="s">
        <v>3381</v>
      </c>
      <c r="R84" t="s">
        <v>3475</v>
      </c>
      <c r="S84">
        <v>13</v>
      </c>
      <c r="T84" t="s">
        <v>4196</v>
      </c>
      <c r="U84" t="s">
        <v>4223</v>
      </c>
      <c r="W84" t="s">
        <v>4238</v>
      </c>
      <c r="X84" t="s">
        <v>3382</v>
      </c>
      <c r="Y84" t="s">
        <v>3382</v>
      </c>
      <c r="AA84" t="s">
        <v>4256</v>
      </c>
      <c r="AC84">
        <v>0</v>
      </c>
      <c r="AD84">
        <v>1164.82</v>
      </c>
      <c r="AE84">
        <v>15.55</v>
      </c>
      <c r="AG84" t="s">
        <v>4361</v>
      </c>
      <c r="AI84" t="s">
        <v>5447</v>
      </c>
      <c r="AJ84">
        <v>54</v>
      </c>
      <c r="AK84" t="s">
        <v>6267</v>
      </c>
      <c r="AL84">
        <v>2</v>
      </c>
      <c r="AM84">
        <v>5</v>
      </c>
      <c r="AN84">
        <v>66.14</v>
      </c>
      <c r="AS84" t="s">
        <v>6298</v>
      </c>
      <c r="AT84">
        <v>25800</v>
      </c>
      <c r="AX84" t="s">
        <v>6392</v>
      </c>
      <c r="BA84" t="s">
        <v>6497</v>
      </c>
      <c r="BD84" t="s">
        <v>275</v>
      </c>
    </row>
    <row r="85" spans="1:57">
      <c r="A85" s="1">
        <f>HYPERLINK("https://lsnyc.legalserver.org/matter/dynamic-profile/view/1913683","19-1913683")</f>
        <v>0</v>
      </c>
      <c r="B85" t="s">
        <v>57</v>
      </c>
      <c r="C85" t="s">
        <v>75</v>
      </c>
      <c r="D85" t="s">
        <v>214</v>
      </c>
      <c r="E85" t="s">
        <v>266</v>
      </c>
      <c r="G85" t="s">
        <v>660</v>
      </c>
      <c r="H85" t="s">
        <v>1398</v>
      </c>
      <c r="J85" t="s">
        <v>2138</v>
      </c>
      <c r="K85">
        <v>16</v>
      </c>
      <c r="L85" t="s">
        <v>3329</v>
      </c>
      <c r="M85" t="s">
        <v>3379</v>
      </c>
      <c r="N85">
        <v>10467</v>
      </c>
      <c r="O85" t="s">
        <v>3380</v>
      </c>
      <c r="P85" t="s">
        <v>3381</v>
      </c>
      <c r="Q85" t="s">
        <v>3387</v>
      </c>
      <c r="R85" t="s">
        <v>3476</v>
      </c>
      <c r="S85">
        <v>4</v>
      </c>
      <c r="T85" t="s">
        <v>4196</v>
      </c>
      <c r="U85" t="s">
        <v>4224</v>
      </c>
      <c r="W85" t="s">
        <v>4238</v>
      </c>
      <c r="X85" t="s">
        <v>3382</v>
      </c>
      <c r="Y85" t="s">
        <v>3380</v>
      </c>
      <c r="AA85" t="s">
        <v>4256</v>
      </c>
      <c r="AC85">
        <v>0</v>
      </c>
      <c r="AD85">
        <v>1478.78</v>
      </c>
      <c r="AE85">
        <v>2.5</v>
      </c>
      <c r="AG85" t="s">
        <v>4362</v>
      </c>
      <c r="AI85" t="s">
        <v>5448</v>
      </c>
      <c r="AJ85">
        <v>0</v>
      </c>
      <c r="AL85">
        <v>1</v>
      </c>
      <c r="AM85">
        <v>4</v>
      </c>
      <c r="AN85">
        <v>43.09</v>
      </c>
      <c r="AS85" t="s">
        <v>6299</v>
      </c>
      <c r="AT85">
        <v>13000</v>
      </c>
      <c r="AX85" t="s">
        <v>6393</v>
      </c>
      <c r="BA85" t="s">
        <v>3391</v>
      </c>
      <c r="BD85" t="s">
        <v>275</v>
      </c>
      <c r="BE85" t="s">
        <v>6702</v>
      </c>
    </row>
    <row r="86" spans="1:57">
      <c r="A86" s="1">
        <f>HYPERLINK("https://lsnyc.legalserver.org/matter/dynamic-profile/view/1913668","19-1913668")</f>
        <v>0</v>
      </c>
      <c r="B86" t="s">
        <v>57</v>
      </c>
      <c r="C86" t="s">
        <v>75</v>
      </c>
      <c r="D86" t="s">
        <v>214</v>
      </c>
      <c r="E86" t="s">
        <v>266</v>
      </c>
      <c r="G86" t="s">
        <v>661</v>
      </c>
      <c r="H86" t="s">
        <v>1399</v>
      </c>
      <c r="J86" t="s">
        <v>2139</v>
      </c>
      <c r="K86" t="s">
        <v>3041</v>
      </c>
      <c r="L86" t="s">
        <v>3329</v>
      </c>
      <c r="M86" t="s">
        <v>3379</v>
      </c>
      <c r="N86">
        <v>10462</v>
      </c>
      <c r="O86" t="s">
        <v>3380</v>
      </c>
      <c r="P86" t="s">
        <v>3381</v>
      </c>
      <c r="Q86" t="s">
        <v>3387</v>
      </c>
      <c r="R86" t="s">
        <v>3477</v>
      </c>
      <c r="S86">
        <v>3</v>
      </c>
      <c r="T86" t="s">
        <v>4196</v>
      </c>
      <c r="U86" t="s">
        <v>4223</v>
      </c>
      <c r="W86" t="s">
        <v>4238</v>
      </c>
      <c r="X86" t="s">
        <v>3382</v>
      </c>
      <c r="Y86" t="s">
        <v>3380</v>
      </c>
      <c r="AA86" t="s">
        <v>4256</v>
      </c>
      <c r="AC86">
        <v>0</v>
      </c>
      <c r="AD86">
        <v>1431</v>
      </c>
      <c r="AE86">
        <v>5</v>
      </c>
      <c r="AG86" t="s">
        <v>4363</v>
      </c>
      <c r="AH86" t="s">
        <v>5244</v>
      </c>
      <c r="AI86" t="s">
        <v>5449</v>
      </c>
      <c r="AJ86">
        <v>0</v>
      </c>
      <c r="AL86">
        <v>1</v>
      </c>
      <c r="AM86">
        <v>2</v>
      </c>
      <c r="AN86">
        <v>20.48</v>
      </c>
      <c r="AR86" t="s">
        <v>6290</v>
      </c>
      <c r="AS86" t="s">
        <v>6299</v>
      </c>
      <c r="AT86">
        <v>4368</v>
      </c>
      <c r="AX86" t="s">
        <v>6393</v>
      </c>
      <c r="BA86" t="s">
        <v>6498</v>
      </c>
      <c r="BD86" t="s">
        <v>341</v>
      </c>
      <c r="BE86" t="s">
        <v>6703</v>
      </c>
    </row>
    <row r="87" spans="1:57">
      <c r="A87" s="1">
        <f>HYPERLINK("https://lsnyc.legalserver.org/matter/dynamic-profile/view/1914644","19-1914644")</f>
        <v>0</v>
      </c>
      <c r="B87" t="s">
        <v>57</v>
      </c>
      <c r="C87" t="s">
        <v>75</v>
      </c>
      <c r="D87" t="s">
        <v>214</v>
      </c>
      <c r="E87" t="s">
        <v>267</v>
      </c>
      <c r="G87" t="s">
        <v>662</v>
      </c>
      <c r="H87" t="s">
        <v>1400</v>
      </c>
      <c r="J87" t="s">
        <v>2071</v>
      </c>
      <c r="K87" t="s">
        <v>3042</v>
      </c>
      <c r="L87" t="s">
        <v>3329</v>
      </c>
      <c r="M87" t="s">
        <v>3379</v>
      </c>
      <c r="N87">
        <v>10457</v>
      </c>
      <c r="O87" t="s">
        <v>3380</v>
      </c>
      <c r="P87" t="s">
        <v>3381</v>
      </c>
      <c r="R87" t="s">
        <v>3478</v>
      </c>
      <c r="S87">
        <v>4</v>
      </c>
      <c r="T87" t="s">
        <v>4196</v>
      </c>
      <c r="W87" t="s">
        <v>4238</v>
      </c>
      <c r="X87" t="s">
        <v>3382</v>
      </c>
      <c r="Y87" t="s">
        <v>3382</v>
      </c>
      <c r="AA87" t="s">
        <v>4256</v>
      </c>
      <c r="AC87">
        <v>0</v>
      </c>
      <c r="AD87">
        <v>221</v>
      </c>
      <c r="AE87">
        <v>2</v>
      </c>
      <c r="AG87" t="s">
        <v>4364</v>
      </c>
      <c r="AH87" t="s">
        <v>5245</v>
      </c>
      <c r="AI87" t="s">
        <v>5450</v>
      </c>
      <c r="AJ87">
        <v>61</v>
      </c>
      <c r="AL87">
        <v>1</v>
      </c>
      <c r="AM87">
        <v>0</v>
      </c>
      <c r="AN87">
        <v>124.9</v>
      </c>
      <c r="AR87" t="s">
        <v>6290</v>
      </c>
      <c r="AS87" t="s">
        <v>6298</v>
      </c>
      <c r="AT87">
        <v>15600</v>
      </c>
      <c r="AX87" t="s">
        <v>6387</v>
      </c>
      <c r="BA87" t="s">
        <v>6477</v>
      </c>
      <c r="BD87" t="s">
        <v>237</v>
      </c>
      <c r="BE87" t="s">
        <v>6702</v>
      </c>
    </row>
    <row r="88" spans="1:57">
      <c r="A88" s="1">
        <f>HYPERLINK("https://lsnyc.legalserver.org/matter/dynamic-profile/view/1914833","19-1914833")</f>
        <v>0</v>
      </c>
      <c r="B88" t="s">
        <v>57</v>
      </c>
      <c r="C88" t="s">
        <v>75</v>
      </c>
      <c r="D88" t="s">
        <v>214</v>
      </c>
      <c r="E88" t="s">
        <v>243</v>
      </c>
      <c r="G88" t="s">
        <v>641</v>
      </c>
      <c r="H88" t="s">
        <v>1401</v>
      </c>
      <c r="J88" t="s">
        <v>2140</v>
      </c>
      <c r="K88" t="s">
        <v>2997</v>
      </c>
      <c r="L88" t="s">
        <v>3329</v>
      </c>
      <c r="M88" t="s">
        <v>3379</v>
      </c>
      <c r="N88">
        <v>10457</v>
      </c>
      <c r="O88" t="s">
        <v>3380</v>
      </c>
      <c r="P88" t="s">
        <v>3381</v>
      </c>
      <c r="R88" t="s">
        <v>3479</v>
      </c>
      <c r="S88">
        <v>15</v>
      </c>
      <c r="T88" t="s">
        <v>4196</v>
      </c>
      <c r="U88" t="s">
        <v>4223</v>
      </c>
      <c r="W88" t="s">
        <v>4238</v>
      </c>
      <c r="X88" t="s">
        <v>3382</v>
      </c>
      <c r="Y88" t="s">
        <v>3382</v>
      </c>
      <c r="AA88" t="s">
        <v>4256</v>
      </c>
      <c r="AC88">
        <v>0</v>
      </c>
      <c r="AD88">
        <v>1834</v>
      </c>
      <c r="AE88">
        <v>2</v>
      </c>
      <c r="AG88" t="s">
        <v>4365</v>
      </c>
      <c r="AI88" t="s">
        <v>5451</v>
      </c>
      <c r="AJ88">
        <v>21</v>
      </c>
      <c r="AK88" t="s">
        <v>6267</v>
      </c>
      <c r="AL88">
        <v>1</v>
      </c>
      <c r="AM88">
        <v>0</v>
      </c>
      <c r="AN88">
        <v>62.45</v>
      </c>
      <c r="AS88" t="s">
        <v>6299</v>
      </c>
      <c r="AT88">
        <v>7800</v>
      </c>
      <c r="AX88" t="s">
        <v>6392</v>
      </c>
      <c r="BA88" t="s">
        <v>6477</v>
      </c>
      <c r="BD88" t="s">
        <v>237</v>
      </c>
    </row>
    <row r="89" spans="1:57">
      <c r="A89" s="1">
        <f>HYPERLINK("https://lsnyc.legalserver.org/matter/dynamic-profile/view/1912235","19-1912235")</f>
        <v>0</v>
      </c>
      <c r="B89" t="s">
        <v>57</v>
      </c>
      <c r="C89" t="s">
        <v>76</v>
      </c>
      <c r="D89" t="s">
        <v>214</v>
      </c>
      <c r="E89" t="s">
        <v>268</v>
      </c>
      <c r="G89" t="s">
        <v>663</v>
      </c>
      <c r="H89" t="s">
        <v>1402</v>
      </c>
      <c r="J89" t="s">
        <v>2141</v>
      </c>
      <c r="K89" t="s">
        <v>3043</v>
      </c>
      <c r="L89" t="s">
        <v>3329</v>
      </c>
      <c r="M89" t="s">
        <v>3379</v>
      </c>
      <c r="N89">
        <v>10467</v>
      </c>
      <c r="O89" t="s">
        <v>3380</v>
      </c>
      <c r="P89" t="s">
        <v>3381</v>
      </c>
      <c r="Q89" t="s">
        <v>3384</v>
      </c>
      <c r="R89" t="s">
        <v>3480</v>
      </c>
      <c r="S89">
        <v>20</v>
      </c>
      <c r="T89" t="s">
        <v>4196</v>
      </c>
      <c r="U89" t="s">
        <v>4223</v>
      </c>
      <c r="W89" t="s">
        <v>4238</v>
      </c>
      <c r="X89" t="s">
        <v>3382</v>
      </c>
      <c r="Y89" t="s">
        <v>3382</v>
      </c>
      <c r="AA89" t="s">
        <v>4256</v>
      </c>
      <c r="AB89" t="s">
        <v>4265</v>
      </c>
      <c r="AC89">
        <v>0</v>
      </c>
      <c r="AD89">
        <v>1411</v>
      </c>
      <c r="AE89">
        <v>34.5</v>
      </c>
      <c r="AG89" t="s">
        <v>4366</v>
      </c>
      <c r="AI89" t="s">
        <v>5452</v>
      </c>
      <c r="AJ89">
        <v>56</v>
      </c>
      <c r="AK89" t="s">
        <v>6270</v>
      </c>
      <c r="AL89">
        <v>2</v>
      </c>
      <c r="AM89">
        <v>0</v>
      </c>
      <c r="AN89">
        <v>106.45</v>
      </c>
      <c r="AS89" t="s">
        <v>6299</v>
      </c>
      <c r="AT89">
        <v>18000</v>
      </c>
      <c r="AX89" t="s">
        <v>6387</v>
      </c>
      <c r="BA89" t="s">
        <v>6482</v>
      </c>
      <c r="BD89" t="s">
        <v>217</v>
      </c>
      <c r="BE89" t="s">
        <v>6702</v>
      </c>
    </row>
    <row r="90" spans="1:57">
      <c r="A90" s="1">
        <f>HYPERLINK("https://lsnyc.legalserver.org/matter/dynamic-profile/view/1912426","19-1912426")</f>
        <v>0</v>
      </c>
      <c r="B90" t="s">
        <v>57</v>
      </c>
      <c r="C90" t="s">
        <v>76</v>
      </c>
      <c r="D90" t="s">
        <v>214</v>
      </c>
      <c r="E90" t="s">
        <v>269</v>
      </c>
      <c r="G90" t="s">
        <v>664</v>
      </c>
      <c r="H90" t="s">
        <v>1403</v>
      </c>
      <c r="J90" t="s">
        <v>2142</v>
      </c>
      <c r="K90">
        <v>2</v>
      </c>
      <c r="L90" t="s">
        <v>3329</v>
      </c>
      <c r="M90" t="s">
        <v>3379</v>
      </c>
      <c r="N90">
        <v>10467</v>
      </c>
      <c r="O90" t="s">
        <v>3380</v>
      </c>
      <c r="P90" t="s">
        <v>3381</v>
      </c>
      <c r="Q90" t="s">
        <v>3387</v>
      </c>
      <c r="R90" t="s">
        <v>3481</v>
      </c>
      <c r="S90">
        <v>0</v>
      </c>
      <c r="T90" t="s">
        <v>4196</v>
      </c>
      <c r="W90" t="s">
        <v>4238</v>
      </c>
      <c r="X90" t="s">
        <v>3382</v>
      </c>
      <c r="AA90" t="s">
        <v>4256</v>
      </c>
      <c r="AC90">
        <v>0</v>
      </c>
      <c r="AD90">
        <v>2350</v>
      </c>
      <c r="AE90">
        <v>8.5</v>
      </c>
      <c r="AG90" t="s">
        <v>4367</v>
      </c>
      <c r="AH90" t="s">
        <v>5246</v>
      </c>
      <c r="AI90" t="s">
        <v>5453</v>
      </c>
      <c r="AJ90">
        <v>3</v>
      </c>
      <c r="AL90">
        <v>2</v>
      </c>
      <c r="AM90">
        <v>3</v>
      </c>
      <c r="AN90">
        <v>59.9</v>
      </c>
      <c r="AS90" t="s">
        <v>6298</v>
      </c>
      <c r="AT90">
        <v>18072</v>
      </c>
      <c r="AX90" t="s">
        <v>6393</v>
      </c>
      <c r="BA90" t="s">
        <v>6499</v>
      </c>
      <c r="BD90" t="s">
        <v>275</v>
      </c>
      <c r="BE90" t="s">
        <v>6703</v>
      </c>
    </row>
    <row r="91" spans="1:57">
      <c r="A91" s="1">
        <f>HYPERLINK("https://lsnyc.legalserver.org/matter/dynamic-profile/view/1914330","19-1914330")</f>
        <v>0</v>
      </c>
      <c r="B91" t="s">
        <v>57</v>
      </c>
      <c r="C91" t="s">
        <v>76</v>
      </c>
      <c r="D91" t="s">
        <v>214</v>
      </c>
      <c r="E91" t="s">
        <v>224</v>
      </c>
      <c r="G91" t="s">
        <v>665</v>
      </c>
      <c r="H91" t="s">
        <v>1404</v>
      </c>
      <c r="J91" t="s">
        <v>2143</v>
      </c>
      <c r="K91">
        <v>3</v>
      </c>
      <c r="L91" t="s">
        <v>3329</v>
      </c>
      <c r="M91" t="s">
        <v>3379</v>
      </c>
      <c r="N91">
        <v>10460</v>
      </c>
      <c r="O91" t="s">
        <v>3380</v>
      </c>
      <c r="P91" t="s">
        <v>3381</v>
      </c>
      <c r="Q91" t="s">
        <v>3384</v>
      </c>
      <c r="R91" t="s">
        <v>3482</v>
      </c>
      <c r="S91">
        <v>1</v>
      </c>
      <c r="T91" t="s">
        <v>4196</v>
      </c>
      <c r="U91" t="s">
        <v>4224</v>
      </c>
      <c r="W91" t="s">
        <v>4239</v>
      </c>
      <c r="X91" t="s">
        <v>3382</v>
      </c>
      <c r="Y91" t="s">
        <v>3382</v>
      </c>
      <c r="AA91" t="s">
        <v>4256</v>
      </c>
      <c r="AB91" t="s">
        <v>4261</v>
      </c>
      <c r="AC91">
        <v>0</v>
      </c>
      <c r="AD91">
        <v>1956</v>
      </c>
      <c r="AE91">
        <v>0.5</v>
      </c>
      <c r="AG91" t="s">
        <v>4368</v>
      </c>
      <c r="AI91" t="s">
        <v>5454</v>
      </c>
      <c r="AJ91">
        <v>3</v>
      </c>
      <c r="AK91" t="s">
        <v>6274</v>
      </c>
      <c r="AL91">
        <v>1</v>
      </c>
      <c r="AM91">
        <v>3</v>
      </c>
      <c r="AN91">
        <v>72.33</v>
      </c>
      <c r="AR91" t="s">
        <v>6289</v>
      </c>
      <c r="AS91" t="s">
        <v>6298</v>
      </c>
      <c r="AT91">
        <v>18624.84</v>
      </c>
      <c r="AX91" t="s">
        <v>6387</v>
      </c>
      <c r="BA91" t="s">
        <v>6477</v>
      </c>
      <c r="BD91" t="s">
        <v>267</v>
      </c>
      <c r="BE91" t="s">
        <v>6702</v>
      </c>
    </row>
    <row r="92" spans="1:57">
      <c r="A92" s="1">
        <f>HYPERLINK("https://lsnyc.legalserver.org/matter/dynamic-profile/view/1913435","19-1913435")</f>
        <v>0</v>
      </c>
      <c r="B92" t="s">
        <v>57</v>
      </c>
      <c r="C92" t="s">
        <v>77</v>
      </c>
      <c r="D92" t="s">
        <v>214</v>
      </c>
      <c r="E92" t="s">
        <v>270</v>
      </c>
      <c r="G92" t="s">
        <v>666</v>
      </c>
      <c r="H92" t="s">
        <v>1405</v>
      </c>
      <c r="J92" t="s">
        <v>2144</v>
      </c>
      <c r="K92">
        <v>576</v>
      </c>
      <c r="L92" t="s">
        <v>3329</v>
      </c>
      <c r="M92" t="s">
        <v>3379</v>
      </c>
      <c r="N92">
        <v>10462</v>
      </c>
      <c r="O92" t="s">
        <v>3381</v>
      </c>
      <c r="P92" t="s">
        <v>3381</v>
      </c>
      <c r="S92">
        <v>0</v>
      </c>
      <c r="T92" t="s">
        <v>4202</v>
      </c>
      <c r="U92" t="s">
        <v>4228</v>
      </c>
      <c r="W92" t="s">
        <v>4238</v>
      </c>
      <c r="X92" t="s">
        <v>3382</v>
      </c>
      <c r="Y92" t="s">
        <v>3382</v>
      </c>
      <c r="AA92" t="s">
        <v>4256</v>
      </c>
      <c r="AC92">
        <v>0</v>
      </c>
      <c r="AD92">
        <v>1510.12</v>
      </c>
      <c r="AE92">
        <v>14.4</v>
      </c>
      <c r="AG92" t="s">
        <v>4369</v>
      </c>
      <c r="AH92" t="s">
        <v>5247</v>
      </c>
      <c r="AI92" t="s">
        <v>5455</v>
      </c>
      <c r="AJ92">
        <v>172</v>
      </c>
      <c r="AK92" t="s">
        <v>6273</v>
      </c>
      <c r="AL92">
        <v>3</v>
      </c>
      <c r="AM92">
        <v>0</v>
      </c>
      <c r="AN92">
        <v>92.55</v>
      </c>
      <c r="AR92" t="s">
        <v>6290</v>
      </c>
      <c r="AS92" t="s">
        <v>6298</v>
      </c>
      <c r="AT92">
        <v>19740</v>
      </c>
      <c r="AX92" t="s">
        <v>6394</v>
      </c>
      <c r="BA92" t="s">
        <v>6500</v>
      </c>
      <c r="BD92" t="s">
        <v>231</v>
      </c>
    </row>
    <row r="93" spans="1:57">
      <c r="A93" s="1">
        <f>HYPERLINK("https://lsnyc.legalserver.org/matter/dynamic-profile/view/1909017","19-1909017")</f>
        <v>0</v>
      </c>
      <c r="B93" t="s">
        <v>57</v>
      </c>
      <c r="C93" t="s">
        <v>78</v>
      </c>
      <c r="D93" t="s">
        <v>214</v>
      </c>
      <c r="E93" t="s">
        <v>271</v>
      </c>
      <c r="G93" t="s">
        <v>667</v>
      </c>
      <c r="H93" t="s">
        <v>1384</v>
      </c>
      <c r="J93" t="s">
        <v>2056</v>
      </c>
      <c r="K93" t="s">
        <v>3044</v>
      </c>
      <c r="L93" t="s">
        <v>3329</v>
      </c>
      <c r="M93" t="s">
        <v>3379</v>
      </c>
      <c r="N93">
        <v>10468</v>
      </c>
      <c r="O93" t="s">
        <v>3380</v>
      </c>
      <c r="P93" t="s">
        <v>3381</v>
      </c>
      <c r="R93" t="s">
        <v>3483</v>
      </c>
      <c r="S93">
        <v>21</v>
      </c>
      <c r="T93" t="s">
        <v>4196</v>
      </c>
      <c r="W93" t="s">
        <v>4238</v>
      </c>
      <c r="X93" t="s">
        <v>3382</v>
      </c>
      <c r="Y93" t="s">
        <v>3382</v>
      </c>
      <c r="AA93" t="s">
        <v>4256</v>
      </c>
      <c r="AB93" t="s">
        <v>4261</v>
      </c>
      <c r="AC93">
        <v>0</v>
      </c>
      <c r="AD93">
        <v>1587</v>
      </c>
      <c r="AE93">
        <v>13.05</v>
      </c>
      <c r="AG93" t="s">
        <v>4370</v>
      </c>
      <c r="AI93" t="s">
        <v>5456</v>
      </c>
      <c r="AJ93">
        <v>45</v>
      </c>
      <c r="AK93" t="s">
        <v>6267</v>
      </c>
      <c r="AL93">
        <v>4</v>
      </c>
      <c r="AM93">
        <v>1</v>
      </c>
      <c r="AN93">
        <v>81.34</v>
      </c>
      <c r="AS93" t="s">
        <v>6299</v>
      </c>
      <c r="AT93">
        <v>24540</v>
      </c>
      <c r="AX93" t="s">
        <v>6387</v>
      </c>
      <c r="BA93" t="s">
        <v>6477</v>
      </c>
      <c r="BD93" t="s">
        <v>341</v>
      </c>
      <c r="BE93" t="s">
        <v>6702</v>
      </c>
    </row>
    <row r="94" spans="1:57">
      <c r="A94" s="1">
        <f>HYPERLINK("https://lsnyc.legalserver.org/matter/dynamic-profile/view/1913179","19-1913179")</f>
        <v>0</v>
      </c>
      <c r="B94" t="s">
        <v>57</v>
      </c>
      <c r="C94" t="s">
        <v>78</v>
      </c>
      <c r="D94" t="s">
        <v>214</v>
      </c>
      <c r="E94" t="s">
        <v>259</v>
      </c>
      <c r="G94" t="s">
        <v>668</v>
      </c>
      <c r="H94" t="s">
        <v>1406</v>
      </c>
      <c r="J94" t="s">
        <v>2145</v>
      </c>
      <c r="K94" t="s">
        <v>3045</v>
      </c>
      <c r="L94" t="s">
        <v>3329</v>
      </c>
      <c r="M94" t="s">
        <v>3379</v>
      </c>
      <c r="N94">
        <v>10468</v>
      </c>
      <c r="O94" t="s">
        <v>3380</v>
      </c>
      <c r="P94" t="s">
        <v>3381</v>
      </c>
      <c r="Q94" t="s">
        <v>3387</v>
      </c>
      <c r="R94" t="s">
        <v>3484</v>
      </c>
      <c r="S94">
        <v>19</v>
      </c>
      <c r="T94" t="s">
        <v>4196</v>
      </c>
      <c r="W94" t="s">
        <v>4238</v>
      </c>
      <c r="X94" t="s">
        <v>3382</v>
      </c>
      <c r="Y94" t="s">
        <v>3382</v>
      </c>
      <c r="AA94" t="s">
        <v>4256</v>
      </c>
      <c r="AC94">
        <v>0</v>
      </c>
      <c r="AD94">
        <v>1106.4</v>
      </c>
      <c r="AE94">
        <v>2.5</v>
      </c>
      <c r="AG94" t="s">
        <v>4371</v>
      </c>
      <c r="AI94" t="s">
        <v>5457</v>
      </c>
      <c r="AJ94">
        <v>49</v>
      </c>
      <c r="AK94" t="s">
        <v>6266</v>
      </c>
      <c r="AL94">
        <v>1</v>
      </c>
      <c r="AM94">
        <v>0</v>
      </c>
      <c r="AN94">
        <v>111.64</v>
      </c>
      <c r="AR94" t="s">
        <v>5312</v>
      </c>
      <c r="AS94" t="s">
        <v>6298</v>
      </c>
      <c r="AT94">
        <v>13944</v>
      </c>
      <c r="AX94" t="s">
        <v>6390</v>
      </c>
      <c r="BA94" t="s">
        <v>6501</v>
      </c>
      <c r="BD94" t="s">
        <v>341</v>
      </c>
      <c r="BE94" t="s">
        <v>6702</v>
      </c>
    </row>
    <row r="95" spans="1:57">
      <c r="A95" s="1">
        <f>HYPERLINK("https://lsnyc.legalserver.org/matter/dynamic-profile/view/1913187","19-1913187")</f>
        <v>0</v>
      </c>
      <c r="B95" t="s">
        <v>57</v>
      </c>
      <c r="C95" t="s">
        <v>78</v>
      </c>
      <c r="D95" t="s">
        <v>214</v>
      </c>
      <c r="E95" t="s">
        <v>259</v>
      </c>
      <c r="G95" t="s">
        <v>669</v>
      </c>
      <c r="H95" t="s">
        <v>1407</v>
      </c>
      <c r="J95" t="s">
        <v>2146</v>
      </c>
      <c r="K95" t="s">
        <v>3040</v>
      </c>
      <c r="L95" t="s">
        <v>3329</v>
      </c>
      <c r="M95" t="s">
        <v>3379</v>
      </c>
      <c r="N95">
        <v>10468</v>
      </c>
      <c r="O95" t="s">
        <v>3380</v>
      </c>
      <c r="P95" t="s">
        <v>3381</v>
      </c>
      <c r="Q95" t="s">
        <v>3387</v>
      </c>
      <c r="R95" t="s">
        <v>3485</v>
      </c>
      <c r="S95">
        <v>9</v>
      </c>
      <c r="T95" t="s">
        <v>4196</v>
      </c>
      <c r="W95" t="s">
        <v>4238</v>
      </c>
      <c r="X95" t="s">
        <v>3382</v>
      </c>
      <c r="Y95" t="s">
        <v>3382</v>
      </c>
      <c r="AA95" t="s">
        <v>4256</v>
      </c>
      <c r="AC95">
        <v>0</v>
      </c>
      <c r="AD95">
        <v>1352</v>
      </c>
      <c r="AE95">
        <v>4.75</v>
      </c>
      <c r="AG95" t="s">
        <v>4372</v>
      </c>
      <c r="AI95" t="s">
        <v>5458</v>
      </c>
      <c r="AJ95">
        <v>30</v>
      </c>
      <c r="AK95" t="s">
        <v>6266</v>
      </c>
      <c r="AL95">
        <v>2</v>
      </c>
      <c r="AM95">
        <v>3</v>
      </c>
      <c r="AN95">
        <v>182.3</v>
      </c>
      <c r="AS95" t="s">
        <v>6299</v>
      </c>
      <c r="AT95">
        <v>55000</v>
      </c>
      <c r="AX95" t="s">
        <v>6390</v>
      </c>
      <c r="BA95" t="s">
        <v>6477</v>
      </c>
      <c r="BD95" t="s">
        <v>217</v>
      </c>
      <c r="BE95" t="s">
        <v>6702</v>
      </c>
    </row>
    <row r="96" spans="1:57">
      <c r="A96" s="1">
        <f>HYPERLINK("https://lsnyc.legalserver.org/matter/dynamic-profile/view/1914198","19-1914198")</f>
        <v>0</v>
      </c>
      <c r="B96" t="s">
        <v>57</v>
      </c>
      <c r="C96" t="s">
        <v>78</v>
      </c>
      <c r="D96" t="s">
        <v>214</v>
      </c>
      <c r="E96" t="s">
        <v>230</v>
      </c>
      <c r="G96" t="s">
        <v>614</v>
      </c>
      <c r="H96" t="s">
        <v>1408</v>
      </c>
      <c r="J96" t="s">
        <v>2147</v>
      </c>
      <c r="K96" t="s">
        <v>3036</v>
      </c>
      <c r="L96" t="s">
        <v>3329</v>
      </c>
      <c r="M96" t="s">
        <v>3379</v>
      </c>
      <c r="N96">
        <v>10468</v>
      </c>
      <c r="O96" t="s">
        <v>3380</v>
      </c>
      <c r="P96" t="s">
        <v>3381</v>
      </c>
      <c r="Q96" t="s">
        <v>3389</v>
      </c>
      <c r="R96" t="s">
        <v>3486</v>
      </c>
      <c r="S96">
        <v>3</v>
      </c>
      <c r="T96" t="s">
        <v>4196</v>
      </c>
      <c r="W96" t="s">
        <v>4238</v>
      </c>
      <c r="X96" t="s">
        <v>3382</v>
      </c>
      <c r="Y96" t="s">
        <v>3382</v>
      </c>
      <c r="AA96" t="s">
        <v>4256</v>
      </c>
      <c r="AC96">
        <v>0</v>
      </c>
      <c r="AD96">
        <v>2135</v>
      </c>
      <c r="AE96">
        <v>1.75</v>
      </c>
      <c r="AG96" t="s">
        <v>4373</v>
      </c>
      <c r="AI96" t="s">
        <v>5459</v>
      </c>
      <c r="AJ96">
        <v>0</v>
      </c>
      <c r="AK96" t="s">
        <v>6266</v>
      </c>
      <c r="AL96">
        <v>2</v>
      </c>
      <c r="AM96">
        <v>0</v>
      </c>
      <c r="AN96">
        <v>166.08</v>
      </c>
      <c r="AR96" t="s">
        <v>6290</v>
      </c>
      <c r="AS96" t="s">
        <v>6298</v>
      </c>
      <c r="AT96">
        <v>28084</v>
      </c>
      <c r="AX96" t="s">
        <v>6390</v>
      </c>
      <c r="BA96" t="s">
        <v>6502</v>
      </c>
      <c r="BD96" t="s">
        <v>230</v>
      </c>
      <c r="BE96" t="s">
        <v>6702</v>
      </c>
    </row>
    <row r="97" spans="1:57">
      <c r="A97" s="1">
        <f>HYPERLINK("https://lsnyc.legalserver.org/matter/dynamic-profile/view/1913540","19-1913540")</f>
        <v>0</v>
      </c>
      <c r="B97" t="s">
        <v>57</v>
      </c>
      <c r="C97" t="s">
        <v>78</v>
      </c>
      <c r="D97" t="s">
        <v>214</v>
      </c>
      <c r="E97" t="s">
        <v>251</v>
      </c>
      <c r="G97" t="s">
        <v>670</v>
      </c>
      <c r="H97" t="s">
        <v>1383</v>
      </c>
      <c r="J97" t="s">
        <v>2148</v>
      </c>
      <c r="L97" t="s">
        <v>3329</v>
      </c>
      <c r="M97" t="s">
        <v>3379</v>
      </c>
      <c r="N97">
        <v>10466</v>
      </c>
      <c r="O97" t="s">
        <v>3380</v>
      </c>
      <c r="P97" t="s">
        <v>3381</v>
      </c>
      <c r="Q97" t="s">
        <v>3384</v>
      </c>
      <c r="R97" t="s">
        <v>3487</v>
      </c>
      <c r="S97">
        <v>10</v>
      </c>
      <c r="T97" t="s">
        <v>4197</v>
      </c>
      <c r="U97" t="s">
        <v>4224</v>
      </c>
      <c r="W97" t="s">
        <v>4239</v>
      </c>
      <c r="X97" t="s">
        <v>3382</v>
      </c>
      <c r="Y97" t="s">
        <v>3382</v>
      </c>
      <c r="AA97" t="s">
        <v>4256</v>
      </c>
      <c r="AC97">
        <v>0</v>
      </c>
      <c r="AD97">
        <v>600</v>
      </c>
      <c r="AE97">
        <v>1.55</v>
      </c>
      <c r="AG97" t="s">
        <v>4374</v>
      </c>
      <c r="AI97" t="s">
        <v>5460</v>
      </c>
      <c r="AJ97">
        <v>3</v>
      </c>
      <c r="AK97" t="s">
        <v>6274</v>
      </c>
      <c r="AL97">
        <v>1</v>
      </c>
      <c r="AM97">
        <v>0</v>
      </c>
      <c r="AN97">
        <v>140.11</v>
      </c>
      <c r="AR97" t="s">
        <v>5312</v>
      </c>
      <c r="AS97" t="s">
        <v>6298</v>
      </c>
      <c r="AT97">
        <v>17500</v>
      </c>
      <c r="AX97" t="s">
        <v>6390</v>
      </c>
      <c r="BA97" t="s">
        <v>6477</v>
      </c>
      <c r="BD97" t="s">
        <v>231</v>
      </c>
      <c r="BE97" t="s">
        <v>6702</v>
      </c>
    </row>
    <row r="98" spans="1:57">
      <c r="A98" s="1">
        <f>HYPERLINK("https://lsnyc.legalserver.org/matter/dynamic-profile/view/1913182","19-1913182")</f>
        <v>0</v>
      </c>
      <c r="B98" t="s">
        <v>57</v>
      </c>
      <c r="C98" t="s">
        <v>78</v>
      </c>
      <c r="D98" t="s">
        <v>214</v>
      </c>
      <c r="E98" t="s">
        <v>259</v>
      </c>
      <c r="G98" t="s">
        <v>671</v>
      </c>
      <c r="H98" t="s">
        <v>1409</v>
      </c>
      <c r="J98" t="s">
        <v>2149</v>
      </c>
      <c r="K98" t="s">
        <v>3006</v>
      </c>
      <c r="L98" t="s">
        <v>3329</v>
      </c>
      <c r="M98" t="s">
        <v>3379</v>
      </c>
      <c r="N98">
        <v>10462</v>
      </c>
      <c r="O98" t="s">
        <v>3380</v>
      </c>
      <c r="P98" t="s">
        <v>3381</v>
      </c>
      <c r="Q98" t="s">
        <v>3387</v>
      </c>
      <c r="R98" t="s">
        <v>3488</v>
      </c>
      <c r="S98">
        <v>8</v>
      </c>
      <c r="T98" t="s">
        <v>4196</v>
      </c>
      <c r="W98" t="s">
        <v>4238</v>
      </c>
      <c r="X98" t="s">
        <v>3382</v>
      </c>
      <c r="Y98" t="s">
        <v>3382</v>
      </c>
      <c r="AA98" t="s">
        <v>4256</v>
      </c>
      <c r="AC98">
        <v>0</v>
      </c>
      <c r="AD98">
        <v>1500</v>
      </c>
      <c r="AE98">
        <v>7</v>
      </c>
      <c r="AG98" t="s">
        <v>4375</v>
      </c>
      <c r="AI98" t="s">
        <v>5461</v>
      </c>
      <c r="AJ98">
        <v>72</v>
      </c>
      <c r="AK98" t="s">
        <v>6266</v>
      </c>
      <c r="AL98">
        <v>1</v>
      </c>
      <c r="AM98">
        <v>0</v>
      </c>
      <c r="AN98">
        <v>0</v>
      </c>
      <c r="AR98" t="s">
        <v>5312</v>
      </c>
      <c r="AS98" t="s">
        <v>6298</v>
      </c>
      <c r="AT98">
        <v>0</v>
      </c>
      <c r="AX98" t="s">
        <v>6390</v>
      </c>
      <c r="BA98" t="s">
        <v>6479</v>
      </c>
      <c r="BD98" t="s">
        <v>218</v>
      </c>
      <c r="BE98" t="s">
        <v>6702</v>
      </c>
    </row>
    <row r="99" spans="1:57">
      <c r="A99" s="1">
        <f>HYPERLINK("https://lsnyc.legalserver.org/matter/dynamic-profile/view/1914201","19-1914201")</f>
        <v>0</v>
      </c>
      <c r="B99" t="s">
        <v>57</v>
      </c>
      <c r="C99" t="s">
        <v>78</v>
      </c>
      <c r="D99" t="s">
        <v>214</v>
      </c>
      <c r="E99" t="s">
        <v>230</v>
      </c>
      <c r="G99" t="s">
        <v>672</v>
      </c>
      <c r="H99" t="s">
        <v>1410</v>
      </c>
      <c r="J99" t="s">
        <v>2150</v>
      </c>
      <c r="K99" t="s">
        <v>3046</v>
      </c>
      <c r="L99" t="s">
        <v>3329</v>
      </c>
      <c r="M99" t="s">
        <v>3379</v>
      </c>
      <c r="N99">
        <v>10462</v>
      </c>
      <c r="O99" t="s">
        <v>3380</v>
      </c>
      <c r="P99" t="s">
        <v>3381</v>
      </c>
      <c r="Q99" t="s">
        <v>3384</v>
      </c>
      <c r="R99" t="s">
        <v>3489</v>
      </c>
      <c r="S99">
        <v>2</v>
      </c>
      <c r="T99" t="s">
        <v>4196</v>
      </c>
      <c r="W99" t="s">
        <v>4238</v>
      </c>
      <c r="X99" t="s">
        <v>3382</v>
      </c>
      <c r="Y99" t="s">
        <v>3382</v>
      </c>
      <c r="AA99" t="s">
        <v>4256</v>
      </c>
      <c r="AC99">
        <v>0</v>
      </c>
      <c r="AD99">
        <v>1000</v>
      </c>
      <c r="AE99">
        <v>1.95</v>
      </c>
      <c r="AG99" t="s">
        <v>4376</v>
      </c>
      <c r="AI99" t="s">
        <v>5462</v>
      </c>
      <c r="AJ99">
        <v>3857</v>
      </c>
      <c r="AK99" t="s">
        <v>6266</v>
      </c>
      <c r="AL99">
        <v>1</v>
      </c>
      <c r="AM99">
        <v>2</v>
      </c>
      <c r="AN99">
        <v>210.97</v>
      </c>
      <c r="AR99" t="s">
        <v>5312</v>
      </c>
      <c r="AS99" t="s">
        <v>6298</v>
      </c>
      <c r="AT99">
        <v>45000</v>
      </c>
      <c r="AW99" t="s">
        <v>6339</v>
      </c>
      <c r="AX99" t="s">
        <v>6390</v>
      </c>
      <c r="BA99" t="s">
        <v>6477</v>
      </c>
      <c r="BD99" t="s">
        <v>275</v>
      </c>
      <c r="BE99" t="s">
        <v>6702</v>
      </c>
    </row>
    <row r="100" spans="1:57">
      <c r="A100" s="1">
        <f>HYPERLINK("https://lsnyc.legalserver.org/matter/dynamic-profile/view/1915444","19-1915444")</f>
        <v>0</v>
      </c>
      <c r="B100" t="s">
        <v>57</v>
      </c>
      <c r="C100" t="s">
        <v>78</v>
      </c>
      <c r="D100" t="s">
        <v>214</v>
      </c>
      <c r="E100" t="s">
        <v>231</v>
      </c>
      <c r="G100" t="s">
        <v>673</v>
      </c>
      <c r="H100" t="s">
        <v>1411</v>
      </c>
      <c r="J100" t="s">
        <v>2151</v>
      </c>
      <c r="K100" t="s">
        <v>3047</v>
      </c>
      <c r="L100" t="s">
        <v>3329</v>
      </c>
      <c r="M100" t="s">
        <v>3379</v>
      </c>
      <c r="N100">
        <v>10462</v>
      </c>
      <c r="O100" t="s">
        <v>3380</v>
      </c>
      <c r="P100" t="s">
        <v>3381</v>
      </c>
      <c r="Q100" t="s">
        <v>3387</v>
      </c>
      <c r="R100" t="s">
        <v>3490</v>
      </c>
      <c r="S100">
        <v>2</v>
      </c>
      <c r="T100" t="s">
        <v>4196</v>
      </c>
      <c r="W100" t="s">
        <v>4238</v>
      </c>
      <c r="X100" t="s">
        <v>3382</v>
      </c>
      <c r="Y100" t="s">
        <v>3382</v>
      </c>
      <c r="AA100" t="s">
        <v>4256</v>
      </c>
      <c r="AC100">
        <v>0</v>
      </c>
      <c r="AD100">
        <v>1515</v>
      </c>
      <c r="AE100">
        <v>1.5</v>
      </c>
      <c r="AG100" t="s">
        <v>4377</v>
      </c>
      <c r="AI100" t="s">
        <v>5463</v>
      </c>
      <c r="AJ100">
        <v>2</v>
      </c>
      <c r="AK100" t="s">
        <v>6274</v>
      </c>
      <c r="AL100">
        <v>2</v>
      </c>
      <c r="AM100">
        <v>1</v>
      </c>
      <c r="AN100">
        <v>73.14</v>
      </c>
      <c r="AR100" t="s">
        <v>6291</v>
      </c>
      <c r="AS100" t="s">
        <v>6299</v>
      </c>
      <c r="AT100">
        <v>15600</v>
      </c>
      <c r="AX100" t="s">
        <v>6390</v>
      </c>
      <c r="BA100" t="s">
        <v>6477</v>
      </c>
      <c r="BD100" t="s">
        <v>231</v>
      </c>
      <c r="BE100" t="s">
        <v>6702</v>
      </c>
    </row>
    <row r="101" spans="1:57">
      <c r="A101" s="1">
        <f>HYPERLINK("https://lsnyc.legalserver.org/matter/dynamic-profile/view/1912853","19-1912853")</f>
        <v>0</v>
      </c>
      <c r="B101" t="s">
        <v>57</v>
      </c>
      <c r="C101" t="s">
        <v>78</v>
      </c>
      <c r="D101" t="s">
        <v>214</v>
      </c>
      <c r="E101" t="s">
        <v>272</v>
      </c>
      <c r="G101" t="s">
        <v>674</v>
      </c>
      <c r="H101" t="s">
        <v>1356</v>
      </c>
      <c r="J101" t="s">
        <v>2152</v>
      </c>
      <c r="K101" t="s">
        <v>3041</v>
      </c>
      <c r="L101" t="s">
        <v>3329</v>
      </c>
      <c r="M101" t="s">
        <v>3379</v>
      </c>
      <c r="N101">
        <v>10459</v>
      </c>
      <c r="O101" t="s">
        <v>3380</v>
      </c>
      <c r="P101" t="s">
        <v>3381</v>
      </c>
      <c r="Q101" t="s">
        <v>3384</v>
      </c>
      <c r="R101" t="s">
        <v>3491</v>
      </c>
      <c r="S101">
        <v>45</v>
      </c>
      <c r="T101" t="s">
        <v>4196</v>
      </c>
      <c r="U101" t="s">
        <v>4225</v>
      </c>
      <c r="W101" t="s">
        <v>4239</v>
      </c>
      <c r="X101" t="s">
        <v>3382</v>
      </c>
      <c r="Y101" t="s">
        <v>3382</v>
      </c>
      <c r="AA101" t="s">
        <v>4256</v>
      </c>
      <c r="AB101" t="s">
        <v>4261</v>
      </c>
      <c r="AC101">
        <v>0</v>
      </c>
      <c r="AD101">
        <v>1681</v>
      </c>
      <c r="AE101">
        <v>4.25</v>
      </c>
      <c r="AG101" t="s">
        <v>4378</v>
      </c>
      <c r="AJ101">
        <v>116</v>
      </c>
      <c r="AK101" t="s">
        <v>6273</v>
      </c>
      <c r="AL101">
        <v>1</v>
      </c>
      <c r="AM101">
        <v>0</v>
      </c>
      <c r="AN101">
        <v>86.47</v>
      </c>
      <c r="AS101" t="s">
        <v>6299</v>
      </c>
      <c r="AT101">
        <v>10800</v>
      </c>
      <c r="AX101" t="s">
        <v>6387</v>
      </c>
      <c r="BA101" t="s">
        <v>6487</v>
      </c>
      <c r="BD101" t="s">
        <v>217</v>
      </c>
      <c r="BE101" t="s">
        <v>6702</v>
      </c>
    </row>
    <row r="102" spans="1:57">
      <c r="A102" s="1">
        <f>HYPERLINK("https://lsnyc.legalserver.org/matter/dynamic-profile/view/1913919","19-1913919")</f>
        <v>0</v>
      </c>
      <c r="B102" t="s">
        <v>57</v>
      </c>
      <c r="C102" t="s">
        <v>78</v>
      </c>
      <c r="D102" t="s">
        <v>214</v>
      </c>
      <c r="E102" t="s">
        <v>218</v>
      </c>
      <c r="G102" t="s">
        <v>675</v>
      </c>
      <c r="H102" t="s">
        <v>1412</v>
      </c>
      <c r="J102" t="s">
        <v>2153</v>
      </c>
      <c r="L102" t="s">
        <v>3329</v>
      </c>
      <c r="M102" t="s">
        <v>3379</v>
      </c>
      <c r="N102">
        <v>10451</v>
      </c>
      <c r="O102" t="s">
        <v>3380</v>
      </c>
      <c r="P102" t="s">
        <v>3381</v>
      </c>
      <c r="Q102" t="s">
        <v>3392</v>
      </c>
      <c r="S102">
        <v>43</v>
      </c>
      <c r="T102" t="s">
        <v>4203</v>
      </c>
      <c r="U102" t="s">
        <v>4225</v>
      </c>
      <c r="W102" t="s">
        <v>4239</v>
      </c>
      <c r="X102" t="s">
        <v>3382</v>
      </c>
      <c r="AA102" t="s">
        <v>4256</v>
      </c>
      <c r="AC102">
        <v>0</v>
      </c>
      <c r="AD102">
        <v>706</v>
      </c>
      <c r="AE102">
        <v>2</v>
      </c>
      <c r="AG102" t="s">
        <v>4379</v>
      </c>
      <c r="AI102" t="s">
        <v>5464</v>
      </c>
      <c r="AJ102">
        <v>0</v>
      </c>
      <c r="AL102">
        <v>1</v>
      </c>
      <c r="AM102">
        <v>0</v>
      </c>
      <c r="AN102">
        <v>84.06999999999999</v>
      </c>
      <c r="AT102">
        <v>10500</v>
      </c>
      <c r="AX102" t="s">
        <v>6398</v>
      </c>
      <c r="BA102" t="s">
        <v>6478</v>
      </c>
      <c r="BD102" t="s">
        <v>222</v>
      </c>
      <c r="BE102" t="s">
        <v>6702</v>
      </c>
    </row>
    <row r="103" spans="1:57">
      <c r="A103" s="1">
        <f>HYPERLINK("https://lsnyc.legalserver.org/matter/dynamic-profile/view/1912337","19-1912337")</f>
        <v>0</v>
      </c>
      <c r="B103" t="s">
        <v>57</v>
      </c>
      <c r="C103" t="s">
        <v>79</v>
      </c>
      <c r="D103" t="s">
        <v>214</v>
      </c>
      <c r="E103" t="s">
        <v>248</v>
      </c>
      <c r="G103" t="s">
        <v>676</v>
      </c>
      <c r="H103" t="s">
        <v>1337</v>
      </c>
      <c r="J103" t="s">
        <v>2154</v>
      </c>
      <c r="K103" t="s">
        <v>3048</v>
      </c>
      <c r="L103" t="s">
        <v>3329</v>
      </c>
      <c r="M103" t="s">
        <v>3379</v>
      </c>
      <c r="N103">
        <v>10473</v>
      </c>
      <c r="O103" t="s">
        <v>3380</v>
      </c>
      <c r="P103" t="s">
        <v>3381</v>
      </c>
      <c r="Q103" t="s">
        <v>3384</v>
      </c>
      <c r="R103" t="s">
        <v>3492</v>
      </c>
      <c r="S103">
        <v>18</v>
      </c>
      <c r="T103" t="s">
        <v>4196</v>
      </c>
      <c r="W103" t="s">
        <v>4239</v>
      </c>
      <c r="X103" t="s">
        <v>3382</v>
      </c>
      <c r="Y103" t="s">
        <v>3382</v>
      </c>
      <c r="AA103" t="s">
        <v>4256</v>
      </c>
      <c r="AC103">
        <v>0</v>
      </c>
      <c r="AD103">
        <v>1200</v>
      </c>
      <c r="AE103">
        <v>0.95</v>
      </c>
      <c r="AG103" t="s">
        <v>4380</v>
      </c>
      <c r="AH103" t="s">
        <v>5248</v>
      </c>
      <c r="AI103" t="s">
        <v>5465</v>
      </c>
      <c r="AJ103">
        <v>955</v>
      </c>
      <c r="AK103" t="s">
        <v>6266</v>
      </c>
      <c r="AL103">
        <v>1</v>
      </c>
      <c r="AM103">
        <v>0</v>
      </c>
      <c r="AN103">
        <v>104.08</v>
      </c>
      <c r="AR103" t="s">
        <v>5312</v>
      </c>
      <c r="AS103" t="s">
        <v>6298</v>
      </c>
      <c r="AT103">
        <v>13000</v>
      </c>
      <c r="AX103" t="s">
        <v>6397</v>
      </c>
      <c r="BA103" t="s">
        <v>6503</v>
      </c>
      <c r="BD103" t="s">
        <v>341</v>
      </c>
      <c r="BE103" t="s">
        <v>6703</v>
      </c>
    </row>
    <row r="104" spans="1:57">
      <c r="A104" s="1">
        <f>HYPERLINK("https://lsnyc.legalserver.org/matter/dynamic-profile/view/1902533","19-1902533")</f>
        <v>0</v>
      </c>
      <c r="B104" t="s">
        <v>57</v>
      </c>
      <c r="C104" t="s">
        <v>79</v>
      </c>
      <c r="D104" t="s">
        <v>214</v>
      </c>
      <c r="E104" t="s">
        <v>273</v>
      </c>
      <c r="G104" t="s">
        <v>677</v>
      </c>
      <c r="H104" t="s">
        <v>1413</v>
      </c>
      <c r="J104" t="s">
        <v>2155</v>
      </c>
      <c r="K104" t="s">
        <v>3049</v>
      </c>
      <c r="L104" t="s">
        <v>3329</v>
      </c>
      <c r="M104" t="s">
        <v>3379</v>
      </c>
      <c r="N104">
        <v>10468</v>
      </c>
      <c r="O104" t="s">
        <v>3380</v>
      </c>
      <c r="P104" t="s">
        <v>3381</v>
      </c>
      <c r="Q104" t="s">
        <v>3393</v>
      </c>
      <c r="R104" t="s">
        <v>3493</v>
      </c>
      <c r="S104">
        <v>7</v>
      </c>
      <c r="T104" t="s">
        <v>4196</v>
      </c>
      <c r="U104" t="s">
        <v>4225</v>
      </c>
      <c r="W104" t="s">
        <v>4238</v>
      </c>
      <c r="X104" t="s">
        <v>3382</v>
      </c>
      <c r="Y104" t="s">
        <v>3382</v>
      </c>
      <c r="AA104" t="s">
        <v>4256</v>
      </c>
      <c r="AB104" t="s">
        <v>4265</v>
      </c>
      <c r="AC104">
        <v>0</v>
      </c>
      <c r="AD104">
        <v>1107.47</v>
      </c>
      <c r="AE104">
        <v>1.55</v>
      </c>
      <c r="AG104" t="s">
        <v>4381</v>
      </c>
      <c r="AH104">
        <v>58022651</v>
      </c>
      <c r="AI104" t="s">
        <v>5466</v>
      </c>
      <c r="AJ104">
        <v>69</v>
      </c>
      <c r="AK104" t="s">
        <v>6267</v>
      </c>
      <c r="AL104">
        <v>2</v>
      </c>
      <c r="AM104">
        <v>0</v>
      </c>
      <c r="AN104">
        <v>0</v>
      </c>
      <c r="AR104" t="s">
        <v>3391</v>
      </c>
      <c r="AS104" t="s">
        <v>6298</v>
      </c>
      <c r="AT104">
        <v>0</v>
      </c>
      <c r="AX104" t="s">
        <v>6394</v>
      </c>
      <c r="BA104" t="s">
        <v>6486</v>
      </c>
      <c r="BD104" t="s">
        <v>495</v>
      </c>
      <c r="BE104" t="s">
        <v>6703</v>
      </c>
    </row>
    <row r="105" spans="1:57">
      <c r="A105" s="1">
        <f>HYPERLINK("https://lsnyc.legalserver.org/matter/dynamic-profile/view/1910058","19-1910058")</f>
        <v>0</v>
      </c>
      <c r="B105" t="s">
        <v>57</v>
      </c>
      <c r="C105" t="s">
        <v>79</v>
      </c>
      <c r="D105" t="s">
        <v>214</v>
      </c>
      <c r="E105" t="s">
        <v>274</v>
      </c>
      <c r="G105" t="s">
        <v>678</v>
      </c>
      <c r="H105" t="s">
        <v>1414</v>
      </c>
      <c r="J105" t="s">
        <v>2156</v>
      </c>
      <c r="K105">
        <v>31</v>
      </c>
      <c r="L105" t="s">
        <v>3329</v>
      </c>
      <c r="M105" t="s">
        <v>3379</v>
      </c>
      <c r="N105">
        <v>10468</v>
      </c>
      <c r="O105" t="s">
        <v>3380</v>
      </c>
      <c r="P105" t="s">
        <v>3381</v>
      </c>
      <c r="Q105" t="s">
        <v>3384</v>
      </c>
      <c r="R105" t="s">
        <v>3494</v>
      </c>
      <c r="S105">
        <v>1</v>
      </c>
      <c r="T105" t="s">
        <v>4196</v>
      </c>
      <c r="U105" t="s">
        <v>4224</v>
      </c>
      <c r="W105" t="s">
        <v>4238</v>
      </c>
      <c r="X105" t="s">
        <v>3382</v>
      </c>
      <c r="Y105" t="s">
        <v>3382</v>
      </c>
      <c r="AA105" t="s">
        <v>4256</v>
      </c>
      <c r="AC105">
        <v>0</v>
      </c>
      <c r="AD105">
        <v>0</v>
      </c>
      <c r="AE105">
        <v>4.5</v>
      </c>
      <c r="AG105" t="s">
        <v>4382</v>
      </c>
      <c r="AH105" t="s">
        <v>5249</v>
      </c>
      <c r="AI105" t="s">
        <v>5467</v>
      </c>
      <c r="AJ105">
        <v>27</v>
      </c>
      <c r="AK105" t="s">
        <v>6266</v>
      </c>
      <c r="AL105">
        <v>1</v>
      </c>
      <c r="AM105">
        <v>1</v>
      </c>
      <c r="AN105">
        <v>89.65000000000001</v>
      </c>
      <c r="AR105" t="s">
        <v>5312</v>
      </c>
      <c r="AS105" t="s">
        <v>6299</v>
      </c>
      <c r="AT105">
        <v>15160</v>
      </c>
      <c r="AX105" t="s">
        <v>6397</v>
      </c>
      <c r="BA105" t="s">
        <v>6489</v>
      </c>
      <c r="BD105" t="s">
        <v>259</v>
      </c>
      <c r="BE105" t="s">
        <v>6703</v>
      </c>
    </row>
    <row r="106" spans="1:57">
      <c r="A106" s="1">
        <f>HYPERLINK("https://lsnyc.legalserver.org/matter/dynamic-profile/view/1915210","19-1915210")</f>
        <v>0</v>
      </c>
      <c r="B106" t="s">
        <v>57</v>
      </c>
      <c r="C106" t="s">
        <v>79</v>
      </c>
      <c r="D106" t="s">
        <v>214</v>
      </c>
      <c r="E106" t="s">
        <v>217</v>
      </c>
      <c r="G106" t="s">
        <v>679</v>
      </c>
      <c r="H106" t="s">
        <v>1415</v>
      </c>
      <c r="J106" t="s">
        <v>2157</v>
      </c>
      <c r="K106" t="s">
        <v>3050</v>
      </c>
      <c r="L106" t="s">
        <v>3329</v>
      </c>
      <c r="M106" t="s">
        <v>3379</v>
      </c>
      <c r="N106">
        <v>10468</v>
      </c>
      <c r="O106" t="s">
        <v>3380</v>
      </c>
      <c r="P106" t="s">
        <v>3381</v>
      </c>
      <c r="Q106" t="s">
        <v>3386</v>
      </c>
      <c r="S106">
        <v>3</v>
      </c>
      <c r="T106" t="s">
        <v>4196</v>
      </c>
      <c r="U106" t="s">
        <v>4224</v>
      </c>
      <c r="W106" t="s">
        <v>4238</v>
      </c>
      <c r="X106" t="s">
        <v>3382</v>
      </c>
      <c r="Y106" t="s">
        <v>3382</v>
      </c>
      <c r="AA106" t="s">
        <v>4256</v>
      </c>
      <c r="AC106">
        <v>0</v>
      </c>
      <c r="AD106">
        <v>1956</v>
      </c>
      <c r="AE106">
        <v>0</v>
      </c>
      <c r="AG106" t="s">
        <v>4383</v>
      </c>
      <c r="AH106" t="s">
        <v>5250</v>
      </c>
      <c r="AI106" t="s">
        <v>5468</v>
      </c>
      <c r="AJ106">
        <v>10</v>
      </c>
      <c r="AK106" t="s">
        <v>6267</v>
      </c>
      <c r="AL106">
        <v>5</v>
      </c>
      <c r="AM106">
        <v>1</v>
      </c>
      <c r="AN106">
        <v>79.03</v>
      </c>
      <c r="AR106" t="s">
        <v>6291</v>
      </c>
      <c r="AS106" t="s">
        <v>6299</v>
      </c>
      <c r="AT106">
        <v>27336</v>
      </c>
      <c r="AX106" t="s">
        <v>6397</v>
      </c>
      <c r="BA106" t="s">
        <v>6504</v>
      </c>
    </row>
    <row r="107" spans="1:57">
      <c r="A107" s="1">
        <f>HYPERLINK("https://lsnyc.legalserver.org/matter/dynamic-profile/view/1900494","19-1900494")</f>
        <v>0</v>
      </c>
      <c r="B107" t="s">
        <v>57</v>
      </c>
      <c r="C107" t="s">
        <v>79</v>
      </c>
      <c r="D107" t="s">
        <v>214</v>
      </c>
      <c r="E107" t="s">
        <v>244</v>
      </c>
      <c r="G107" t="s">
        <v>680</v>
      </c>
      <c r="H107" t="s">
        <v>1416</v>
      </c>
      <c r="J107" t="s">
        <v>2158</v>
      </c>
      <c r="K107" t="s">
        <v>3047</v>
      </c>
      <c r="L107" t="s">
        <v>3329</v>
      </c>
      <c r="M107" t="s">
        <v>3379</v>
      </c>
      <c r="N107">
        <v>10467</v>
      </c>
      <c r="O107" t="s">
        <v>3380</v>
      </c>
      <c r="P107" t="s">
        <v>3381</v>
      </c>
      <c r="Q107" t="s">
        <v>3383</v>
      </c>
      <c r="R107" t="s">
        <v>3495</v>
      </c>
      <c r="S107">
        <v>14</v>
      </c>
      <c r="T107" t="s">
        <v>4197</v>
      </c>
      <c r="U107" t="s">
        <v>4223</v>
      </c>
      <c r="W107" t="s">
        <v>4238</v>
      </c>
      <c r="X107" t="s">
        <v>3382</v>
      </c>
      <c r="Y107" t="s">
        <v>3382</v>
      </c>
      <c r="AA107" t="s">
        <v>4256</v>
      </c>
      <c r="AB107" t="s">
        <v>4261</v>
      </c>
      <c r="AC107">
        <v>0</v>
      </c>
      <c r="AD107">
        <v>1700</v>
      </c>
      <c r="AE107">
        <v>0.75</v>
      </c>
      <c r="AG107" t="s">
        <v>4384</v>
      </c>
      <c r="AI107" t="s">
        <v>5469</v>
      </c>
      <c r="AJ107">
        <v>3</v>
      </c>
      <c r="AK107" t="s">
        <v>6274</v>
      </c>
      <c r="AL107">
        <v>4</v>
      </c>
      <c r="AM107">
        <v>0</v>
      </c>
      <c r="AN107">
        <v>153.48</v>
      </c>
      <c r="AR107" t="s">
        <v>5312</v>
      </c>
      <c r="AS107" t="s">
        <v>6298</v>
      </c>
      <c r="AT107">
        <v>39520</v>
      </c>
      <c r="AX107" t="s">
        <v>99</v>
      </c>
      <c r="BA107" t="s">
        <v>6477</v>
      </c>
      <c r="BD107" t="s">
        <v>262</v>
      </c>
    </row>
    <row r="108" spans="1:57">
      <c r="A108" s="1">
        <f>HYPERLINK("https://lsnyc.legalserver.org/matter/dynamic-profile/view/1912258","19-1912258")</f>
        <v>0</v>
      </c>
      <c r="B108" t="s">
        <v>57</v>
      </c>
      <c r="C108" t="s">
        <v>79</v>
      </c>
      <c r="D108" t="s">
        <v>214</v>
      </c>
      <c r="E108" t="s">
        <v>268</v>
      </c>
      <c r="G108" t="s">
        <v>681</v>
      </c>
      <c r="H108" t="s">
        <v>1417</v>
      </c>
      <c r="J108" t="s">
        <v>2159</v>
      </c>
      <c r="K108" t="s">
        <v>3051</v>
      </c>
      <c r="L108" t="s">
        <v>3329</v>
      </c>
      <c r="M108" t="s">
        <v>3379</v>
      </c>
      <c r="N108">
        <v>10467</v>
      </c>
      <c r="O108" t="s">
        <v>3380</v>
      </c>
      <c r="P108" t="s">
        <v>3381</v>
      </c>
      <c r="Q108" t="s">
        <v>3384</v>
      </c>
      <c r="R108" t="s">
        <v>3496</v>
      </c>
      <c r="S108">
        <v>2</v>
      </c>
      <c r="T108" t="s">
        <v>4196</v>
      </c>
      <c r="U108" t="s">
        <v>4223</v>
      </c>
      <c r="W108" t="s">
        <v>4238</v>
      </c>
      <c r="X108" t="s">
        <v>3382</v>
      </c>
      <c r="Y108" t="s">
        <v>3382</v>
      </c>
      <c r="AA108" t="s">
        <v>4256</v>
      </c>
      <c r="AC108">
        <v>0</v>
      </c>
      <c r="AD108">
        <v>1500</v>
      </c>
      <c r="AE108">
        <v>2.8</v>
      </c>
      <c r="AG108" t="s">
        <v>4385</v>
      </c>
      <c r="AI108" t="s">
        <v>5470</v>
      </c>
      <c r="AJ108">
        <v>107</v>
      </c>
      <c r="AK108" t="s">
        <v>6266</v>
      </c>
      <c r="AL108">
        <v>2</v>
      </c>
      <c r="AM108">
        <v>1</v>
      </c>
      <c r="AN108">
        <v>135.96</v>
      </c>
      <c r="AR108" t="s">
        <v>5312</v>
      </c>
      <c r="AS108" t="s">
        <v>6298</v>
      </c>
      <c r="AT108">
        <v>29000</v>
      </c>
      <c r="AX108" t="s">
        <v>6397</v>
      </c>
      <c r="BA108" t="s">
        <v>6477</v>
      </c>
      <c r="BD108" t="s">
        <v>237</v>
      </c>
      <c r="BE108" t="s">
        <v>6702</v>
      </c>
    </row>
    <row r="109" spans="1:57">
      <c r="A109" s="1">
        <f>HYPERLINK("https://lsnyc.legalserver.org/matter/dynamic-profile/view/1914515","19-1914515")</f>
        <v>0</v>
      </c>
      <c r="B109" t="s">
        <v>57</v>
      </c>
      <c r="C109" t="s">
        <v>79</v>
      </c>
      <c r="D109" t="s">
        <v>214</v>
      </c>
      <c r="E109" t="s">
        <v>227</v>
      </c>
      <c r="G109" t="s">
        <v>607</v>
      </c>
      <c r="H109" t="s">
        <v>1418</v>
      </c>
      <c r="J109" t="s">
        <v>2160</v>
      </c>
      <c r="K109" t="s">
        <v>3020</v>
      </c>
      <c r="L109" t="s">
        <v>3329</v>
      </c>
      <c r="M109" t="s">
        <v>3379</v>
      </c>
      <c r="N109">
        <v>10467</v>
      </c>
      <c r="O109" t="s">
        <v>3380</v>
      </c>
      <c r="P109" t="s">
        <v>3381</v>
      </c>
      <c r="Q109" t="s">
        <v>3384</v>
      </c>
      <c r="R109" t="s">
        <v>3497</v>
      </c>
      <c r="S109">
        <v>9</v>
      </c>
      <c r="T109" t="s">
        <v>4196</v>
      </c>
      <c r="W109" t="s">
        <v>4238</v>
      </c>
      <c r="X109" t="s">
        <v>3382</v>
      </c>
      <c r="Y109" t="s">
        <v>3382</v>
      </c>
      <c r="AA109" t="s">
        <v>4256</v>
      </c>
      <c r="AC109">
        <v>0</v>
      </c>
      <c r="AD109">
        <v>1403</v>
      </c>
      <c r="AE109">
        <v>1.4</v>
      </c>
      <c r="AG109" t="s">
        <v>4386</v>
      </c>
      <c r="AI109" t="s">
        <v>5471</v>
      </c>
      <c r="AJ109">
        <v>74</v>
      </c>
      <c r="AL109">
        <v>4</v>
      </c>
      <c r="AM109">
        <v>1</v>
      </c>
      <c r="AN109">
        <v>0</v>
      </c>
      <c r="AR109" t="s">
        <v>5312</v>
      </c>
      <c r="AS109" t="s">
        <v>6298</v>
      </c>
      <c r="AT109">
        <v>0</v>
      </c>
      <c r="AX109" t="s">
        <v>6397</v>
      </c>
      <c r="BA109" t="s">
        <v>6479</v>
      </c>
      <c r="BD109" t="s">
        <v>267</v>
      </c>
    </row>
    <row r="110" spans="1:57">
      <c r="A110" s="1">
        <f>HYPERLINK("https://lsnyc.legalserver.org/matter/dynamic-profile/view/1915171","19-1915171")</f>
        <v>0</v>
      </c>
      <c r="B110" t="s">
        <v>57</v>
      </c>
      <c r="C110" t="s">
        <v>79</v>
      </c>
      <c r="D110" t="s">
        <v>214</v>
      </c>
      <c r="E110" t="s">
        <v>275</v>
      </c>
      <c r="G110" t="s">
        <v>682</v>
      </c>
      <c r="H110" t="s">
        <v>1419</v>
      </c>
      <c r="J110" t="s">
        <v>2161</v>
      </c>
      <c r="K110" t="s">
        <v>2998</v>
      </c>
      <c r="L110" t="s">
        <v>3329</v>
      </c>
      <c r="M110" t="s">
        <v>3379</v>
      </c>
      <c r="N110">
        <v>10463</v>
      </c>
      <c r="O110" t="s">
        <v>3382</v>
      </c>
      <c r="P110" t="s">
        <v>3381</v>
      </c>
      <c r="Q110" t="s">
        <v>3384</v>
      </c>
      <c r="R110" t="s">
        <v>3498</v>
      </c>
      <c r="S110">
        <v>0</v>
      </c>
      <c r="T110" t="s">
        <v>4197</v>
      </c>
      <c r="U110" t="s">
        <v>4225</v>
      </c>
      <c r="W110" t="s">
        <v>4239</v>
      </c>
      <c r="X110" t="s">
        <v>3382</v>
      </c>
      <c r="Y110" t="s">
        <v>3382</v>
      </c>
      <c r="AA110" t="s">
        <v>4256</v>
      </c>
      <c r="AC110">
        <v>0</v>
      </c>
      <c r="AD110">
        <v>0</v>
      </c>
      <c r="AE110">
        <v>0</v>
      </c>
      <c r="AG110" t="s">
        <v>4387</v>
      </c>
      <c r="AI110" t="s">
        <v>5472</v>
      </c>
      <c r="AJ110">
        <v>63</v>
      </c>
      <c r="AK110" t="s">
        <v>6275</v>
      </c>
      <c r="AL110">
        <v>2</v>
      </c>
      <c r="AM110">
        <v>0</v>
      </c>
      <c r="AN110">
        <v>600.83</v>
      </c>
      <c r="AS110" t="s">
        <v>6298</v>
      </c>
      <c r="AT110">
        <v>101600</v>
      </c>
      <c r="AX110" t="s">
        <v>6387</v>
      </c>
      <c r="BA110" t="s">
        <v>6477</v>
      </c>
      <c r="BE110" t="s">
        <v>6702</v>
      </c>
    </row>
    <row r="111" spans="1:57">
      <c r="A111" s="1">
        <f>HYPERLINK("https://lsnyc.legalserver.org/matter/dynamic-profile/view/1890196","19-1890196")</f>
        <v>0</v>
      </c>
      <c r="B111" t="s">
        <v>57</v>
      </c>
      <c r="C111" t="s">
        <v>79</v>
      </c>
      <c r="D111" t="s">
        <v>214</v>
      </c>
      <c r="E111" t="s">
        <v>257</v>
      </c>
      <c r="G111" t="s">
        <v>683</v>
      </c>
      <c r="H111" t="s">
        <v>1420</v>
      </c>
      <c r="J111" t="s">
        <v>2162</v>
      </c>
      <c r="K111" t="s">
        <v>2997</v>
      </c>
      <c r="L111" t="s">
        <v>3329</v>
      </c>
      <c r="M111" t="s">
        <v>3379</v>
      </c>
      <c r="N111">
        <v>10457</v>
      </c>
      <c r="O111" t="s">
        <v>3381</v>
      </c>
      <c r="P111" t="s">
        <v>3381</v>
      </c>
      <c r="Q111" t="s">
        <v>3386</v>
      </c>
      <c r="R111" t="s">
        <v>3499</v>
      </c>
      <c r="S111">
        <v>7</v>
      </c>
      <c r="T111" t="s">
        <v>4196</v>
      </c>
      <c r="U111" t="s">
        <v>4223</v>
      </c>
      <c r="W111" t="s">
        <v>4238</v>
      </c>
      <c r="X111" t="s">
        <v>3382</v>
      </c>
      <c r="Y111" t="s">
        <v>3382</v>
      </c>
      <c r="AA111" t="s">
        <v>4256</v>
      </c>
      <c r="AB111" t="s">
        <v>4262</v>
      </c>
      <c r="AC111">
        <v>0</v>
      </c>
      <c r="AD111">
        <v>2100</v>
      </c>
      <c r="AE111">
        <v>7</v>
      </c>
      <c r="AG111" t="s">
        <v>4388</v>
      </c>
      <c r="AI111" t="s">
        <v>5473</v>
      </c>
      <c r="AJ111">
        <v>23</v>
      </c>
      <c r="AK111" t="s">
        <v>6267</v>
      </c>
      <c r="AL111">
        <v>2</v>
      </c>
      <c r="AM111">
        <v>2</v>
      </c>
      <c r="AN111">
        <v>100.97</v>
      </c>
      <c r="AR111" t="s">
        <v>6290</v>
      </c>
      <c r="AS111" t="s">
        <v>6298</v>
      </c>
      <c r="AT111">
        <v>26000</v>
      </c>
      <c r="AW111" t="s">
        <v>6340</v>
      </c>
      <c r="AX111" t="s">
        <v>99</v>
      </c>
      <c r="BA111" t="s">
        <v>6505</v>
      </c>
      <c r="BD111" t="s">
        <v>6633</v>
      </c>
    </row>
    <row r="112" spans="1:57">
      <c r="A112" s="1">
        <f>HYPERLINK("https://lsnyc.legalserver.org/matter/dynamic-profile/view/1895169","19-1895169")</f>
        <v>0</v>
      </c>
      <c r="B112" t="s">
        <v>57</v>
      </c>
      <c r="C112" t="s">
        <v>79</v>
      </c>
      <c r="D112" t="s">
        <v>215</v>
      </c>
      <c r="E112" t="s">
        <v>276</v>
      </c>
      <c r="F112" t="s">
        <v>347</v>
      </c>
      <c r="G112" t="s">
        <v>684</v>
      </c>
      <c r="H112" t="s">
        <v>1421</v>
      </c>
      <c r="J112" t="s">
        <v>2163</v>
      </c>
      <c r="K112">
        <v>1</v>
      </c>
      <c r="L112" t="s">
        <v>3329</v>
      </c>
      <c r="M112" t="s">
        <v>3379</v>
      </c>
      <c r="N112">
        <v>10457</v>
      </c>
      <c r="O112" t="s">
        <v>3381</v>
      </c>
      <c r="P112" t="s">
        <v>3381</v>
      </c>
      <c r="Q112" t="s">
        <v>3391</v>
      </c>
      <c r="R112" t="s">
        <v>3500</v>
      </c>
      <c r="S112">
        <v>10</v>
      </c>
      <c r="T112" t="s">
        <v>4196</v>
      </c>
      <c r="U112" t="s">
        <v>4223</v>
      </c>
      <c r="V112" t="s">
        <v>4232</v>
      </c>
      <c r="W112" t="s">
        <v>4238</v>
      </c>
      <c r="X112" t="s">
        <v>3382</v>
      </c>
      <c r="AA112" t="s">
        <v>4256</v>
      </c>
      <c r="AB112" t="s">
        <v>4264</v>
      </c>
      <c r="AC112">
        <v>0</v>
      </c>
      <c r="AD112">
        <v>1934</v>
      </c>
      <c r="AE112">
        <v>34.6</v>
      </c>
      <c r="AF112" t="s">
        <v>4270</v>
      </c>
      <c r="AG112" t="s">
        <v>4389</v>
      </c>
      <c r="AH112" t="s">
        <v>5251</v>
      </c>
      <c r="AI112" t="s">
        <v>5474</v>
      </c>
      <c r="AJ112">
        <v>8</v>
      </c>
      <c r="AK112" t="s">
        <v>6273</v>
      </c>
      <c r="AL112">
        <v>2</v>
      </c>
      <c r="AM112">
        <v>2</v>
      </c>
      <c r="AN112">
        <v>21.61</v>
      </c>
      <c r="AR112" t="s">
        <v>6290</v>
      </c>
      <c r="AS112" t="s">
        <v>6298</v>
      </c>
      <c r="AT112">
        <v>5564</v>
      </c>
      <c r="AW112" t="s">
        <v>6341</v>
      </c>
      <c r="AX112" t="s">
        <v>6399</v>
      </c>
      <c r="BA112" t="s">
        <v>6506</v>
      </c>
      <c r="BD112" t="s">
        <v>500</v>
      </c>
      <c r="BE112" t="s">
        <v>6703</v>
      </c>
    </row>
    <row r="113" spans="1:57">
      <c r="A113" s="1">
        <f>HYPERLINK("https://lsnyc.legalserver.org/matter/dynamic-profile/view/1901787","19-1901787")</f>
        <v>0</v>
      </c>
      <c r="B113" t="s">
        <v>57</v>
      </c>
      <c r="C113" t="s">
        <v>79</v>
      </c>
      <c r="D113" t="s">
        <v>214</v>
      </c>
      <c r="E113" t="s">
        <v>277</v>
      </c>
      <c r="G113" t="s">
        <v>685</v>
      </c>
      <c r="H113" t="s">
        <v>1422</v>
      </c>
      <c r="J113" t="s">
        <v>2164</v>
      </c>
      <c r="K113" t="s">
        <v>3052</v>
      </c>
      <c r="L113" t="s">
        <v>3329</v>
      </c>
      <c r="M113" t="s">
        <v>3379</v>
      </c>
      <c r="N113">
        <v>10457</v>
      </c>
      <c r="O113" t="s">
        <v>3380</v>
      </c>
      <c r="P113" t="s">
        <v>3381</v>
      </c>
      <c r="Q113" t="s">
        <v>3384</v>
      </c>
      <c r="R113" t="s">
        <v>3501</v>
      </c>
      <c r="S113">
        <v>5</v>
      </c>
      <c r="T113" t="s">
        <v>4196</v>
      </c>
      <c r="U113" t="s">
        <v>4223</v>
      </c>
      <c r="W113" t="s">
        <v>4238</v>
      </c>
      <c r="X113" t="s">
        <v>3382</v>
      </c>
      <c r="Y113" t="s">
        <v>3382</v>
      </c>
      <c r="AA113" t="s">
        <v>4256</v>
      </c>
      <c r="AB113" t="s">
        <v>4261</v>
      </c>
      <c r="AC113">
        <v>0</v>
      </c>
      <c r="AD113">
        <v>1073</v>
      </c>
      <c r="AE113">
        <v>6.6</v>
      </c>
      <c r="AG113" t="s">
        <v>4390</v>
      </c>
      <c r="AI113" t="s">
        <v>5475</v>
      </c>
      <c r="AJ113">
        <v>28</v>
      </c>
      <c r="AK113" t="s">
        <v>6266</v>
      </c>
      <c r="AL113">
        <v>1</v>
      </c>
      <c r="AM113">
        <v>3</v>
      </c>
      <c r="AN113">
        <v>33.93</v>
      </c>
      <c r="AR113" t="s">
        <v>6289</v>
      </c>
      <c r="AS113" t="s">
        <v>6298</v>
      </c>
      <c r="AT113">
        <v>8736</v>
      </c>
      <c r="AX113" t="s">
        <v>6397</v>
      </c>
      <c r="BA113" t="s">
        <v>6507</v>
      </c>
      <c r="BD113" t="s">
        <v>275</v>
      </c>
    </row>
    <row r="114" spans="1:57">
      <c r="A114" s="1">
        <f>HYPERLINK("https://lsnyc.legalserver.org/matter/dynamic-profile/view/1912306","19-1912306")</f>
        <v>0</v>
      </c>
      <c r="B114" t="s">
        <v>57</v>
      </c>
      <c r="C114" t="s">
        <v>79</v>
      </c>
      <c r="D114" t="s">
        <v>214</v>
      </c>
      <c r="E114" t="s">
        <v>248</v>
      </c>
      <c r="G114" t="s">
        <v>686</v>
      </c>
      <c r="H114" t="s">
        <v>1423</v>
      </c>
      <c r="J114" t="s">
        <v>2165</v>
      </c>
      <c r="K114" t="s">
        <v>3053</v>
      </c>
      <c r="L114" t="s">
        <v>3329</v>
      </c>
      <c r="M114" t="s">
        <v>3379</v>
      </c>
      <c r="N114">
        <v>10457</v>
      </c>
      <c r="O114" t="s">
        <v>3380</v>
      </c>
      <c r="P114" t="s">
        <v>3381</v>
      </c>
      <c r="Q114" t="s">
        <v>3384</v>
      </c>
      <c r="R114" t="s">
        <v>3502</v>
      </c>
      <c r="S114">
        <v>2</v>
      </c>
      <c r="T114" t="s">
        <v>4196</v>
      </c>
      <c r="U114" t="s">
        <v>4223</v>
      </c>
      <c r="W114" t="s">
        <v>4238</v>
      </c>
      <c r="X114" t="s">
        <v>3382</v>
      </c>
      <c r="Y114" t="s">
        <v>3382</v>
      </c>
      <c r="AA114" t="s">
        <v>4256</v>
      </c>
      <c r="AB114" t="s">
        <v>4261</v>
      </c>
      <c r="AC114">
        <v>0</v>
      </c>
      <c r="AD114">
        <v>1268.75</v>
      </c>
      <c r="AE114">
        <v>2.05</v>
      </c>
      <c r="AG114" t="s">
        <v>4391</v>
      </c>
      <c r="AI114" t="s">
        <v>5476</v>
      </c>
      <c r="AJ114">
        <v>44</v>
      </c>
      <c r="AK114" t="s">
        <v>6266</v>
      </c>
      <c r="AL114">
        <v>1</v>
      </c>
      <c r="AM114">
        <v>1</v>
      </c>
      <c r="AN114">
        <v>61.5</v>
      </c>
      <c r="AR114" t="s">
        <v>5312</v>
      </c>
      <c r="AS114" t="s">
        <v>6298</v>
      </c>
      <c r="AT114">
        <v>10400</v>
      </c>
      <c r="AX114" t="s">
        <v>6397</v>
      </c>
      <c r="BA114" t="s">
        <v>6477</v>
      </c>
      <c r="BD114" t="s">
        <v>341</v>
      </c>
    </row>
    <row r="115" spans="1:57">
      <c r="A115" s="1">
        <f>HYPERLINK("https://lsnyc.legalserver.org/matter/dynamic-profile/view/1914606","19-1914606")</f>
        <v>0</v>
      </c>
      <c r="B115" t="s">
        <v>57</v>
      </c>
      <c r="C115" t="s">
        <v>79</v>
      </c>
      <c r="D115" t="s">
        <v>214</v>
      </c>
      <c r="E115" t="s">
        <v>222</v>
      </c>
      <c r="G115" t="s">
        <v>687</v>
      </c>
      <c r="H115" t="s">
        <v>1424</v>
      </c>
      <c r="J115" t="s">
        <v>2166</v>
      </c>
      <c r="K115" t="s">
        <v>3054</v>
      </c>
      <c r="L115" t="s">
        <v>3329</v>
      </c>
      <c r="M115" t="s">
        <v>3379</v>
      </c>
      <c r="N115">
        <v>10457</v>
      </c>
      <c r="O115" t="s">
        <v>3380</v>
      </c>
      <c r="P115" t="s">
        <v>3381</v>
      </c>
      <c r="Q115" t="s">
        <v>3383</v>
      </c>
      <c r="R115" t="s">
        <v>3503</v>
      </c>
      <c r="S115">
        <v>12</v>
      </c>
      <c r="T115" t="s">
        <v>4196</v>
      </c>
      <c r="U115" t="s">
        <v>4223</v>
      </c>
      <c r="W115" t="s">
        <v>4238</v>
      </c>
      <c r="X115" t="s">
        <v>3382</v>
      </c>
      <c r="Y115" t="s">
        <v>3382</v>
      </c>
      <c r="AA115" t="s">
        <v>4256</v>
      </c>
      <c r="AC115">
        <v>0</v>
      </c>
      <c r="AD115">
        <v>1679</v>
      </c>
      <c r="AE115">
        <v>1</v>
      </c>
      <c r="AG115" t="s">
        <v>4392</v>
      </c>
      <c r="AI115" t="s">
        <v>5477</v>
      </c>
      <c r="AJ115">
        <v>281</v>
      </c>
      <c r="AK115" t="s">
        <v>6266</v>
      </c>
      <c r="AL115">
        <v>1</v>
      </c>
      <c r="AM115">
        <v>1</v>
      </c>
      <c r="AN115">
        <v>177.41</v>
      </c>
      <c r="AS115" t="s">
        <v>6298</v>
      </c>
      <c r="AT115">
        <v>30000</v>
      </c>
      <c r="AX115" t="s">
        <v>99</v>
      </c>
      <c r="BA115" t="s">
        <v>6477</v>
      </c>
      <c r="BD115" t="s">
        <v>275</v>
      </c>
      <c r="BE115" t="s">
        <v>6702</v>
      </c>
    </row>
    <row r="116" spans="1:57">
      <c r="A116" s="1">
        <f>HYPERLINK("https://lsnyc.legalserver.org/matter/dynamic-profile/view/1915032","19-1915032")</f>
        <v>0</v>
      </c>
      <c r="B116" t="s">
        <v>57</v>
      </c>
      <c r="C116" t="s">
        <v>79</v>
      </c>
      <c r="D116" t="s">
        <v>214</v>
      </c>
      <c r="E116" t="s">
        <v>237</v>
      </c>
      <c r="G116" t="s">
        <v>688</v>
      </c>
      <c r="H116" t="s">
        <v>1425</v>
      </c>
      <c r="J116" t="s">
        <v>2167</v>
      </c>
      <c r="K116" t="s">
        <v>3055</v>
      </c>
      <c r="L116" t="s">
        <v>3329</v>
      </c>
      <c r="M116" t="s">
        <v>3379</v>
      </c>
      <c r="N116">
        <v>10457</v>
      </c>
      <c r="O116" t="s">
        <v>3380</v>
      </c>
      <c r="P116" t="s">
        <v>3381</v>
      </c>
      <c r="Q116" t="s">
        <v>3384</v>
      </c>
      <c r="R116" t="s">
        <v>3504</v>
      </c>
      <c r="S116">
        <v>16</v>
      </c>
      <c r="T116" t="s">
        <v>4196</v>
      </c>
      <c r="U116" t="s">
        <v>4223</v>
      </c>
      <c r="W116" t="s">
        <v>4238</v>
      </c>
      <c r="X116" t="s">
        <v>3382</v>
      </c>
      <c r="Y116" t="s">
        <v>3382</v>
      </c>
      <c r="AA116" t="s">
        <v>4256</v>
      </c>
      <c r="AC116">
        <v>0</v>
      </c>
      <c r="AD116">
        <v>1400</v>
      </c>
      <c r="AE116">
        <v>0</v>
      </c>
      <c r="AG116" t="s">
        <v>4393</v>
      </c>
      <c r="AI116" t="s">
        <v>5478</v>
      </c>
      <c r="AJ116">
        <v>16</v>
      </c>
      <c r="AK116" t="s">
        <v>6266</v>
      </c>
      <c r="AL116">
        <v>1</v>
      </c>
      <c r="AM116">
        <v>2</v>
      </c>
      <c r="AN116">
        <v>56.26</v>
      </c>
      <c r="AR116" t="s">
        <v>6290</v>
      </c>
      <c r="AS116" t="s">
        <v>6298</v>
      </c>
      <c r="AT116">
        <v>12000</v>
      </c>
      <c r="AX116" t="s">
        <v>6397</v>
      </c>
      <c r="BA116" t="s">
        <v>6508</v>
      </c>
    </row>
    <row r="117" spans="1:57">
      <c r="A117" s="1">
        <f>HYPERLINK("https://lsnyc.legalserver.org/matter/dynamic-profile/view/1913857","19-1913857")</f>
        <v>0</v>
      </c>
      <c r="B117" t="s">
        <v>57</v>
      </c>
      <c r="C117" t="s">
        <v>79</v>
      </c>
      <c r="D117" t="s">
        <v>214</v>
      </c>
      <c r="E117" t="s">
        <v>222</v>
      </c>
      <c r="G117" t="s">
        <v>689</v>
      </c>
      <c r="H117" t="s">
        <v>1426</v>
      </c>
      <c r="J117" t="s">
        <v>2168</v>
      </c>
      <c r="K117" t="s">
        <v>3036</v>
      </c>
      <c r="L117" t="s">
        <v>3329</v>
      </c>
      <c r="M117" t="s">
        <v>3379</v>
      </c>
      <c r="N117">
        <v>10456</v>
      </c>
      <c r="O117" t="s">
        <v>3380</v>
      </c>
      <c r="P117" t="s">
        <v>3381</v>
      </c>
      <c r="Q117" t="s">
        <v>3384</v>
      </c>
      <c r="R117" t="s">
        <v>3505</v>
      </c>
      <c r="S117">
        <v>25</v>
      </c>
      <c r="T117" t="s">
        <v>4197</v>
      </c>
      <c r="U117" t="s">
        <v>4224</v>
      </c>
      <c r="W117" t="s">
        <v>4239</v>
      </c>
      <c r="X117" t="s">
        <v>3382</v>
      </c>
      <c r="Y117" t="s">
        <v>3382</v>
      </c>
      <c r="AA117" t="s">
        <v>4256</v>
      </c>
      <c r="AB117" t="s">
        <v>4261</v>
      </c>
      <c r="AC117">
        <v>0</v>
      </c>
      <c r="AD117">
        <v>0</v>
      </c>
      <c r="AE117">
        <v>1.7</v>
      </c>
      <c r="AG117" t="s">
        <v>4394</v>
      </c>
      <c r="AI117" t="s">
        <v>5479</v>
      </c>
      <c r="AJ117">
        <v>43</v>
      </c>
      <c r="AK117" t="s">
        <v>6267</v>
      </c>
      <c r="AL117">
        <v>4</v>
      </c>
      <c r="AM117">
        <v>0</v>
      </c>
      <c r="AN117">
        <v>174.76</v>
      </c>
      <c r="AS117" t="s">
        <v>6299</v>
      </c>
      <c r="AT117">
        <v>45000</v>
      </c>
      <c r="AX117" t="s">
        <v>6387</v>
      </c>
      <c r="BA117" t="s">
        <v>6477</v>
      </c>
      <c r="BD117" t="s">
        <v>267</v>
      </c>
      <c r="BE117" t="s">
        <v>6702</v>
      </c>
    </row>
    <row r="118" spans="1:57">
      <c r="A118" s="1">
        <f>HYPERLINK("https://lsnyc.legalserver.org/matter/dynamic-profile/view/1899543","19-1899543")</f>
        <v>0</v>
      </c>
      <c r="B118" t="s">
        <v>57</v>
      </c>
      <c r="C118" t="s">
        <v>79</v>
      </c>
      <c r="D118" t="s">
        <v>214</v>
      </c>
      <c r="E118" t="s">
        <v>278</v>
      </c>
      <c r="G118" t="s">
        <v>670</v>
      </c>
      <c r="H118" t="s">
        <v>1427</v>
      </c>
      <c r="J118" t="s">
        <v>2169</v>
      </c>
      <c r="K118" t="s">
        <v>3000</v>
      </c>
      <c r="L118" t="s">
        <v>3329</v>
      </c>
      <c r="M118" t="s">
        <v>3379</v>
      </c>
      <c r="N118">
        <v>10456</v>
      </c>
      <c r="O118" t="s">
        <v>3380</v>
      </c>
      <c r="P118" t="s">
        <v>3381</v>
      </c>
      <c r="Q118" t="s">
        <v>3384</v>
      </c>
      <c r="R118" t="s">
        <v>3506</v>
      </c>
      <c r="S118">
        <v>25</v>
      </c>
      <c r="T118" t="s">
        <v>4196</v>
      </c>
      <c r="U118" t="s">
        <v>4223</v>
      </c>
      <c r="W118" t="s">
        <v>4239</v>
      </c>
      <c r="X118" t="s">
        <v>3382</v>
      </c>
      <c r="Y118" t="s">
        <v>3382</v>
      </c>
      <c r="AA118" t="s">
        <v>4256</v>
      </c>
      <c r="AB118" t="s">
        <v>4261</v>
      </c>
      <c r="AC118">
        <v>0</v>
      </c>
      <c r="AD118">
        <v>875</v>
      </c>
      <c r="AE118">
        <v>2.9</v>
      </c>
      <c r="AG118" t="s">
        <v>4395</v>
      </c>
      <c r="AJ118">
        <v>60</v>
      </c>
      <c r="AK118" t="s">
        <v>6266</v>
      </c>
      <c r="AL118">
        <v>2</v>
      </c>
      <c r="AM118">
        <v>2</v>
      </c>
      <c r="AN118">
        <v>136.7</v>
      </c>
      <c r="AR118" t="s">
        <v>5312</v>
      </c>
      <c r="AS118" t="s">
        <v>6298</v>
      </c>
      <c r="AT118">
        <v>35200</v>
      </c>
      <c r="AX118" t="s">
        <v>6397</v>
      </c>
      <c r="BA118" t="s">
        <v>6509</v>
      </c>
      <c r="BD118" t="s">
        <v>267</v>
      </c>
    </row>
    <row r="119" spans="1:57">
      <c r="A119" s="1">
        <f>HYPERLINK("https://lsnyc.legalserver.org/matter/dynamic-profile/view/1911122","19-1911122")</f>
        <v>0</v>
      </c>
      <c r="B119" t="s">
        <v>57</v>
      </c>
      <c r="C119" t="s">
        <v>79</v>
      </c>
      <c r="D119" t="s">
        <v>214</v>
      </c>
      <c r="E119" t="s">
        <v>279</v>
      </c>
      <c r="G119" t="s">
        <v>690</v>
      </c>
      <c r="H119" t="s">
        <v>1428</v>
      </c>
      <c r="J119" t="s">
        <v>2170</v>
      </c>
      <c r="K119" t="s">
        <v>3048</v>
      </c>
      <c r="L119" t="s">
        <v>3329</v>
      </c>
      <c r="M119" t="s">
        <v>3379</v>
      </c>
      <c r="N119">
        <v>10456</v>
      </c>
      <c r="O119" t="s">
        <v>3381</v>
      </c>
      <c r="P119" t="s">
        <v>3381</v>
      </c>
      <c r="Q119" t="s">
        <v>3387</v>
      </c>
      <c r="R119" t="s">
        <v>3507</v>
      </c>
      <c r="S119">
        <v>8</v>
      </c>
      <c r="T119" t="s">
        <v>4196</v>
      </c>
      <c r="U119" t="s">
        <v>4226</v>
      </c>
      <c r="W119" t="s">
        <v>4239</v>
      </c>
      <c r="X119" t="s">
        <v>3382</v>
      </c>
      <c r="AA119" t="s">
        <v>4256</v>
      </c>
      <c r="AC119">
        <v>0</v>
      </c>
      <c r="AD119">
        <v>1276</v>
      </c>
      <c r="AE119">
        <v>4.05</v>
      </c>
      <c r="AG119" t="s">
        <v>4396</v>
      </c>
      <c r="AI119" t="s">
        <v>5480</v>
      </c>
      <c r="AJ119">
        <v>0</v>
      </c>
      <c r="AL119">
        <v>2</v>
      </c>
      <c r="AM119">
        <v>1</v>
      </c>
      <c r="AN119">
        <v>218.26</v>
      </c>
      <c r="AS119" t="s">
        <v>6299</v>
      </c>
      <c r="AT119">
        <v>46554.88</v>
      </c>
      <c r="AW119" t="s">
        <v>6342</v>
      </c>
      <c r="AX119" t="s">
        <v>6393</v>
      </c>
      <c r="BA119" t="s">
        <v>6510</v>
      </c>
      <c r="BD119" t="s">
        <v>269</v>
      </c>
      <c r="BE119" t="s">
        <v>6702</v>
      </c>
    </row>
    <row r="120" spans="1:57">
      <c r="A120" s="1">
        <f>HYPERLINK("https://lsnyc.legalserver.org/matter/dynamic-profile/view/1913529","19-1913529")</f>
        <v>0</v>
      </c>
      <c r="B120" t="s">
        <v>57</v>
      </c>
      <c r="C120" t="s">
        <v>79</v>
      </c>
      <c r="D120" t="s">
        <v>214</v>
      </c>
      <c r="E120" t="s">
        <v>251</v>
      </c>
      <c r="G120" t="s">
        <v>691</v>
      </c>
      <c r="H120" t="s">
        <v>1429</v>
      </c>
      <c r="J120" t="s">
        <v>2171</v>
      </c>
      <c r="K120" t="s">
        <v>3056</v>
      </c>
      <c r="L120" t="s">
        <v>3329</v>
      </c>
      <c r="M120" t="s">
        <v>3379</v>
      </c>
      <c r="N120">
        <v>10453</v>
      </c>
      <c r="O120" t="s">
        <v>3380</v>
      </c>
      <c r="P120" t="s">
        <v>3381</v>
      </c>
      <c r="Q120" t="s">
        <v>3384</v>
      </c>
      <c r="S120">
        <v>5</v>
      </c>
      <c r="T120" t="s">
        <v>4196</v>
      </c>
      <c r="U120" t="s">
        <v>4224</v>
      </c>
      <c r="W120" t="s">
        <v>4238</v>
      </c>
      <c r="X120" t="s">
        <v>3382</v>
      </c>
      <c r="Y120" t="s">
        <v>3382</v>
      </c>
      <c r="AA120" t="s">
        <v>4256</v>
      </c>
      <c r="AC120">
        <v>0</v>
      </c>
      <c r="AD120">
        <v>207</v>
      </c>
      <c r="AE120">
        <v>1.8</v>
      </c>
      <c r="AG120" t="s">
        <v>4397</v>
      </c>
      <c r="AH120" t="s">
        <v>5252</v>
      </c>
      <c r="AI120" t="s">
        <v>5481</v>
      </c>
      <c r="AJ120">
        <v>44</v>
      </c>
      <c r="AK120" t="s">
        <v>6266</v>
      </c>
      <c r="AL120">
        <v>2</v>
      </c>
      <c r="AM120">
        <v>1</v>
      </c>
      <c r="AN120">
        <v>0</v>
      </c>
      <c r="AR120" t="s">
        <v>6290</v>
      </c>
      <c r="AS120" t="s">
        <v>6298</v>
      </c>
      <c r="AT120">
        <v>0</v>
      </c>
      <c r="AX120" t="s">
        <v>6397</v>
      </c>
      <c r="BA120" t="s">
        <v>6479</v>
      </c>
      <c r="BD120" t="s">
        <v>267</v>
      </c>
      <c r="BE120" t="s">
        <v>6703</v>
      </c>
    </row>
    <row r="121" spans="1:57">
      <c r="A121" s="1">
        <f>HYPERLINK("https://lsnyc.legalserver.org/matter/dynamic-profile/view/1904769","19-1904769")</f>
        <v>0</v>
      </c>
      <c r="B121" t="s">
        <v>57</v>
      </c>
      <c r="C121" t="s">
        <v>79</v>
      </c>
      <c r="D121" t="s">
        <v>214</v>
      </c>
      <c r="E121" t="s">
        <v>280</v>
      </c>
      <c r="G121" t="s">
        <v>675</v>
      </c>
      <c r="H121" t="s">
        <v>1430</v>
      </c>
      <c r="J121" t="s">
        <v>2172</v>
      </c>
      <c r="K121" t="s">
        <v>3057</v>
      </c>
      <c r="L121" t="s">
        <v>3329</v>
      </c>
      <c r="M121" t="s">
        <v>3379</v>
      </c>
      <c r="N121">
        <v>10453</v>
      </c>
      <c r="O121" t="s">
        <v>3380</v>
      </c>
      <c r="P121" t="s">
        <v>3381</v>
      </c>
      <c r="R121" t="s">
        <v>3508</v>
      </c>
      <c r="S121">
        <v>27</v>
      </c>
      <c r="U121" t="s">
        <v>4225</v>
      </c>
      <c r="W121" t="s">
        <v>4239</v>
      </c>
      <c r="X121" t="s">
        <v>3382</v>
      </c>
      <c r="AA121" t="s">
        <v>4256</v>
      </c>
      <c r="AC121">
        <v>0</v>
      </c>
      <c r="AD121">
        <v>879.3</v>
      </c>
      <c r="AE121">
        <v>5.8</v>
      </c>
      <c r="AG121" t="s">
        <v>4398</v>
      </c>
      <c r="AI121" t="s">
        <v>5482</v>
      </c>
      <c r="AJ121">
        <v>0</v>
      </c>
      <c r="AL121">
        <v>1</v>
      </c>
      <c r="AM121">
        <v>0</v>
      </c>
      <c r="AN121">
        <v>47.94</v>
      </c>
      <c r="AS121" t="s">
        <v>6299</v>
      </c>
      <c r="AT121">
        <v>5988</v>
      </c>
      <c r="AX121" t="s">
        <v>6400</v>
      </c>
      <c r="BA121" t="s">
        <v>6511</v>
      </c>
      <c r="BD121" t="s">
        <v>267</v>
      </c>
      <c r="BE121" t="s">
        <v>6702</v>
      </c>
    </row>
    <row r="122" spans="1:57">
      <c r="A122" s="1">
        <f>HYPERLINK("https://lsnyc.legalserver.org/matter/dynamic-profile/view/1906537","19-1906537")</f>
        <v>0</v>
      </c>
      <c r="B122" t="s">
        <v>57</v>
      </c>
      <c r="C122" t="s">
        <v>79</v>
      </c>
      <c r="D122" t="s">
        <v>214</v>
      </c>
      <c r="E122" t="s">
        <v>281</v>
      </c>
      <c r="G122" t="s">
        <v>692</v>
      </c>
      <c r="H122" t="s">
        <v>1431</v>
      </c>
      <c r="J122" t="s">
        <v>2173</v>
      </c>
      <c r="K122" t="s">
        <v>3033</v>
      </c>
      <c r="L122" t="s">
        <v>3329</v>
      </c>
      <c r="M122" t="s">
        <v>3379</v>
      </c>
      <c r="N122">
        <v>10451</v>
      </c>
      <c r="O122" t="s">
        <v>3380</v>
      </c>
      <c r="P122" t="s">
        <v>3381</v>
      </c>
      <c r="Q122" t="s">
        <v>3384</v>
      </c>
      <c r="R122" t="s">
        <v>3509</v>
      </c>
      <c r="S122">
        <v>18</v>
      </c>
      <c r="T122" t="s">
        <v>4197</v>
      </c>
      <c r="W122" t="s">
        <v>4239</v>
      </c>
      <c r="X122" t="s">
        <v>3382</v>
      </c>
      <c r="Y122" t="s">
        <v>3382</v>
      </c>
      <c r="AA122" t="s">
        <v>4256</v>
      </c>
      <c r="AB122" t="s">
        <v>4266</v>
      </c>
      <c r="AC122">
        <v>0</v>
      </c>
      <c r="AD122">
        <v>1283</v>
      </c>
      <c r="AE122">
        <v>3.9</v>
      </c>
      <c r="AG122" t="s">
        <v>4399</v>
      </c>
      <c r="AI122" t="s">
        <v>5483</v>
      </c>
      <c r="AJ122">
        <v>56</v>
      </c>
      <c r="AK122" t="s">
        <v>6267</v>
      </c>
      <c r="AL122">
        <v>4</v>
      </c>
      <c r="AM122">
        <v>0</v>
      </c>
      <c r="AN122">
        <v>222.14</v>
      </c>
      <c r="AR122" t="s">
        <v>6291</v>
      </c>
      <c r="AS122" t="s">
        <v>6299</v>
      </c>
      <c r="AT122">
        <v>57200</v>
      </c>
      <c r="AX122" t="s">
        <v>6387</v>
      </c>
      <c r="BA122" t="s">
        <v>6477</v>
      </c>
      <c r="BD122" t="s">
        <v>237</v>
      </c>
      <c r="BE122" t="s">
        <v>6702</v>
      </c>
    </row>
    <row r="123" spans="1:57">
      <c r="A123" s="1">
        <f>HYPERLINK("https://lsnyc.legalserver.org/matter/dynamic-profile/view/1902873","19-1902873")</f>
        <v>0</v>
      </c>
      <c r="B123" t="s">
        <v>57</v>
      </c>
      <c r="C123" t="s">
        <v>80</v>
      </c>
      <c r="D123" t="s">
        <v>214</v>
      </c>
      <c r="E123" t="s">
        <v>264</v>
      </c>
      <c r="G123" t="s">
        <v>693</v>
      </c>
      <c r="H123" t="s">
        <v>1432</v>
      </c>
      <c r="J123" t="s">
        <v>2174</v>
      </c>
      <c r="K123" t="s">
        <v>3036</v>
      </c>
      <c r="L123" t="s">
        <v>3329</v>
      </c>
      <c r="M123" t="s">
        <v>3379</v>
      </c>
      <c r="N123">
        <v>10474</v>
      </c>
      <c r="O123" t="s">
        <v>3381</v>
      </c>
      <c r="P123" t="s">
        <v>3381</v>
      </c>
      <c r="Q123" t="s">
        <v>3386</v>
      </c>
      <c r="S123">
        <v>4</v>
      </c>
      <c r="U123" t="s">
        <v>4223</v>
      </c>
      <c r="W123" t="s">
        <v>4239</v>
      </c>
      <c r="X123" t="s">
        <v>3382</v>
      </c>
      <c r="AA123" t="s">
        <v>4256</v>
      </c>
      <c r="AC123">
        <v>0</v>
      </c>
      <c r="AD123">
        <v>785</v>
      </c>
      <c r="AE123">
        <v>4</v>
      </c>
      <c r="AG123" t="s">
        <v>4400</v>
      </c>
      <c r="AI123" t="s">
        <v>5484</v>
      </c>
      <c r="AJ123">
        <v>0</v>
      </c>
      <c r="AK123" t="s">
        <v>6267</v>
      </c>
      <c r="AL123">
        <v>1</v>
      </c>
      <c r="AM123">
        <v>0</v>
      </c>
      <c r="AN123">
        <v>17.58</v>
      </c>
      <c r="AS123" t="s">
        <v>6298</v>
      </c>
      <c r="AT123">
        <v>2196</v>
      </c>
      <c r="AX123" t="s">
        <v>6386</v>
      </c>
      <c r="BA123" t="s">
        <v>6483</v>
      </c>
      <c r="BD123" t="s">
        <v>387</v>
      </c>
    </row>
    <row r="124" spans="1:57">
      <c r="A124" s="1">
        <f>HYPERLINK("https://lsnyc.legalserver.org/matter/dynamic-profile/view/1874858","18-1874858")</f>
        <v>0</v>
      </c>
      <c r="B124" t="s">
        <v>57</v>
      </c>
      <c r="C124" t="s">
        <v>80</v>
      </c>
      <c r="D124" t="s">
        <v>214</v>
      </c>
      <c r="E124" t="s">
        <v>282</v>
      </c>
      <c r="G124" t="s">
        <v>694</v>
      </c>
      <c r="H124" t="s">
        <v>705</v>
      </c>
      <c r="J124" t="s">
        <v>2175</v>
      </c>
      <c r="K124" t="s">
        <v>3016</v>
      </c>
      <c r="L124" t="s">
        <v>3329</v>
      </c>
      <c r="M124" t="s">
        <v>3379</v>
      </c>
      <c r="N124">
        <v>10468</v>
      </c>
      <c r="O124" t="s">
        <v>3380</v>
      </c>
      <c r="P124" t="s">
        <v>3382</v>
      </c>
      <c r="Q124" t="s">
        <v>3389</v>
      </c>
      <c r="R124" t="s">
        <v>3510</v>
      </c>
      <c r="S124">
        <v>40</v>
      </c>
      <c r="T124" t="s">
        <v>4196</v>
      </c>
      <c r="U124" t="s">
        <v>4223</v>
      </c>
      <c r="W124" t="s">
        <v>4238</v>
      </c>
      <c r="X124" t="s">
        <v>3382</v>
      </c>
      <c r="Y124" t="s">
        <v>3382</v>
      </c>
      <c r="AA124" t="s">
        <v>4256</v>
      </c>
      <c r="AB124" t="s">
        <v>4262</v>
      </c>
      <c r="AC124">
        <v>0</v>
      </c>
      <c r="AD124">
        <v>1058.97</v>
      </c>
      <c r="AE124">
        <v>13.9</v>
      </c>
      <c r="AG124" t="s">
        <v>4401</v>
      </c>
      <c r="AJ124">
        <v>47</v>
      </c>
      <c r="AK124" t="s">
        <v>6267</v>
      </c>
      <c r="AL124">
        <v>2</v>
      </c>
      <c r="AM124">
        <v>0</v>
      </c>
      <c r="AN124">
        <v>60.73</v>
      </c>
      <c r="AQ124" t="s">
        <v>6287</v>
      </c>
      <c r="AR124" t="s">
        <v>5312</v>
      </c>
      <c r="AS124" t="s">
        <v>6298</v>
      </c>
      <c r="AT124">
        <v>9996</v>
      </c>
      <c r="AV124" t="s">
        <v>3382</v>
      </c>
      <c r="AW124" t="s">
        <v>6343</v>
      </c>
      <c r="AX124" t="s">
        <v>6401</v>
      </c>
      <c r="BA124" t="s">
        <v>6475</v>
      </c>
      <c r="BD124" t="s">
        <v>414</v>
      </c>
    </row>
    <row r="125" spans="1:57">
      <c r="A125" s="1">
        <f>HYPERLINK("https://lsnyc.legalserver.org/matter/dynamic-profile/view/1911582","19-1911582")</f>
        <v>0</v>
      </c>
      <c r="B125" t="s">
        <v>57</v>
      </c>
      <c r="C125" t="s">
        <v>80</v>
      </c>
      <c r="D125" t="s">
        <v>214</v>
      </c>
      <c r="E125" t="s">
        <v>221</v>
      </c>
      <c r="G125" t="s">
        <v>695</v>
      </c>
      <c r="H125" t="s">
        <v>1360</v>
      </c>
      <c r="J125" t="s">
        <v>2176</v>
      </c>
      <c r="K125" t="s">
        <v>3058</v>
      </c>
      <c r="L125" t="s">
        <v>3329</v>
      </c>
      <c r="M125" t="s">
        <v>3379</v>
      </c>
      <c r="N125">
        <v>10468</v>
      </c>
      <c r="O125" t="s">
        <v>3380</v>
      </c>
      <c r="P125" t="s">
        <v>3381</v>
      </c>
      <c r="Q125" t="s">
        <v>3386</v>
      </c>
      <c r="R125" t="s">
        <v>3511</v>
      </c>
      <c r="S125">
        <v>8</v>
      </c>
      <c r="T125" t="s">
        <v>4196</v>
      </c>
      <c r="W125" t="s">
        <v>4239</v>
      </c>
      <c r="X125" t="s">
        <v>3382</v>
      </c>
      <c r="AA125" t="s">
        <v>4256</v>
      </c>
      <c r="AC125">
        <v>0</v>
      </c>
      <c r="AD125">
        <v>936</v>
      </c>
      <c r="AE125">
        <v>8</v>
      </c>
      <c r="AG125" t="s">
        <v>4402</v>
      </c>
      <c r="AH125" t="s">
        <v>5253</v>
      </c>
      <c r="AJ125">
        <v>0</v>
      </c>
      <c r="AK125" t="s">
        <v>6267</v>
      </c>
      <c r="AL125">
        <v>1</v>
      </c>
      <c r="AM125">
        <v>1</v>
      </c>
      <c r="AN125">
        <v>76.88</v>
      </c>
      <c r="AS125" t="s">
        <v>6298</v>
      </c>
      <c r="AT125">
        <v>13000</v>
      </c>
      <c r="AX125" t="s">
        <v>6392</v>
      </c>
      <c r="BA125" t="s">
        <v>6477</v>
      </c>
      <c r="BD125" t="s">
        <v>248</v>
      </c>
      <c r="BE125" t="s">
        <v>6702</v>
      </c>
    </row>
    <row r="126" spans="1:57">
      <c r="A126" s="1">
        <f>HYPERLINK("https://lsnyc.legalserver.org/matter/dynamic-profile/view/1869408","18-1869408")</f>
        <v>0</v>
      </c>
      <c r="B126" t="s">
        <v>57</v>
      </c>
      <c r="C126" t="s">
        <v>80</v>
      </c>
      <c r="D126" t="s">
        <v>214</v>
      </c>
      <c r="E126" t="s">
        <v>283</v>
      </c>
      <c r="G126" t="s">
        <v>696</v>
      </c>
      <c r="H126" t="s">
        <v>1433</v>
      </c>
      <c r="J126" t="s">
        <v>2177</v>
      </c>
      <c r="K126" t="s">
        <v>3038</v>
      </c>
      <c r="L126" t="s">
        <v>3329</v>
      </c>
      <c r="M126" t="s">
        <v>3379</v>
      </c>
      <c r="N126">
        <v>10467</v>
      </c>
      <c r="O126" t="s">
        <v>3382</v>
      </c>
      <c r="P126" t="s">
        <v>3382</v>
      </c>
      <c r="Q126" t="s">
        <v>3391</v>
      </c>
      <c r="R126" t="s">
        <v>3512</v>
      </c>
      <c r="S126">
        <v>8</v>
      </c>
      <c r="T126" t="s">
        <v>4196</v>
      </c>
      <c r="U126" t="s">
        <v>4223</v>
      </c>
      <c r="W126" t="s">
        <v>4238</v>
      </c>
      <c r="X126" t="s">
        <v>3382</v>
      </c>
      <c r="Y126" t="s">
        <v>3382</v>
      </c>
      <c r="AA126" t="s">
        <v>4256</v>
      </c>
      <c r="AB126" t="s">
        <v>4261</v>
      </c>
      <c r="AC126">
        <v>557</v>
      </c>
      <c r="AD126">
        <v>1075</v>
      </c>
      <c r="AE126">
        <v>10.45</v>
      </c>
      <c r="AG126" t="s">
        <v>4403</v>
      </c>
      <c r="AJ126">
        <v>0</v>
      </c>
      <c r="AK126" t="s">
        <v>6267</v>
      </c>
      <c r="AL126">
        <v>1</v>
      </c>
      <c r="AM126">
        <v>0</v>
      </c>
      <c r="AN126">
        <v>76.8</v>
      </c>
      <c r="AS126" t="s">
        <v>6298</v>
      </c>
      <c r="AT126">
        <v>9324</v>
      </c>
      <c r="AW126" t="s">
        <v>6344</v>
      </c>
      <c r="AX126" t="s">
        <v>6391</v>
      </c>
      <c r="BA126" t="s">
        <v>6499</v>
      </c>
      <c r="BD126" t="s">
        <v>265</v>
      </c>
    </row>
    <row r="127" spans="1:57">
      <c r="A127" s="1">
        <f>HYPERLINK("https://lsnyc.legalserver.org/matter/dynamic-profile/view/1910733","19-1910733")</f>
        <v>0</v>
      </c>
      <c r="B127" t="s">
        <v>57</v>
      </c>
      <c r="C127" t="s">
        <v>80</v>
      </c>
      <c r="D127" t="s">
        <v>214</v>
      </c>
      <c r="E127" t="s">
        <v>284</v>
      </c>
      <c r="G127" t="s">
        <v>697</v>
      </c>
      <c r="H127" t="s">
        <v>1434</v>
      </c>
      <c r="J127" t="s">
        <v>2178</v>
      </c>
      <c r="K127" t="s">
        <v>3022</v>
      </c>
      <c r="L127" t="s">
        <v>3329</v>
      </c>
      <c r="M127" t="s">
        <v>3379</v>
      </c>
      <c r="N127">
        <v>10467</v>
      </c>
      <c r="O127" t="s">
        <v>3380</v>
      </c>
      <c r="P127" t="s">
        <v>3381</v>
      </c>
      <c r="Q127" t="s">
        <v>3387</v>
      </c>
      <c r="R127" t="s">
        <v>3513</v>
      </c>
      <c r="S127">
        <v>8</v>
      </c>
      <c r="T127" t="s">
        <v>4196</v>
      </c>
      <c r="W127" t="s">
        <v>4238</v>
      </c>
      <c r="X127" t="s">
        <v>3382</v>
      </c>
      <c r="Y127" t="s">
        <v>3382</v>
      </c>
      <c r="AA127" t="s">
        <v>4256</v>
      </c>
      <c r="AC127">
        <v>0</v>
      </c>
      <c r="AD127">
        <v>852.46</v>
      </c>
      <c r="AE127">
        <v>0</v>
      </c>
      <c r="AG127" t="s">
        <v>4404</v>
      </c>
      <c r="AI127" t="s">
        <v>5485</v>
      </c>
      <c r="AJ127">
        <v>0</v>
      </c>
      <c r="AK127" t="s">
        <v>6267</v>
      </c>
      <c r="AL127">
        <v>1</v>
      </c>
      <c r="AM127">
        <v>2</v>
      </c>
      <c r="AN127">
        <v>365.68</v>
      </c>
      <c r="AS127" t="s">
        <v>6298</v>
      </c>
      <c r="AT127">
        <v>78000</v>
      </c>
      <c r="AW127" t="s">
        <v>6342</v>
      </c>
      <c r="AX127" t="s">
        <v>6387</v>
      </c>
      <c r="BA127" t="s">
        <v>6477</v>
      </c>
      <c r="BE127" t="s">
        <v>6702</v>
      </c>
    </row>
    <row r="128" spans="1:57">
      <c r="A128" s="1">
        <f>HYPERLINK("https://lsnyc.legalserver.org/matter/dynamic-profile/view/1911326","19-1911326")</f>
        <v>0</v>
      </c>
      <c r="B128" t="s">
        <v>57</v>
      </c>
      <c r="C128" t="s">
        <v>80</v>
      </c>
      <c r="D128" t="s">
        <v>214</v>
      </c>
      <c r="E128" t="s">
        <v>253</v>
      </c>
      <c r="G128" t="s">
        <v>698</v>
      </c>
      <c r="H128" t="s">
        <v>1435</v>
      </c>
      <c r="J128" t="s">
        <v>2160</v>
      </c>
      <c r="K128" t="s">
        <v>3059</v>
      </c>
      <c r="L128" t="s">
        <v>3329</v>
      </c>
      <c r="M128" t="s">
        <v>3379</v>
      </c>
      <c r="N128">
        <v>10467</v>
      </c>
      <c r="O128" t="s">
        <v>3380</v>
      </c>
      <c r="P128" t="s">
        <v>3381</v>
      </c>
      <c r="R128" t="s">
        <v>3514</v>
      </c>
      <c r="S128">
        <v>2</v>
      </c>
      <c r="T128" t="s">
        <v>4196</v>
      </c>
      <c r="W128" t="s">
        <v>4238</v>
      </c>
      <c r="X128" t="s">
        <v>3382</v>
      </c>
      <c r="Y128" t="s">
        <v>3382</v>
      </c>
      <c r="AA128" t="s">
        <v>4256</v>
      </c>
      <c r="AC128">
        <v>0</v>
      </c>
      <c r="AD128">
        <v>1552</v>
      </c>
      <c r="AE128">
        <v>5</v>
      </c>
      <c r="AG128" t="s">
        <v>4405</v>
      </c>
      <c r="AI128" t="s">
        <v>5486</v>
      </c>
      <c r="AJ128">
        <v>0</v>
      </c>
      <c r="AK128" t="s">
        <v>6267</v>
      </c>
      <c r="AL128">
        <v>1</v>
      </c>
      <c r="AM128">
        <v>3</v>
      </c>
      <c r="AN128">
        <v>72.7</v>
      </c>
      <c r="AS128" t="s">
        <v>6298</v>
      </c>
      <c r="AT128">
        <v>18720</v>
      </c>
      <c r="AX128" t="s">
        <v>6392</v>
      </c>
      <c r="BA128" t="s">
        <v>6473</v>
      </c>
      <c r="BD128" t="s">
        <v>230</v>
      </c>
    </row>
    <row r="129" spans="1:57">
      <c r="A129" s="1">
        <f>HYPERLINK("https://lsnyc.legalserver.org/matter/dynamic-profile/view/1913852","19-1913852")</f>
        <v>0</v>
      </c>
      <c r="B129" t="s">
        <v>57</v>
      </c>
      <c r="C129" t="s">
        <v>80</v>
      </c>
      <c r="D129" t="s">
        <v>214</v>
      </c>
      <c r="E129" t="s">
        <v>222</v>
      </c>
      <c r="G129" t="s">
        <v>699</v>
      </c>
      <c r="H129" t="s">
        <v>1436</v>
      </c>
      <c r="J129" t="s">
        <v>2179</v>
      </c>
      <c r="K129" t="s">
        <v>3060</v>
      </c>
      <c r="L129" t="s">
        <v>3329</v>
      </c>
      <c r="M129" t="s">
        <v>3379</v>
      </c>
      <c r="N129">
        <v>10467</v>
      </c>
      <c r="O129" t="s">
        <v>3381</v>
      </c>
      <c r="P129" t="s">
        <v>3381</v>
      </c>
      <c r="Q129" t="s">
        <v>3384</v>
      </c>
      <c r="R129" t="s">
        <v>3515</v>
      </c>
      <c r="S129">
        <v>5</v>
      </c>
      <c r="T129" t="s">
        <v>4196</v>
      </c>
      <c r="U129" t="s">
        <v>4223</v>
      </c>
      <c r="W129" t="s">
        <v>4239</v>
      </c>
      <c r="X129" t="s">
        <v>3382</v>
      </c>
      <c r="AA129" t="s">
        <v>4256</v>
      </c>
      <c r="AC129">
        <v>0</v>
      </c>
      <c r="AD129">
        <v>1294.13</v>
      </c>
      <c r="AE129">
        <v>1.5</v>
      </c>
      <c r="AG129" t="s">
        <v>4406</v>
      </c>
      <c r="AI129" t="s">
        <v>5487</v>
      </c>
      <c r="AJ129">
        <v>6</v>
      </c>
      <c r="AK129" t="s">
        <v>6267</v>
      </c>
      <c r="AL129">
        <v>1</v>
      </c>
      <c r="AM129">
        <v>2</v>
      </c>
      <c r="AN129">
        <v>97.52</v>
      </c>
      <c r="AS129" t="s">
        <v>6298</v>
      </c>
      <c r="AT129">
        <v>20800</v>
      </c>
      <c r="AX129" t="s">
        <v>6386</v>
      </c>
      <c r="BA129" t="s">
        <v>6473</v>
      </c>
      <c r="BD129" t="s">
        <v>237</v>
      </c>
    </row>
    <row r="130" spans="1:57">
      <c r="A130" s="1">
        <f>HYPERLINK("https://lsnyc.legalserver.org/matter/dynamic-profile/view/1915378","19-1915378")</f>
        <v>0</v>
      </c>
      <c r="B130" t="s">
        <v>57</v>
      </c>
      <c r="C130" t="s">
        <v>80</v>
      </c>
      <c r="D130" t="s">
        <v>214</v>
      </c>
      <c r="E130" t="s">
        <v>218</v>
      </c>
      <c r="G130" t="s">
        <v>685</v>
      </c>
      <c r="H130" t="s">
        <v>1437</v>
      </c>
      <c r="J130" t="s">
        <v>2180</v>
      </c>
      <c r="K130">
        <v>10467</v>
      </c>
      <c r="L130" t="s">
        <v>3329</v>
      </c>
      <c r="M130" t="s">
        <v>3379</v>
      </c>
      <c r="N130">
        <v>10467</v>
      </c>
      <c r="O130" t="s">
        <v>3381</v>
      </c>
      <c r="P130" t="s">
        <v>3381</v>
      </c>
      <c r="Q130" t="s">
        <v>3384</v>
      </c>
      <c r="R130" t="s">
        <v>3516</v>
      </c>
      <c r="S130">
        <v>7</v>
      </c>
      <c r="T130" t="s">
        <v>4196</v>
      </c>
      <c r="U130" t="s">
        <v>4223</v>
      </c>
      <c r="W130" t="s">
        <v>4238</v>
      </c>
      <c r="X130" t="s">
        <v>3382</v>
      </c>
      <c r="AA130" t="s">
        <v>4256</v>
      </c>
      <c r="AC130">
        <v>0</v>
      </c>
      <c r="AD130">
        <v>1668</v>
      </c>
      <c r="AE130">
        <v>0</v>
      </c>
      <c r="AG130" t="s">
        <v>4407</v>
      </c>
      <c r="AI130" t="s">
        <v>5488</v>
      </c>
      <c r="AJ130">
        <v>4</v>
      </c>
      <c r="AL130">
        <v>1</v>
      </c>
      <c r="AM130">
        <v>3</v>
      </c>
      <c r="AN130">
        <v>50.49</v>
      </c>
      <c r="AS130" t="s">
        <v>6298</v>
      </c>
      <c r="AT130">
        <v>13000</v>
      </c>
      <c r="AX130" t="s">
        <v>6386</v>
      </c>
      <c r="BA130" t="s">
        <v>6473</v>
      </c>
    </row>
    <row r="131" spans="1:57">
      <c r="A131" s="1">
        <f>HYPERLINK("https://lsnyc.legalserver.org/matter/dynamic-profile/view/1915392","19-1915392")</f>
        <v>0</v>
      </c>
      <c r="B131" t="s">
        <v>57</v>
      </c>
      <c r="C131" t="s">
        <v>80</v>
      </c>
      <c r="D131" t="s">
        <v>214</v>
      </c>
      <c r="E131" t="s">
        <v>218</v>
      </c>
      <c r="G131" t="s">
        <v>700</v>
      </c>
      <c r="H131" t="s">
        <v>1438</v>
      </c>
      <c r="J131" t="s">
        <v>2181</v>
      </c>
      <c r="K131" t="s">
        <v>3007</v>
      </c>
      <c r="L131" t="s">
        <v>3329</v>
      </c>
      <c r="M131" t="s">
        <v>3379</v>
      </c>
      <c r="N131">
        <v>10467</v>
      </c>
      <c r="O131" t="s">
        <v>3381</v>
      </c>
      <c r="P131" t="s">
        <v>3381</v>
      </c>
      <c r="Q131" t="s">
        <v>3384</v>
      </c>
      <c r="R131" t="s">
        <v>3517</v>
      </c>
      <c r="S131">
        <v>11</v>
      </c>
      <c r="T131" t="s">
        <v>4196</v>
      </c>
      <c r="U131" t="s">
        <v>4223</v>
      </c>
      <c r="W131" t="s">
        <v>4238</v>
      </c>
      <c r="X131" t="s">
        <v>3382</v>
      </c>
      <c r="AA131" t="s">
        <v>4256</v>
      </c>
      <c r="AC131">
        <v>0</v>
      </c>
      <c r="AD131">
        <v>857</v>
      </c>
      <c r="AE131">
        <v>0</v>
      </c>
      <c r="AG131" t="s">
        <v>4408</v>
      </c>
      <c r="AI131" t="s">
        <v>5489</v>
      </c>
      <c r="AJ131">
        <v>0</v>
      </c>
      <c r="AK131" t="s">
        <v>6267</v>
      </c>
      <c r="AL131">
        <v>1</v>
      </c>
      <c r="AM131">
        <v>3</v>
      </c>
      <c r="AN131">
        <v>105.21</v>
      </c>
      <c r="AS131" t="s">
        <v>6298</v>
      </c>
      <c r="AT131">
        <v>27092</v>
      </c>
      <c r="AX131" t="s">
        <v>6386</v>
      </c>
      <c r="BA131" t="s">
        <v>6477</v>
      </c>
    </row>
    <row r="132" spans="1:57">
      <c r="A132" s="1">
        <f>HYPERLINK("https://lsnyc.legalserver.org/matter/dynamic-profile/view/1914400","19-1914400")</f>
        <v>0</v>
      </c>
      <c r="B132" t="s">
        <v>57</v>
      </c>
      <c r="C132" t="s">
        <v>80</v>
      </c>
      <c r="D132" t="s">
        <v>214</v>
      </c>
      <c r="E132" t="s">
        <v>224</v>
      </c>
      <c r="G132" t="s">
        <v>701</v>
      </c>
      <c r="H132" t="s">
        <v>1340</v>
      </c>
      <c r="J132" t="s">
        <v>2182</v>
      </c>
      <c r="K132" t="s">
        <v>3061</v>
      </c>
      <c r="L132" t="s">
        <v>3329</v>
      </c>
      <c r="M132" t="s">
        <v>3379</v>
      </c>
      <c r="N132">
        <v>10467</v>
      </c>
      <c r="O132" t="s">
        <v>3381</v>
      </c>
      <c r="P132" t="s">
        <v>3381</v>
      </c>
      <c r="Q132" t="s">
        <v>3384</v>
      </c>
      <c r="S132">
        <v>2</v>
      </c>
      <c r="U132" t="s">
        <v>4223</v>
      </c>
      <c r="W132" t="s">
        <v>4239</v>
      </c>
      <c r="X132" t="s">
        <v>3382</v>
      </c>
      <c r="AA132" t="s">
        <v>4256</v>
      </c>
      <c r="AC132">
        <v>0</v>
      </c>
      <c r="AD132">
        <v>1375</v>
      </c>
      <c r="AE132">
        <v>0</v>
      </c>
      <c r="AG132" t="s">
        <v>4409</v>
      </c>
      <c r="AJ132">
        <v>0</v>
      </c>
      <c r="AK132" t="s">
        <v>6266</v>
      </c>
      <c r="AL132">
        <v>1</v>
      </c>
      <c r="AM132">
        <v>0</v>
      </c>
      <c r="AN132">
        <v>133.23</v>
      </c>
      <c r="AS132" t="s">
        <v>6299</v>
      </c>
      <c r="AT132">
        <v>16640</v>
      </c>
      <c r="AX132" t="s">
        <v>6386</v>
      </c>
      <c r="BA132" t="s">
        <v>6477</v>
      </c>
    </row>
    <row r="133" spans="1:57">
      <c r="A133" s="1">
        <f>HYPERLINK("https://lsnyc.legalserver.org/matter/dynamic-profile/view/1915349","19-1915349")</f>
        <v>0</v>
      </c>
      <c r="B133" t="s">
        <v>57</v>
      </c>
      <c r="C133" t="s">
        <v>80</v>
      </c>
      <c r="D133" t="s">
        <v>214</v>
      </c>
      <c r="E133" t="s">
        <v>218</v>
      </c>
      <c r="G133" t="s">
        <v>702</v>
      </c>
      <c r="H133" t="s">
        <v>1439</v>
      </c>
      <c r="J133" t="s">
        <v>2183</v>
      </c>
      <c r="K133">
        <v>603</v>
      </c>
      <c r="L133" t="s">
        <v>3329</v>
      </c>
      <c r="M133" t="s">
        <v>3379</v>
      </c>
      <c r="N133">
        <v>10462</v>
      </c>
      <c r="O133" t="s">
        <v>3381</v>
      </c>
      <c r="P133" t="s">
        <v>3381</v>
      </c>
      <c r="R133" t="s">
        <v>3518</v>
      </c>
      <c r="S133">
        <v>5</v>
      </c>
      <c r="T133" t="s">
        <v>4197</v>
      </c>
      <c r="U133" t="s">
        <v>4223</v>
      </c>
      <c r="W133" t="s">
        <v>4239</v>
      </c>
      <c r="X133" t="s">
        <v>3382</v>
      </c>
      <c r="AA133" t="s">
        <v>4256</v>
      </c>
      <c r="AC133">
        <v>0</v>
      </c>
      <c r="AD133">
        <v>194</v>
      </c>
      <c r="AE133">
        <v>0</v>
      </c>
      <c r="AG133" t="s">
        <v>4410</v>
      </c>
      <c r="AI133" t="s">
        <v>5490</v>
      </c>
      <c r="AJ133">
        <v>0</v>
      </c>
      <c r="AL133">
        <v>2</v>
      </c>
      <c r="AM133">
        <v>0</v>
      </c>
      <c r="AN133">
        <v>46.13</v>
      </c>
      <c r="AS133" t="s">
        <v>6298</v>
      </c>
      <c r="AT133">
        <v>7800</v>
      </c>
      <c r="AX133" t="s">
        <v>6386</v>
      </c>
      <c r="BA133" t="s">
        <v>6482</v>
      </c>
    </row>
    <row r="134" spans="1:57">
      <c r="A134" s="1">
        <f>HYPERLINK("https://lsnyc.legalserver.org/matter/dynamic-profile/view/1897024","19-1897024")</f>
        <v>0</v>
      </c>
      <c r="B134" t="s">
        <v>57</v>
      </c>
      <c r="C134" t="s">
        <v>80</v>
      </c>
      <c r="D134" t="s">
        <v>214</v>
      </c>
      <c r="E134" t="s">
        <v>285</v>
      </c>
      <c r="G134" t="s">
        <v>703</v>
      </c>
      <c r="H134" t="s">
        <v>1440</v>
      </c>
      <c r="J134" t="s">
        <v>2184</v>
      </c>
      <c r="K134" t="s">
        <v>3062</v>
      </c>
      <c r="L134" t="s">
        <v>3329</v>
      </c>
      <c r="M134" t="s">
        <v>3379</v>
      </c>
      <c r="N134">
        <v>10462</v>
      </c>
      <c r="O134" t="s">
        <v>3380</v>
      </c>
      <c r="P134" t="s">
        <v>3381</v>
      </c>
      <c r="Q134" t="s">
        <v>3386</v>
      </c>
      <c r="R134" t="s">
        <v>3519</v>
      </c>
      <c r="S134">
        <v>7</v>
      </c>
      <c r="T134" t="s">
        <v>4196</v>
      </c>
      <c r="U134" t="s">
        <v>4223</v>
      </c>
      <c r="W134" t="s">
        <v>4238</v>
      </c>
      <c r="X134" t="s">
        <v>3382</v>
      </c>
      <c r="Y134" t="s">
        <v>3382</v>
      </c>
      <c r="AA134" t="s">
        <v>4256</v>
      </c>
      <c r="AB134" t="s">
        <v>4261</v>
      </c>
      <c r="AC134">
        <v>0</v>
      </c>
      <c r="AD134">
        <v>982</v>
      </c>
      <c r="AE134">
        <v>4.25</v>
      </c>
      <c r="AG134" t="s">
        <v>4411</v>
      </c>
      <c r="AI134" t="s">
        <v>5491</v>
      </c>
      <c r="AJ134">
        <v>12</v>
      </c>
      <c r="AK134" t="s">
        <v>6267</v>
      </c>
      <c r="AL134">
        <v>4</v>
      </c>
      <c r="AM134">
        <v>0</v>
      </c>
      <c r="AN134">
        <v>69.90000000000001</v>
      </c>
      <c r="AS134" t="s">
        <v>6300</v>
      </c>
      <c r="AT134">
        <v>18000</v>
      </c>
      <c r="AW134" t="s">
        <v>6345</v>
      </c>
      <c r="AX134" t="s">
        <v>6386</v>
      </c>
      <c r="BA134" t="s">
        <v>6477</v>
      </c>
      <c r="BB134" t="s">
        <v>6602</v>
      </c>
      <c r="BC134" t="s">
        <v>6607</v>
      </c>
      <c r="BD134" t="s">
        <v>6634</v>
      </c>
      <c r="BE134" t="s">
        <v>6702</v>
      </c>
    </row>
    <row r="135" spans="1:57">
      <c r="A135" s="1">
        <f>HYPERLINK("https://lsnyc.legalserver.org/matter/dynamic-profile/view/1907596","19-1907596")</f>
        <v>0</v>
      </c>
      <c r="B135" t="s">
        <v>57</v>
      </c>
      <c r="C135" t="s">
        <v>80</v>
      </c>
      <c r="D135" t="s">
        <v>214</v>
      </c>
      <c r="E135" t="s">
        <v>286</v>
      </c>
      <c r="G135" t="s">
        <v>704</v>
      </c>
      <c r="H135" t="s">
        <v>1441</v>
      </c>
      <c r="J135" t="s">
        <v>2185</v>
      </c>
      <c r="L135" t="s">
        <v>3329</v>
      </c>
      <c r="M135" t="s">
        <v>3379</v>
      </c>
      <c r="N135">
        <v>10462</v>
      </c>
      <c r="O135" t="s">
        <v>3380</v>
      </c>
      <c r="P135" t="s">
        <v>3381</v>
      </c>
      <c r="R135" t="s">
        <v>3520</v>
      </c>
      <c r="S135">
        <v>3</v>
      </c>
      <c r="T135" t="s">
        <v>4196</v>
      </c>
      <c r="W135" t="s">
        <v>4238</v>
      </c>
      <c r="X135" t="s">
        <v>3382</v>
      </c>
      <c r="Y135" t="s">
        <v>3382</v>
      </c>
      <c r="AA135" t="s">
        <v>4256</v>
      </c>
      <c r="AB135" t="s">
        <v>4262</v>
      </c>
      <c r="AC135">
        <v>0</v>
      </c>
      <c r="AD135">
        <v>1421</v>
      </c>
      <c r="AE135">
        <v>0.1</v>
      </c>
      <c r="AG135" t="s">
        <v>4412</v>
      </c>
      <c r="AI135" t="s">
        <v>5492</v>
      </c>
      <c r="AJ135">
        <v>171</v>
      </c>
      <c r="AK135" t="s">
        <v>6267</v>
      </c>
      <c r="AL135">
        <v>2</v>
      </c>
      <c r="AM135">
        <v>0</v>
      </c>
      <c r="AN135">
        <v>369.01</v>
      </c>
      <c r="AT135">
        <v>62400</v>
      </c>
      <c r="AW135" t="s">
        <v>6346</v>
      </c>
      <c r="AX135" t="s">
        <v>6387</v>
      </c>
      <c r="BA135" t="s">
        <v>6477</v>
      </c>
      <c r="BD135" t="s">
        <v>245</v>
      </c>
      <c r="BE135" t="s">
        <v>6702</v>
      </c>
    </row>
    <row r="136" spans="1:57">
      <c r="A136" s="1">
        <f>HYPERLINK("https://lsnyc.legalserver.org/matter/dynamic-profile/view/1911404","19-1911404")</f>
        <v>0</v>
      </c>
      <c r="B136" t="s">
        <v>57</v>
      </c>
      <c r="C136" t="s">
        <v>80</v>
      </c>
      <c r="D136" t="s">
        <v>214</v>
      </c>
      <c r="E136" t="s">
        <v>253</v>
      </c>
      <c r="G136" t="s">
        <v>614</v>
      </c>
      <c r="H136" t="s">
        <v>1442</v>
      </c>
      <c r="J136" t="s">
        <v>2186</v>
      </c>
      <c r="K136" t="s">
        <v>3030</v>
      </c>
      <c r="L136" t="s">
        <v>3329</v>
      </c>
      <c r="M136" t="s">
        <v>3379</v>
      </c>
      <c r="N136">
        <v>10462</v>
      </c>
      <c r="O136" t="s">
        <v>3380</v>
      </c>
      <c r="P136" t="s">
        <v>3381</v>
      </c>
      <c r="Q136" t="s">
        <v>3383</v>
      </c>
      <c r="R136" t="s">
        <v>3521</v>
      </c>
      <c r="S136">
        <v>1</v>
      </c>
      <c r="T136" t="s">
        <v>4196</v>
      </c>
      <c r="U136" t="s">
        <v>4224</v>
      </c>
      <c r="W136" t="s">
        <v>4238</v>
      </c>
      <c r="X136" t="s">
        <v>3382</v>
      </c>
      <c r="Y136" t="s">
        <v>3382</v>
      </c>
      <c r="AA136" t="s">
        <v>4256</v>
      </c>
      <c r="AC136">
        <v>0</v>
      </c>
      <c r="AD136">
        <v>1450</v>
      </c>
      <c r="AE136">
        <v>1</v>
      </c>
      <c r="AG136" t="s">
        <v>4413</v>
      </c>
      <c r="AI136" t="s">
        <v>5493</v>
      </c>
      <c r="AJ136">
        <v>78</v>
      </c>
      <c r="AK136" t="s">
        <v>6267</v>
      </c>
      <c r="AL136">
        <v>1</v>
      </c>
      <c r="AM136">
        <v>1</v>
      </c>
      <c r="AN136">
        <v>22.6</v>
      </c>
      <c r="AS136" t="s">
        <v>6298</v>
      </c>
      <c r="AT136">
        <v>3822</v>
      </c>
      <c r="AX136" t="s">
        <v>6387</v>
      </c>
      <c r="BA136" t="s">
        <v>6483</v>
      </c>
      <c r="BD136" t="s">
        <v>253</v>
      </c>
      <c r="BE136" t="s">
        <v>6702</v>
      </c>
    </row>
    <row r="137" spans="1:57">
      <c r="A137" s="1">
        <f>HYPERLINK("https://lsnyc.legalserver.org/matter/dynamic-profile/view/1907467","19-1907467")</f>
        <v>0</v>
      </c>
      <c r="B137" t="s">
        <v>57</v>
      </c>
      <c r="C137" t="s">
        <v>80</v>
      </c>
      <c r="D137" t="s">
        <v>214</v>
      </c>
      <c r="E137" t="s">
        <v>287</v>
      </c>
      <c r="G137" t="s">
        <v>705</v>
      </c>
      <c r="H137" t="s">
        <v>1443</v>
      </c>
      <c r="J137" t="s">
        <v>2187</v>
      </c>
      <c r="K137" t="s">
        <v>3063</v>
      </c>
      <c r="L137" t="s">
        <v>3329</v>
      </c>
      <c r="M137" t="s">
        <v>3379</v>
      </c>
      <c r="N137">
        <v>10458</v>
      </c>
      <c r="O137" t="s">
        <v>3381</v>
      </c>
      <c r="P137" t="s">
        <v>3381</v>
      </c>
      <c r="Q137" t="s">
        <v>3389</v>
      </c>
      <c r="R137" t="s">
        <v>3522</v>
      </c>
      <c r="S137">
        <v>3</v>
      </c>
      <c r="T137" t="s">
        <v>4196</v>
      </c>
      <c r="U137" t="s">
        <v>4223</v>
      </c>
      <c r="W137" t="s">
        <v>4239</v>
      </c>
      <c r="X137" t="s">
        <v>3382</v>
      </c>
      <c r="Y137" t="s">
        <v>3382</v>
      </c>
      <c r="AA137" t="s">
        <v>4256</v>
      </c>
      <c r="AC137">
        <v>0</v>
      </c>
      <c r="AD137">
        <v>1300</v>
      </c>
      <c r="AE137">
        <v>3.15</v>
      </c>
      <c r="AG137" t="s">
        <v>4414</v>
      </c>
      <c r="AI137" t="s">
        <v>5494</v>
      </c>
      <c r="AJ137">
        <v>60</v>
      </c>
      <c r="AK137" t="s">
        <v>6267</v>
      </c>
      <c r="AL137">
        <v>1</v>
      </c>
      <c r="AM137">
        <v>0</v>
      </c>
      <c r="AN137">
        <v>288.23</v>
      </c>
      <c r="AS137" t="s">
        <v>6298</v>
      </c>
      <c r="AT137">
        <v>36000</v>
      </c>
      <c r="AW137" t="s">
        <v>6329</v>
      </c>
      <c r="AX137" t="s">
        <v>6399</v>
      </c>
      <c r="BA137" t="s">
        <v>6512</v>
      </c>
      <c r="BD137" t="s">
        <v>279</v>
      </c>
    </row>
    <row r="138" spans="1:57">
      <c r="A138" s="1">
        <f>HYPERLINK("https://lsnyc.legalserver.org/matter/dynamic-profile/view/1892833","19-1892833")</f>
        <v>0</v>
      </c>
      <c r="B138" t="s">
        <v>57</v>
      </c>
      <c r="C138" t="s">
        <v>80</v>
      </c>
      <c r="D138" t="s">
        <v>214</v>
      </c>
      <c r="E138" t="s">
        <v>288</v>
      </c>
      <c r="G138" t="s">
        <v>706</v>
      </c>
      <c r="H138" t="s">
        <v>1444</v>
      </c>
      <c r="J138" t="s">
        <v>2188</v>
      </c>
      <c r="K138" t="s">
        <v>3064</v>
      </c>
      <c r="L138" t="s">
        <v>3329</v>
      </c>
      <c r="M138" t="s">
        <v>3379</v>
      </c>
      <c r="N138">
        <v>10458</v>
      </c>
      <c r="O138" t="s">
        <v>3381</v>
      </c>
      <c r="P138" t="s">
        <v>3381</v>
      </c>
      <c r="Q138" t="s">
        <v>3386</v>
      </c>
      <c r="S138">
        <v>26</v>
      </c>
      <c r="W138" t="s">
        <v>4239</v>
      </c>
      <c r="X138" t="s">
        <v>3382</v>
      </c>
      <c r="AA138" t="s">
        <v>4256</v>
      </c>
      <c r="AC138">
        <v>0</v>
      </c>
      <c r="AD138">
        <v>740</v>
      </c>
      <c r="AE138">
        <v>0</v>
      </c>
      <c r="AG138" t="s">
        <v>4415</v>
      </c>
      <c r="AI138" t="s">
        <v>5495</v>
      </c>
      <c r="AJ138">
        <v>0</v>
      </c>
      <c r="AK138" t="s">
        <v>6267</v>
      </c>
      <c r="AL138">
        <v>1</v>
      </c>
      <c r="AM138">
        <v>3</v>
      </c>
      <c r="AN138">
        <v>51.68</v>
      </c>
      <c r="AQ138" t="s">
        <v>6286</v>
      </c>
      <c r="AS138" t="s">
        <v>6298</v>
      </c>
      <c r="AT138">
        <v>13308</v>
      </c>
      <c r="AW138" t="s">
        <v>6347</v>
      </c>
      <c r="AX138" t="s">
        <v>6386</v>
      </c>
      <c r="BA138" t="s">
        <v>6513</v>
      </c>
    </row>
    <row r="139" spans="1:57">
      <c r="A139" s="1">
        <f>HYPERLINK("https://lsnyc.legalserver.org/matter/dynamic-profile/view/1901314","19-1901314")</f>
        <v>0</v>
      </c>
      <c r="B139" t="s">
        <v>57</v>
      </c>
      <c r="C139" t="s">
        <v>80</v>
      </c>
      <c r="D139" t="s">
        <v>214</v>
      </c>
      <c r="E139" t="s">
        <v>262</v>
      </c>
      <c r="G139" t="s">
        <v>707</v>
      </c>
      <c r="H139" t="s">
        <v>1445</v>
      </c>
      <c r="J139" t="s">
        <v>2189</v>
      </c>
      <c r="K139" t="s">
        <v>3065</v>
      </c>
      <c r="L139" t="s">
        <v>3329</v>
      </c>
      <c r="M139" t="s">
        <v>3379</v>
      </c>
      <c r="N139">
        <v>10458</v>
      </c>
      <c r="O139" t="s">
        <v>3380</v>
      </c>
      <c r="P139" t="s">
        <v>3381</v>
      </c>
      <c r="S139">
        <v>0</v>
      </c>
      <c r="U139" t="s">
        <v>4225</v>
      </c>
      <c r="W139" t="s">
        <v>4239</v>
      </c>
      <c r="X139" t="s">
        <v>3382</v>
      </c>
      <c r="AA139" t="s">
        <v>4256</v>
      </c>
      <c r="AC139">
        <v>0</v>
      </c>
      <c r="AD139">
        <v>0</v>
      </c>
      <c r="AE139">
        <v>0.5</v>
      </c>
      <c r="AG139" t="s">
        <v>4416</v>
      </c>
      <c r="AI139" t="s">
        <v>5496</v>
      </c>
      <c r="AJ139">
        <v>0</v>
      </c>
      <c r="AL139">
        <v>5</v>
      </c>
      <c r="AM139">
        <v>1</v>
      </c>
      <c r="AN139">
        <v>0.41</v>
      </c>
      <c r="AS139" t="s">
        <v>6298</v>
      </c>
      <c r="AT139">
        <v>141</v>
      </c>
      <c r="AW139" t="s">
        <v>6348</v>
      </c>
      <c r="AX139" t="s">
        <v>6385</v>
      </c>
      <c r="BA139" t="s">
        <v>6478</v>
      </c>
      <c r="BD139" t="s">
        <v>262</v>
      </c>
      <c r="BE139" t="s">
        <v>6702</v>
      </c>
    </row>
    <row r="140" spans="1:57">
      <c r="A140" s="1">
        <f>HYPERLINK("https://lsnyc.legalserver.org/matter/dynamic-profile/view/1910276","19-1910276")</f>
        <v>0</v>
      </c>
      <c r="B140" t="s">
        <v>57</v>
      </c>
      <c r="C140" t="s">
        <v>80</v>
      </c>
      <c r="D140" t="s">
        <v>214</v>
      </c>
      <c r="E140" t="s">
        <v>260</v>
      </c>
      <c r="G140" t="s">
        <v>708</v>
      </c>
      <c r="H140" t="s">
        <v>1446</v>
      </c>
      <c r="J140" t="s">
        <v>2190</v>
      </c>
      <c r="K140" t="s">
        <v>3015</v>
      </c>
      <c r="L140" t="s">
        <v>3329</v>
      </c>
      <c r="M140" t="s">
        <v>3379</v>
      </c>
      <c r="N140">
        <v>10457</v>
      </c>
      <c r="O140" t="s">
        <v>3380</v>
      </c>
      <c r="P140" t="s">
        <v>3381</v>
      </c>
      <c r="R140" t="s">
        <v>3523</v>
      </c>
      <c r="S140">
        <v>30</v>
      </c>
      <c r="T140" t="s">
        <v>4196</v>
      </c>
      <c r="W140" t="s">
        <v>4238</v>
      </c>
      <c r="X140" t="s">
        <v>3382</v>
      </c>
      <c r="AA140" t="s">
        <v>4256</v>
      </c>
      <c r="AC140">
        <v>0</v>
      </c>
      <c r="AD140">
        <v>1008.73</v>
      </c>
      <c r="AE140">
        <v>9.1</v>
      </c>
      <c r="AG140" t="s">
        <v>4417</v>
      </c>
      <c r="AI140" t="s">
        <v>5497</v>
      </c>
      <c r="AJ140">
        <v>0</v>
      </c>
      <c r="AK140" t="s">
        <v>6266</v>
      </c>
      <c r="AL140">
        <v>2</v>
      </c>
      <c r="AM140">
        <v>0</v>
      </c>
      <c r="AN140">
        <v>63.87</v>
      </c>
      <c r="AS140" t="s">
        <v>6298</v>
      </c>
      <c r="AT140">
        <v>10800</v>
      </c>
      <c r="AX140" t="s">
        <v>6392</v>
      </c>
      <c r="BA140" t="s">
        <v>6482</v>
      </c>
      <c r="BD140" t="s">
        <v>237</v>
      </c>
      <c r="BE140" t="s">
        <v>6702</v>
      </c>
    </row>
    <row r="141" spans="1:57">
      <c r="A141" s="1">
        <f>HYPERLINK("https://lsnyc.legalserver.org/matter/dynamic-profile/view/1911170","19-1911170")</f>
        <v>0</v>
      </c>
      <c r="B141" t="s">
        <v>57</v>
      </c>
      <c r="C141" t="s">
        <v>80</v>
      </c>
      <c r="D141" t="s">
        <v>214</v>
      </c>
      <c r="E141" t="s">
        <v>279</v>
      </c>
      <c r="G141" t="s">
        <v>709</v>
      </c>
      <c r="H141" t="s">
        <v>1447</v>
      </c>
      <c r="J141" t="s">
        <v>2191</v>
      </c>
      <c r="K141">
        <v>311</v>
      </c>
      <c r="L141" t="s">
        <v>3329</v>
      </c>
      <c r="M141" t="s">
        <v>3379</v>
      </c>
      <c r="N141">
        <v>10457</v>
      </c>
      <c r="O141" t="s">
        <v>3380</v>
      </c>
      <c r="P141" t="s">
        <v>3381</v>
      </c>
      <c r="Q141" t="s">
        <v>3387</v>
      </c>
      <c r="R141" t="s">
        <v>3524</v>
      </c>
      <c r="S141">
        <v>0</v>
      </c>
      <c r="T141" t="s">
        <v>4196</v>
      </c>
      <c r="W141" t="s">
        <v>4238</v>
      </c>
      <c r="X141" t="s">
        <v>3382</v>
      </c>
      <c r="Y141" t="s">
        <v>3382</v>
      </c>
      <c r="AA141" t="s">
        <v>4256</v>
      </c>
      <c r="AC141">
        <v>0</v>
      </c>
      <c r="AD141">
        <v>1367</v>
      </c>
      <c r="AE141">
        <v>0</v>
      </c>
      <c r="AG141" t="s">
        <v>4418</v>
      </c>
      <c r="AH141" t="s">
        <v>5254</v>
      </c>
      <c r="AI141" t="s">
        <v>5498</v>
      </c>
      <c r="AJ141">
        <v>99</v>
      </c>
      <c r="AL141">
        <v>2</v>
      </c>
      <c r="AM141">
        <v>0</v>
      </c>
      <c r="AN141">
        <v>104.03</v>
      </c>
      <c r="AP141" t="s">
        <v>6283</v>
      </c>
      <c r="AR141" t="s">
        <v>6290</v>
      </c>
      <c r="AS141" t="s">
        <v>6298</v>
      </c>
      <c r="AT141">
        <v>17592</v>
      </c>
      <c r="AX141" t="s">
        <v>6393</v>
      </c>
      <c r="BA141" t="s">
        <v>6482</v>
      </c>
      <c r="BE141" t="s">
        <v>6703</v>
      </c>
    </row>
    <row r="142" spans="1:57">
      <c r="A142" s="1">
        <f>HYPERLINK("https://lsnyc.legalserver.org/matter/dynamic-profile/view/1895864","19-1895864")</f>
        <v>0</v>
      </c>
      <c r="B142" t="s">
        <v>57</v>
      </c>
      <c r="C142" t="s">
        <v>80</v>
      </c>
      <c r="D142" t="s">
        <v>214</v>
      </c>
      <c r="E142" t="s">
        <v>239</v>
      </c>
      <c r="G142" t="s">
        <v>710</v>
      </c>
      <c r="H142" t="s">
        <v>1349</v>
      </c>
      <c r="J142" t="s">
        <v>2192</v>
      </c>
      <c r="K142" t="s">
        <v>3066</v>
      </c>
      <c r="L142" t="s">
        <v>3329</v>
      </c>
      <c r="M142" t="s">
        <v>3379</v>
      </c>
      <c r="N142">
        <v>10456</v>
      </c>
      <c r="O142" t="s">
        <v>3380</v>
      </c>
      <c r="P142" t="s">
        <v>3380</v>
      </c>
      <c r="S142">
        <v>-1</v>
      </c>
      <c r="U142" t="s">
        <v>4225</v>
      </c>
      <c r="W142" t="s">
        <v>4239</v>
      </c>
      <c r="X142" t="s">
        <v>3382</v>
      </c>
      <c r="AA142" t="s">
        <v>4256</v>
      </c>
      <c r="AC142">
        <v>0</v>
      </c>
      <c r="AD142">
        <v>160</v>
      </c>
      <c r="AE142">
        <v>0.5</v>
      </c>
      <c r="AG142" t="s">
        <v>4419</v>
      </c>
      <c r="AI142" t="s">
        <v>5499</v>
      </c>
      <c r="AJ142">
        <v>0</v>
      </c>
      <c r="AK142" t="s">
        <v>6268</v>
      </c>
      <c r="AL142">
        <v>1</v>
      </c>
      <c r="AM142">
        <v>0</v>
      </c>
      <c r="AN142">
        <v>0</v>
      </c>
      <c r="AQ142" t="s">
        <v>6287</v>
      </c>
      <c r="AR142" t="s">
        <v>5312</v>
      </c>
      <c r="AS142" t="s">
        <v>6298</v>
      </c>
      <c r="AT142">
        <v>0</v>
      </c>
      <c r="AW142" t="s">
        <v>6349</v>
      </c>
      <c r="AX142" t="s">
        <v>6385</v>
      </c>
      <c r="BA142" t="s">
        <v>6486</v>
      </c>
      <c r="BD142" t="s">
        <v>239</v>
      </c>
      <c r="BE142" t="s">
        <v>6702</v>
      </c>
    </row>
    <row r="143" spans="1:57">
      <c r="A143" s="1">
        <f>HYPERLINK("https://lsnyc.legalserver.org/matter/dynamic-profile/view/1897189","19-1897189")</f>
        <v>0</v>
      </c>
      <c r="B143" t="s">
        <v>57</v>
      </c>
      <c r="C143" t="s">
        <v>80</v>
      </c>
      <c r="D143" t="s">
        <v>214</v>
      </c>
      <c r="E143" t="s">
        <v>289</v>
      </c>
      <c r="G143" t="s">
        <v>682</v>
      </c>
      <c r="H143" t="s">
        <v>1448</v>
      </c>
      <c r="J143" t="s">
        <v>2193</v>
      </c>
      <c r="K143" t="s">
        <v>3067</v>
      </c>
      <c r="L143" t="s">
        <v>3329</v>
      </c>
      <c r="M143" t="s">
        <v>3379</v>
      </c>
      <c r="N143">
        <v>10454</v>
      </c>
      <c r="O143" t="s">
        <v>3380</v>
      </c>
      <c r="P143" t="s">
        <v>3380</v>
      </c>
      <c r="Q143" t="s">
        <v>3385</v>
      </c>
      <c r="R143" t="s">
        <v>3525</v>
      </c>
      <c r="S143">
        <v>16</v>
      </c>
      <c r="T143" t="s">
        <v>4197</v>
      </c>
      <c r="U143" t="s">
        <v>4225</v>
      </c>
      <c r="W143" t="s">
        <v>4239</v>
      </c>
      <c r="X143" t="s">
        <v>3382</v>
      </c>
      <c r="Y143" t="s">
        <v>3382</v>
      </c>
      <c r="AA143" t="s">
        <v>4256</v>
      </c>
      <c r="AC143">
        <v>0</v>
      </c>
      <c r="AD143">
        <v>151</v>
      </c>
      <c r="AE143">
        <v>0.5</v>
      </c>
      <c r="AG143" t="s">
        <v>4420</v>
      </c>
      <c r="AI143" t="s">
        <v>5500</v>
      </c>
      <c r="AJ143">
        <v>117</v>
      </c>
      <c r="AK143" t="s">
        <v>6270</v>
      </c>
      <c r="AL143">
        <v>1</v>
      </c>
      <c r="AM143">
        <v>1</v>
      </c>
      <c r="AN143">
        <v>0</v>
      </c>
      <c r="AS143" t="s">
        <v>6298</v>
      </c>
      <c r="AT143">
        <v>0</v>
      </c>
      <c r="AW143" t="s">
        <v>6350</v>
      </c>
      <c r="AX143" t="s">
        <v>6385</v>
      </c>
      <c r="BA143" t="s">
        <v>6479</v>
      </c>
      <c r="BD143" t="s">
        <v>289</v>
      </c>
      <c r="BE143" t="s">
        <v>6702</v>
      </c>
    </row>
    <row r="144" spans="1:57">
      <c r="A144" s="1">
        <f>HYPERLINK("https://lsnyc.legalserver.org/matter/dynamic-profile/view/1901907","19-1901907")</f>
        <v>0</v>
      </c>
      <c r="B144" t="s">
        <v>57</v>
      </c>
      <c r="C144" t="s">
        <v>80</v>
      </c>
      <c r="D144" t="s">
        <v>214</v>
      </c>
      <c r="E144" t="s">
        <v>290</v>
      </c>
      <c r="G144" t="s">
        <v>711</v>
      </c>
      <c r="H144" t="s">
        <v>1349</v>
      </c>
      <c r="J144" t="s">
        <v>2194</v>
      </c>
      <c r="K144" t="s">
        <v>3036</v>
      </c>
      <c r="L144" t="s">
        <v>3329</v>
      </c>
      <c r="M144" t="s">
        <v>3379</v>
      </c>
      <c r="N144">
        <v>10454</v>
      </c>
      <c r="O144" t="s">
        <v>3380</v>
      </c>
      <c r="P144" t="s">
        <v>3381</v>
      </c>
      <c r="S144">
        <v>0</v>
      </c>
      <c r="U144" t="s">
        <v>4225</v>
      </c>
      <c r="W144" t="s">
        <v>4239</v>
      </c>
      <c r="X144" t="s">
        <v>3382</v>
      </c>
      <c r="AA144" t="s">
        <v>4256</v>
      </c>
      <c r="AC144">
        <v>0</v>
      </c>
      <c r="AD144">
        <v>0</v>
      </c>
      <c r="AE144">
        <v>0</v>
      </c>
      <c r="AG144" t="s">
        <v>4421</v>
      </c>
      <c r="AI144" t="s">
        <v>5501</v>
      </c>
      <c r="AJ144">
        <v>0</v>
      </c>
      <c r="AL144">
        <v>3</v>
      </c>
      <c r="AM144">
        <v>0</v>
      </c>
      <c r="AN144">
        <v>84.67</v>
      </c>
      <c r="AS144" t="s">
        <v>6298</v>
      </c>
      <c r="AT144">
        <v>18060</v>
      </c>
      <c r="AW144" t="s">
        <v>6351</v>
      </c>
      <c r="AX144" t="s">
        <v>6387</v>
      </c>
      <c r="BA144" t="s">
        <v>6514</v>
      </c>
      <c r="BE144" t="s">
        <v>6702</v>
      </c>
    </row>
    <row r="145" spans="1:57">
      <c r="A145" s="1">
        <f>HYPERLINK("https://lsnyc.legalserver.org/matter/dynamic-profile/view/1914530","19-1914530")</f>
        <v>0</v>
      </c>
      <c r="B145" t="s">
        <v>57</v>
      </c>
      <c r="C145" t="s">
        <v>81</v>
      </c>
      <c r="D145" t="s">
        <v>214</v>
      </c>
      <c r="E145" t="s">
        <v>227</v>
      </c>
      <c r="G145" t="s">
        <v>712</v>
      </c>
      <c r="H145" t="s">
        <v>1360</v>
      </c>
      <c r="J145" t="s">
        <v>2195</v>
      </c>
      <c r="K145" t="s">
        <v>3068</v>
      </c>
      <c r="L145" t="s">
        <v>3329</v>
      </c>
      <c r="M145" t="s">
        <v>3379</v>
      </c>
      <c r="N145">
        <v>10475</v>
      </c>
      <c r="O145" t="s">
        <v>3380</v>
      </c>
      <c r="P145" t="s">
        <v>3381</v>
      </c>
      <c r="Q145" t="s">
        <v>3384</v>
      </c>
      <c r="R145" t="s">
        <v>3526</v>
      </c>
      <c r="S145">
        <v>1</v>
      </c>
      <c r="T145" t="s">
        <v>4197</v>
      </c>
      <c r="U145" t="s">
        <v>4224</v>
      </c>
      <c r="W145" t="s">
        <v>4239</v>
      </c>
      <c r="X145" t="s">
        <v>3382</v>
      </c>
      <c r="Y145" t="s">
        <v>3382</v>
      </c>
      <c r="AA145" t="s">
        <v>4256</v>
      </c>
      <c r="AB145" t="s">
        <v>4261</v>
      </c>
      <c r="AC145">
        <v>0</v>
      </c>
      <c r="AD145">
        <v>1246</v>
      </c>
      <c r="AE145">
        <v>1.1</v>
      </c>
      <c r="AG145" t="s">
        <v>4422</v>
      </c>
      <c r="AI145" t="s">
        <v>5502</v>
      </c>
      <c r="AJ145">
        <v>175</v>
      </c>
      <c r="AK145" t="s">
        <v>6271</v>
      </c>
      <c r="AL145">
        <v>2</v>
      </c>
      <c r="AM145">
        <v>1</v>
      </c>
      <c r="AN145">
        <v>70.33</v>
      </c>
      <c r="AR145" t="s">
        <v>6291</v>
      </c>
      <c r="AS145" t="s">
        <v>6298</v>
      </c>
      <c r="AT145">
        <v>15001.44</v>
      </c>
      <c r="AX145" t="s">
        <v>6387</v>
      </c>
      <c r="BA145" t="s">
        <v>6477</v>
      </c>
      <c r="BD145" t="s">
        <v>217</v>
      </c>
      <c r="BE145" t="s">
        <v>6702</v>
      </c>
    </row>
    <row r="146" spans="1:57">
      <c r="A146" s="1">
        <f>HYPERLINK("https://lsnyc.legalserver.org/matter/dynamic-profile/view/1914064","19-1914064")</f>
        <v>0</v>
      </c>
      <c r="B146" t="s">
        <v>57</v>
      </c>
      <c r="C146" t="s">
        <v>81</v>
      </c>
      <c r="D146" t="s">
        <v>214</v>
      </c>
      <c r="E146" t="s">
        <v>219</v>
      </c>
      <c r="G146" t="s">
        <v>713</v>
      </c>
      <c r="H146" t="s">
        <v>1449</v>
      </c>
      <c r="J146" t="s">
        <v>2196</v>
      </c>
      <c r="K146" t="s">
        <v>2997</v>
      </c>
      <c r="L146" t="s">
        <v>3329</v>
      </c>
      <c r="M146" t="s">
        <v>3379</v>
      </c>
      <c r="N146">
        <v>10469</v>
      </c>
      <c r="O146" t="s">
        <v>3380</v>
      </c>
      <c r="P146" t="s">
        <v>3381</v>
      </c>
      <c r="Q146" t="s">
        <v>3384</v>
      </c>
      <c r="R146" t="s">
        <v>3527</v>
      </c>
      <c r="S146">
        <v>30</v>
      </c>
      <c r="T146" t="s">
        <v>4196</v>
      </c>
      <c r="U146" t="s">
        <v>4224</v>
      </c>
      <c r="W146" t="s">
        <v>4239</v>
      </c>
      <c r="X146" t="s">
        <v>3382</v>
      </c>
      <c r="Y146" t="s">
        <v>3382</v>
      </c>
      <c r="AA146" t="s">
        <v>4256</v>
      </c>
      <c r="AB146" t="s">
        <v>4261</v>
      </c>
      <c r="AC146">
        <v>0</v>
      </c>
      <c r="AD146">
        <v>1498</v>
      </c>
      <c r="AE146">
        <v>1.5</v>
      </c>
      <c r="AG146" t="s">
        <v>4423</v>
      </c>
      <c r="AI146" t="s">
        <v>5503</v>
      </c>
      <c r="AJ146">
        <v>10</v>
      </c>
      <c r="AK146" t="s">
        <v>6267</v>
      </c>
      <c r="AL146">
        <v>2</v>
      </c>
      <c r="AM146">
        <v>0</v>
      </c>
      <c r="AN146">
        <v>141.93</v>
      </c>
      <c r="AR146" t="s">
        <v>5312</v>
      </c>
      <c r="AS146" t="s">
        <v>6298</v>
      </c>
      <c r="AT146">
        <v>24000</v>
      </c>
      <c r="AX146" t="s">
        <v>6387</v>
      </c>
      <c r="BA146" t="s">
        <v>6501</v>
      </c>
      <c r="BD146" t="s">
        <v>341</v>
      </c>
      <c r="BE146" t="s">
        <v>6702</v>
      </c>
    </row>
    <row r="147" spans="1:57">
      <c r="A147" s="1">
        <f>HYPERLINK("https://lsnyc.legalserver.org/matter/dynamic-profile/view/1893009","19-1893009")</f>
        <v>0</v>
      </c>
      <c r="B147" t="s">
        <v>57</v>
      </c>
      <c r="C147" t="s">
        <v>81</v>
      </c>
      <c r="D147" t="s">
        <v>214</v>
      </c>
      <c r="E147" t="s">
        <v>291</v>
      </c>
      <c r="G147" t="s">
        <v>638</v>
      </c>
      <c r="H147" t="s">
        <v>1450</v>
      </c>
      <c r="J147" t="s">
        <v>2197</v>
      </c>
      <c r="K147" t="s">
        <v>3015</v>
      </c>
      <c r="L147" t="s">
        <v>3329</v>
      </c>
      <c r="M147" t="s">
        <v>3379</v>
      </c>
      <c r="N147">
        <v>10468</v>
      </c>
      <c r="O147" t="s">
        <v>3380</v>
      </c>
      <c r="P147" t="s">
        <v>3381</v>
      </c>
      <c r="Q147" t="s">
        <v>3386</v>
      </c>
      <c r="R147" t="s">
        <v>3528</v>
      </c>
      <c r="S147">
        <v>7</v>
      </c>
      <c r="T147" t="s">
        <v>4197</v>
      </c>
      <c r="U147" t="s">
        <v>4223</v>
      </c>
      <c r="W147" t="s">
        <v>4238</v>
      </c>
      <c r="X147" t="s">
        <v>3382</v>
      </c>
      <c r="Y147" t="s">
        <v>3382</v>
      </c>
      <c r="AA147" t="s">
        <v>4256</v>
      </c>
      <c r="AB147" t="s">
        <v>4261</v>
      </c>
      <c r="AC147">
        <v>0</v>
      </c>
      <c r="AD147">
        <v>2300</v>
      </c>
      <c r="AE147">
        <v>13.7</v>
      </c>
      <c r="AG147" t="s">
        <v>4424</v>
      </c>
      <c r="AI147" t="s">
        <v>5504</v>
      </c>
      <c r="AJ147">
        <v>65</v>
      </c>
      <c r="AK147" t="s">
        <v>6267</v>
      </c>
      <c r="AL147">
        <v>5</v>
      </c>
      <c r="AM147">
        <v>1</v>
      </c>
      <c r="AN147">
        <v>135.88</v>
      </c>
      <c r="AQ147" t="s">
        <v>6286</v>
      </c>
      <c r="AR147" t="s">
        <v>5312</v>
      </c>
      <c r="AS147" t="s">
        <v>6299</v>
      </c>
      <c r="AT147">
        <v>47000</v>
      </c>
      <c r="AW147" t="s">
        <v>6332</v>
      </c>
      <c r="AX147" t="s">
        <v>6386</v>
      </c>
      <c r="BA147" t="s">
        <v>6477</v>
      </c>
      <c r="BD147" t="s">
        <v>217</v>
      </c>
      <c r="BE147" t="s">
        <v>6702</v>
      </c>
    </row>
    <row r="148" spans="1:57">
      <c r="A148" s="1">
        <f>HYPERLINK("https://lsnyc.legalserver.org/matter/dynamic-profile/view/1907388","19-1907388")</f>
        <v>0</v>
      </c>
      <c r="B148" t="s">
        <v>57</v>
      </c>
      <c r="C148" t="s">
        <v>81</v>
      </c>
      <c r="D148" t="s">
        <v>214</v>
      </c>
      <c r="E148" t="s">
        <v>292</v>
      </c>
      <c r="G148" t="s">
        <v>714</v>
      </c>
      <c r="H148" t="s">
        <v>1451</v>
      </c>
      <c r="J148" t="s">
        <v>2198</v>
      </c>
      <c r="K148" t="s">
        <v>3069</v>
      </c>
      <c r="L148" t="s">
        <v>3329</v>
      </c>
      <c r="M148" t="s">
        <v>3379</v>
      </c>
      <c r="N148">
        <v>10468</v>
      </c>
      <c r="O148" t="s">
        <v>3380</v>
      </c>
      <c r="P148" t="s">
        <v>3381</v>
      </c>
      <c r="Q148" t="s">
        <v>3386</v>
      </c>
      <c r="R148" t="s">
        <v>3529</v>
      </c>
      <c r="S148">
        <v>8</v>
      </c>
      <c r="T148" t="s">
        <v>4196</v>
      </c>
      <c r="U148" t="s">
        <v>4223</v>
      </c>
      <c r="W148" t="s">
        <v>4238</v>
      </c>
      <c r="X148" t="s">
        <v>3382</v>
      </c>
      <c r="Y148" t="s">
        <v>3382</v>
      </c>
      <c r="AA148" t="s">
        <v>4256</v>
      </c>
      <c r="AB148" t="s">
        <v>4261</v>
      </c>
      <c r="AC148">
        <v>0</v>
      </c>
      <c r="AD148">
        <v>1117.22</v>
      </c>
      <c r="AE148">
        <v>3.4</v>
      </c>
      <c r="AG148" t="s">
        <v>4425</v>
      </c>
      <c r="AI148" t="s">
        <v>5505</v>
      </c>
      <c r="AJ148">
        <v>49</v>
      </c>
      <c r="AK148" t="s">
        <v>6267</v>
      </c>
      <c r="AL148">
        <v>1</v>
      </c>
      <c r="AM148">
        <v>1</v>
      </c>
      <c r="AN148">
        <v>100.53</v>
      </c>
      <c r="AR148" t="s">
        <v>5312</v>
      </c>
      <c r="AS148" t="s">
        <v>6298</v>
      </c>
      <c r="AT148">
        <v>17000</v>
      </c>
      <c r="AX148" t="s">
        <v>6392</v>
      </c>
      <c r="BA148" t="s">
        <v>6473</v>
      </c>
      <c r="BD148" t="s">
        <v>237</v>
      </c>
      <c r="BE148" t="s">
        <v>6702</v>
      </c>
    </row>
    <row r="149" spans="1:57">
      <c r="A149" s="1">
        <f>HYPERLINK("https://lsnyc.legalserver.org/matter/dynamic-profile/view/1913018","19-1913018")</f>
        <v>0</v>
      </c>
      <c r="B149" t="s">
        <v>57</v>
      </c>
      <c r="C149" t="s">
        <v>81</v>
      </c>
      <c r="D149" t="s">
        <v>214</v>
      </c>
      <c r="E149" t="s">
        <v>293</v>
      </c>
      <c r="G149" t="s">
        <v>715</v>
      </c>
      <c r="H149" t="s">
        <v>1339</v>
      </c>
      <c r="J149" t="s">
        <v>2199</v>
      </c>
      <c r="K149" t="s">
        <v>2995</v>
      </c>
      <c r="L149" t="s">
        <v>3329</v>
      </c>
      <c r="M149" t="s">
        <v>3379</v>
      </c>
      <c r="N149">
        <v>10467</v>
      </c>
      <c r="O149" t="s">
        <v>3380</v>
      </c>
      <c r="P149" t="s">
        <v>3381</v>
      </c>
      <c r="Q149" t="s">
        <v>3387</v>
      </c>
      <c r="R149" t="s">
        <v>3530</v>
      </c>
      <c r="S149">
        <v>-1</v>
      </c>
      <c r="T149" t="s">
        <v>4196</v>
      </c>
      <c r="U149" t="s">
        <v>4223</v>
      </c>
      <c r="W149" t="s">
        <v>4238</v>
      </c>
      <c r="X149" t="s">
        <v>3382</v>
      </c>
      <c r="Y149" t="s">
        <v>3382</v>
      </c>
      <c r="AA149" t="s">
        <v>4256</v>
      </c>
      <c r="AB149" t="s">
        <v>4261</v>
      </c>
      <c r="AC149">
        <v>0</v>
      </c>
      <c r="AD149">
        <v>1250</v>
      </c>
      <c r="AE149">
        <v>0.7</v>
      </c>
      <c r="AG149" t="s">
        <v>4426</v>
      </c>
      <c r="AH149" t="s">
        <v>5255</v>
      </c>
      <c r="AI149" t="s">
        <v>5506</v>
      </c>
      <c r="AJ149">
        <v>49</v>
      </c>
      <c r="AK149" t="s">
        <v>6267</v>
      </c>
      <c r="AL149">
        <v>1</v>
      </c>
      <c r="AM149">
        <v>1</v>
      </c>
      <c r="AN149">
        <v>177.41</v>
      </c>
      <c r="AR149" t="s">
        <v>5312</v>
      </c>
      <c r="AS149" t="s">
        <v>6299</v>
      </c>
      <c r="AT149">
        <v>30000</v>
      </c>
      <c r="AX149" t="s">
        <v>6393</v>
      </c>
      <c r="BA149" t="s">
        <v>6477</v>
      </c>
      <c r="BD149" t="s">
        <v>341</v>
      </c>
      <c r="BE149" t="s">
        <v>6703</v>
      </c>
    </row>
    <row r="150" spans="1:57">
      <c r="A150" s="1">
        <f>HYPERLINK("https://lsnyc.legalserver.org/matter/dynamic-profile/view/1907265","19-1907265")</f>
        <v>0</v>
      </c>
      <c r="B150" t="s">
        <v>57</v>
      </c>
      <c r="C150" t="s">
        <v>81</v>
      </c>
      <c r="D150" t="s">
        <v>215</v>
      </c>
      <c r="E150" t="s">
        <v>294</v>
      </c>
      <c r="F150" t="s">
        <v>218</v>
      </c>
      <c r="G150" t="s">
        <v>610</v>
      </c>
      <c r="H150" t="s">
        <v>1360</v>
      </c>
      <c r="J150" t="s">
        <v>2200</v>
      </c>
      <c r="K150" t="s">
        <v>3016</v>
      </c>
      <c r="L150" t="s">
        <v>3329</v>
      </c>
      <c r="M150" t="s">
        <v>3379</v>
      </c>
      <c r="N150">
        <v>10462</v>
      </c>
      <c r="O150" t="s">
        <v>3380</v>
      </c>
      <c r="P150" t="s">
        <v>3381</v>
      </c>
      <c r="Q150" t="s">
        <v>3383</v>
      </c>
      <c r="R150" t="s">
        <v>3531</v>
      </c>
      <c r="S150">
        <v>20</v>
      </c>
      <c r="T150" t="s">
        <v>4196</v>
      </c>
      <c r="U150" t="s">
        <v>4228</v>
      </c>
      <c r="V150" t="s">
        <v>4230</v>
      </c>
      <c r="W150" t="s">
        <v>4239</v>
      </c>
      <c r="X150" t="s">
        <v>3382</v>
      </c>
      <c r="Y150" t="s">
        <v>3382</v>
      </c>
      <c r="Z150" t="s">
        <v>4251</v>
      </c>
      <c r="AA150" t="s">
        <v>4260</v>
      </c>
      <c r="AC150">
        <v>0</v>
      </c>
      <c r="AD150">
        <v>1067</v>
      </c>
      <c r="AE150">
        <v>0.1</v>
      </c>
      <c r="AF150" t="s">
        <v>4271</v>
      </c>
      <c r="AG150" t="s">
        <v>4427</v>
      </c>
      <c r="AI150" t="s">
        <v>5507</v>
      </c>
      <c r="AJ150">
        <v>81</v>
      </c>
      <c r="AK150" t="s">
        <v>6267</v>
      </c>
      <c r="AL150">
        <v>2</v>
      </c>
      <c r="AM150">
        <v>2</v>
      </c>
      <c r="AN150">
        <v>237.67</v>
      </c>
      <c r="AR150" t="s">
        <v>5312</v>
      </c>
      <c r="AS150" t="s">
        <v>6298</v>
      </c>
      <c r="AT150">
        <v>61200</v>
      </c>
      <c r="AW150" t="s">
        <v>6352</v>
      </c>
      <c r="AX150" t="s">
        <v>6392</v>
      </c>
      <c r="BA150" t="s">
        <v>6477</v>
      </c>
      <c r="BD150" t="s">
        <v>218</v>
      </c>
      <c r="BE150" t="s">
        <v>6702</v>
      </c>
    </row>
    <row r="151" spans="1:57">
      <c r="A151" s="1">
        <f>HYPERLINK("https://lsnyc.legalserver.org/matter/dynamic-profile/view/1908827","19-1908827")</f>
        <v>0</v>
      </c>
      <c r="B151" t="s">
        <v>57</v>
      </c>
      <c r="C151" t="s">
        <v>81</v>
      </c>
      <c r="D151" t="s">
        <v>215</v>
      </c>
      <c r="E151" t="s">
        <v>295</v>
      </c>
      <c r="F151" t="s">
        <v>237</v>
      </c>
      <c r="G151" t="s">
        <v>678</v>
      </c>
      <c r="H151" t="s">
        <v>948</v>
      </c>
      <c r="J151" t="s">
        <v>2201</v>
      </c>
      <c r="K151" t="s">
        <v>3070</v>
      </c>
      <c r="L151" t="s">
        <v>3329</v>
      </c>
      <c r="M151" t="s">
        <v>3379</v>
      </c>
      <c r="N151">
        <v>10459</v>
      </c>
      <c r="O151" t="s">
        <v>3380</v>
      </c>
      <c r="P151" t="s">
        <v>3381</v>
      </c>
      <c r="Q151" t="s">
        <v>3387</v>
      </c>
      <c r="R151" t="s">
        <v>3532</v>
      </c>
      <c r="S151">
        <v>1</v>
      </c>
      <c r="T151" t="s">
        <v>4196</v>
      </c>
      <c r="U151" t="s">
        <v>4225</v>
      </c>
      <c r="V151" t="s">
        <v>4230</v>
      </c>
      <c r="W151" t="s">
        <v>4239</v>
      </c>
      <c r="X151" t="s">
        <v>3382</v>
      </c>
      <c r="Y151" t="s">
        <v>3382</v>
      </c>
      <c r="AA151" t="s">
        <v>4256</v>
      </c>
      <c r="AC151">
        <v>0</v>
      </c>
      <c r="AD151">
        <v>1802</v>
      </c>
      <c r="AE151">
        <v>1.75</v>
      </c>
      <c r="AF151" t="s">
        <v>4268</v>
      </c>
      <c r="AG151" t="s">
        <v>4428</v>
      </c>
      <c r="AH151" t="s">
        <v>5256</v>
      </c>
      <c r="AI151" t="s">
        <v>5508</v>
      </c>
      <c r="AJ151">
        <v>5</v>
      </c>
      <c r="AL151">
        <v>1</v>
      </c>
      <c r="AM151">
        <v>2</v>
      </c>
      <c r="AN151">
        <v>46.88</v>
      </c>
      <c r="AR151" t="s">
        <v>6289</v>
      </c>
      <c r="AS151" t="s">
        <v>6298</v>
      </c>
      <c r="AT151">
        <v>10000</v>
      </c>
      <c r="AX151" t="s">
        <v>6387</v>
      </c>
      <c r="BA151" t="s">
        <v>6477</v>
      </c>
      <c r="BD151" t="s">
        <v>218</v>
      </c>
      <c r="BE151" t="s">
        <v>6702</v>
      </c>
    </row>
    <row r="152" spans="1:57">
      <c r="A152" s="1">
        <f>HYPERLINK("https://lsnyc.legalserver.org/matter/dynamic-profile/view/1915205","19-1915205")</f>
        <v>0</v>
      </c>
      <c r="B152" t="s">
        <v>57</v>
      </c>
      <c r="C152" t="s">
        <v>81</v>
      </c>
      <c r="D152" t="s">
        <v>214</v>
      </c>
      <c r="E152" t="s">
        <v>217</v>
      </c>
      <c r="G152" t="s">
        <v>716</v>
      </c>
      <c r="H152" t="s">
        <v>1452</v>
      </c>
      <c r="J152" t="s">
        <v>2202</v>
      </c>
      <c r="K152" t="s">
        <v>3007</v>
      </c>
      <c r="L152" t="s">
        <v>3329</v>
      </c>
      <c r="M152" t="s">
        <v>3379</v>
      </c>
      <c r="N152">
        <v>10457</v>
      </c>
      <c r="O152" t="s">
        <v>3381</v>
      </c>
      <c r="P152" t="s">
        <v>3381</v>
      </c>
      <c r="Q152" t="s">
        <v>3384</v>
      </c>
      <c r="R152" t="s">
        <v>3533</v>
      </c>
      <c r="S152">
        <v>5</v>
      </c>
      <c r="T152" t="s">
        <v>4196</v>
      </c>
      <c r="U152" t="s">
        <v>4223</v>
      </c>
      <c r="W152" t="s">
        <v>4239</v>
      </c>
      <c r="X152" t="s">
        <v>3382</v>
      </c>
      <c r="AA152" t="s">
        <v>4256</v>
      </c>
      <c r="AC152">
        <v>0</v>
      </c>
      <c r="AD152">
        <v>1313.16</v>
      </c>
      <c r="AE152">
        <v>0</v>
      </c>
      <c r="AG152" t="s">
        <v>4429</v>
      </c>
      <c r="AI152" t="s">
        <v>5509</v>
      </c>
      <c r="AJ152">
        <v>0</v>
      </c>
      <c r="AK152" t="s">
        <v>6266</v>
      </c>
      <c r="AL152">
        <v>2</v>
      </c>
      <c r="AM152">
        <v>3</v>
      </c>
      <c r="AN152">
        <v>18.38</v>
      </c>
      <c r="AS152" t="s">
        <v>6298</v>
      </c>
      <c r="AT152">
        <v>5544</v>
      </c>
      <c r="AX152" t="s">
        <v>6386</v>
      </c>
      <c r="BA152" t="s">
        <v>6483</v>
      </c>
    </row>
    <row r="153" spans="1:57">
      <c r="A153" s="1">
        <f>HYPERLINK("https://lsnyc.legalserver.org/matter/dynamic-profile/view/1901159","19-1901159")</f>
        <v>0</v>
      </c>
      <c r="B153" t="s">
        <v>57</v>
      </c>
      <c r="C153" t="s">
        <v>81</v>
      </c>
      <c r="D153" t="s">
        <v>214</v>
      </c>
      <c r="E153" t="s">
        <v>296</v>
      </c>
      <c r="G153" t="s">
        <v>717</v>
      </c>
      <c r="H153" t="s">
        <v>1453</v>
      </c>
      <c r="J153" t="s">
        <v>2203</v>
      </c>
      <c r="K153">
        <v>1206</v>
      </c>
      <c r="L153" t="s">
        <v>3329</v>
      </c>
      <c r="M153" t="s">
        <v>3379</v>
      </c>
      <c r="N153">
        <v>10456</v>
      </c>
      <c r="O153" t="s">
        <v>3380</v>
      </c>
      <c r="P153" t="s">
        <v>3381</v>
      </c>
      <c r="Q153" t="s">
        <v>3384</v>
      </c>
      <c r="R153" t="s">
        <v>3534</v>
      </c>
      <c r="S153">
        <v>1</v>
      </c>
      <c r="T153" t="s">
        <v>4197</v>
      </c>
      <c r="U153" t="s">
        <v>4225</v>
      </c>
      <c r="W153" t="s">
        <v>4239</v>
      </c>
      <c r="X153" t="s">
        <v>3382</v>
      </c>
      <c r="Y153" t="s">
        <v>3382</v>
      </c>
      <c r="AA153" t="s">
        <v>4256</v>
      </c>
      <c r="AB153" t="s">
        <v>4261</v>
      </c>
      <c r="AC153">
        <v>0</v>
      </c>
      <c r="AD153">
        <v>1682</v>
      </c>
      <c r="AE153">
        <v>1.3</v>
      </c>
      <c r="AG153" t="s">
        <v>4430</v>
      </c>
      <c r="AJ153">
        <v>120</v>
      </c>
      <c r="AK153" t="s">
        <v>6273</v>
      </c>
      <c r="AL153">
        <v>1</v>
      </c>
      <c r="AM153">
        <v>0</v>
      </c>
      <c r="AN153">
        <v>74.75</v>
      </c>
      <c r="AR153" t="s">
        <v>6290</v>
      </c>
      <c r="AS153" t="s">
        <v>6298</v>
      </c>
      <c r="AT153">
        <v>9336</v>
      </c>
      <c r="AW153" t="s">
        <v>6353</v>
      </c>
      <c r="AX153" t="s">
        <v>6385</v>
      </c>
      <c r="BA153" t="s">
        <v>6482</v>
      </c>
      <c r="BD153" t="s">
        <v>6635</v>
      </c>
      <c r="BE153" t="s">
        <v>6702</v>
      </c>
    </row>
    <row r="154" spans="1:57">
      <c r="A154" s="1">
        <f>HYPERLINK("https://lsnyc.legalserver.org/matter/dynamic-profile/view/1915462","19-1915462")</f>
        <v>0</v>
      </c>
      <c r="B154" t="s">
        <v>57</v>
      </c>
      <c r="C154" t="s">
        <v>81</v>
      </c>
      <c r="D154" t="s">
        <v>214</v>
      </c>
      <c r="E154" t="s">
        <v>231</v>
      </c>
      <c r="G154" t="s">
        <v>718</v>
      </c>
      <c r="H154" t="s">
        <v>1454</v>
      </c>
      <c r="J154" t="s">
        <v>2204</v>
      </c>
      <c r="K154" t="s">
        <v>3071</v>
      </c>
      <c r="L154" t="s">
        <v>3329</v>
      </c>
      <c r="M154" t="s">
        <v>3379</v>
      </c>
      <c r="N154">
        <v>10456</v>
      </c>
      <c r="O154" t="s">
        <v>3381</v>
      </c>
      <c r="P154" t="s">
        <v>3381</v>
      </c>
      <c r="Q154" t="s">
        <v>3386</v>
      </c>
      <c r="R154" t="s">
        <v>3535</v>
      </c>
      <c r="S154">
        <v>5</v>
      </c>
      <c r="T154" t="s">
        <v>4196</v>
      </c>
      <c r="U154" t="s">
        <v>4223</v>
      </c>
      <c r="W154" t="s">
        <v>4239</v>
      </c>
      <c r="X154" t="s">
        <v>3382</v>
      </c>
      <c r="AA154" t="s">
        <v>4256</v>
      </c>
      <c r="AC154">
        <v>0</v>
      </c>
      <c r="AD154">
        <v>1931.42</v>
      </c>
      <c r="AE154">
        <v>0</v>
      </c>
      <c r="AG154" t="s">
        <v>4431</v>
      </c>
      <c r="AI154" t="s">
        <v>5510</v>
      </c>
      <c r="AJ154">
        <v>0</v>
      </c>
      <c r="AK154" t="s">
        <v>6267</v>
      </c>
      <c r="AL154">
        <v>5</v>
      </c>
      <c r="AM154">
        <v>2</v>
      </c>
      <c r="AN154">
        <v>116.89</v>
      </c>
      <c r="AS154" t="s">
        <v>6301</v>
      </c>
      <c r="AT154">
        <v>45600</v>
      </c>
      <c r="AX154" t="s">
        <v>6386</v>
      </c>
      <c r="BA154" t="s">
        <v>6515</v>
      </c>
    </row>
    <row r="155" spans="1:57">
      <c r="A155" s="1">
        <f>HYPERLINK("https://lsnyc.legalserver.org/matter/dynamic-profile/view/1907107","19-1907107")</f>
        <v>0</v>
      </c>
      <c r="B155" t="s">
        <v>57</v>
      </c>
      <c r="C155" t="s">
        <v>81</v>
      </c>
      <c r="D155" t="s">
        <v>214</v>
      </c>
      <c r="E155" t="s">
        <v>297</v>
      </c>
      <c r="G155" t="s">
        <v>719</v>
      </c>
      <c r="H155" t="s">
        <v>1455</v>
      </c>
      <c r="J155" t="s">
        <v>2205</v>
      </c>
      <c r="K155" t="s">
        <v>3072</v>
      </c>
      <c r="L155" t="s">
        <v>3329</v>
      </c>
      <c r="M155" t="s">
        <v>3379</v>
      </c>
      <c r="N155">
        <v>10453</v>
      </c>
      <c r="O155" t="s">
        <v>3380</v>
      </c>
      <c r="P155" t="s">
        <v>3381</v>
      </c>
      <c r="Q155" t="s">
        <v>3389</v>
      </c>
      <c r="R155" t="s">
        <v>3536</v>
      </c>
      <c r="S155">
        <v>20</v>
      </c>
      <c r="T155" t="s">
        <v>4204</v>
      </c>
      <c r="U155" t="s">
        <v>4223</v>
      </c>
      <c r="W155" t="s">
        <v>4239</v>
      </c>
      <c r="X155" t="s">
        <v>3382</v>
      </c>
      <c r="Y155" t="s">
        <v>3382</v>
      </c>
      <c r="AA155" t="s">
        <v>4256</v>
      </c>
      <c r="AB155" t="s">
        <v>4261</v>
      </c>
      <c r="AC155">
        <v>0</v>
      </c>
      <c r="AD155">
        <v>1181.16</v>
      </c>
      <c r="AE155">
        <v>56.2</v>
      </c>
      <c r="AG155" t="s">
        <v>4432</v>
      </c>
      <c r="AI155" t="s">
        <v>5511</v>
      </c>
      <c r="AJ155">
        <v>42</v>
      </c>
      <c r="AK155" t="s">
        <v>6267</v>
      </c>
      <c r="AL155">
        <v>4</v>
      </c>
      <c r="AM155">
        <v>1</v>
      </c>
      <c r="AN155">
        <v>232.68</v>
      </c>
      <c r="AO155" t="s">
        <v>269</v>
      </c>
      <c r="AP155" t="s">
        <v>6283</v>
      </c>
      <c r="AR155" t="s">
        <v>5312</v>
      </c>
      <c r="AS155" t="s">
        <v>6298</v>
      </c>
      <c r="AT155">
        <v>70200</v>
      </c>
      <c r="AW155" t="s">
        <v>6354</v>
      </c>
      <c r="AX155" t="s">
        <v>6392</v>
      </c>
      <c r="BA155" t="s">
        <v>6477</v>
      </c>
      <c r="BD155" t="s">
        <v>237</v>
      </c>
      <c r="BE155" t="s">
        <v>6702</v>
      </c>
    </row>
    <row r="156" spans="1:57">
      <c r="A156" s="1">
        <f>HYPERLINK("https://lsnyc.legalserver.org/matter/dynamic-profile/view/1914048","19-1914048")</f>
        <v>0</v>
      </c>
      <c r="B156" t="s">
        <v>57</v>
      </c>
      <c r="C156" t="s">
        <v>81</v>
      </c>
      <c r="D156" t="s">
        <v>214</v>
      </c>
      <c r="E156" t="s">
        <v>219</v>
      </c>
      <c r="G156" t="s">
        <v>720</v>
      </c>
      <c r="H156" t="s">
        <v>1456</v>
      </c>
      <c r="J156" t="s">
        <v>2206</v>
      </c>
      <c r="K156" t="s">
        <v>3073</v>
      </c>
      <c r="L156" t="s">
        <v>3329</v>
      </c>
      <c r="M156" t="s">
        <v>3379</v>
      </c>
      <c r="N156">
        <v>10451</v>
      </c>
      <c r="O156" t="s">
        <v>3380</v>
      </c>
      <c r="P156" t="s">
        <v>3381</v>
      </c>
      <c r="Q156" t="s">
        <v>3384</v>
      </c>
      <c r="R156" t="s">
        <v>3537</v>
      </c>
      <c r="S156">
        <v>1</v>
      </c>
      <c r="T156" t="s">
        <v>4196</v>
      </c>
      <c r="U156" t="s">
        <v>4224</v>
      </c>
      <c r="W156" t="s">
        <v>4239</v>
      </c>
      <c r="X156" t="s">
        <v>3382</v>
      </c>
      <c r="Y156" t="s">
        <v>3382</v>
      </c>
      <c r="AA156" t="s">
        <v>4256</v>
      </c>
      <c r="AB156" t="s">
        <v>4265</v>
      </c>
      <c r="AC156">
        <v>0</v>
      </c>
      <c r="AD156">
        <v>855.88</v>
      </c>
      <c r="AE156">
        <v>5.7</v>
      </c>
      <c r="AG156" t="s">
        <v>4433</v>
      </c>
      <c r="AJ156">
        <v>2</v>
      </c>
      <c r="AK156" t="s">
        <v>6268</v>
      </c>
      <c r="AL156">
        <v>2</v>
      </c>
      <c r="AM156">
        <v>0</v>
      </c>
      <c r="AN156">
        <v>13.22</v>
      </c>
      <c r="AR156" t="s">
        <v>6290</v>
      </c>
      <c r="AS156" t="s">
        <v>6298</v>
      </c>
      <c r="AT156">
        <v>2236</v>
      </c>
      <c r="AX156" t="s">
        <v>6387</v>
      </c>
      <c r="BA156" t="s">
        <v>6478</v>
      </c>
      <c r="BD156" t="s">
        <v>275</v>
      </c>
      <c r="BE156" t="s">
        <v>6702</v>
      </c>
    </row>
    <row r="157" spans="1:57">
      <c r="A157" s="1">
        <f>HYPERLINK("https://lsnyc.legalserver.org/matter/dynamic-profile/view/1885043","18-1885043")</f>
        <v>0</v>
      </c>
      <c r="B157" t="s">
        <v>57</v>
      </c>
      <c r="C157" t="s">
        <v>82</v>
      </c>
      <c r="D157" t="s">
        <v>214</v>
      </c>
      <c r="E157" t="s">
        <v>298</v>
      </c>
      <c r="G157" t="s">
        <v>664</v>
      </c>
      <c r="H157" t="s">
        <v>1457</v>
      </c>
      <c r="J157" t="s">
        <v>2207</v>
      </c>
      <c r="K157" t="s">
        <v>3074</v>
      </c>
      <c r="L157" t="s">
        <v>3329</v>
      </c>
      <c r="M157" t="s">
        <v>3379</v>
      </c>
      <c r="N157">
        <v>10456</v>
      </c>
      <c r="O157" t="s">
        <v>3380</v>
      </c>
      <c r="P157" t="s">
        <v>3380</v>
      </c>
      <c r="Q157" t="s">
        <v>3386</v>
      </c>
      <c r="S157">
        <v>10</v>
      </c>
      <c r="T157" t="s">
        <v>4197</v>
      </c>
      <c r="U157" t="s">
        <v>4224</v>
      </c>
      <c r="W157" t="s">
        <v>4239</v>
      </c>
      <c r="X157" t="s">
        <v>3382</v>
      </c>
      <c r="Y157" t="s">
        <v>3382</v>
      </c>
      <c r="AA157" t="s">
        <v>4256</v>
      </c>
      <c r="AB157" t="s">
        <v>4261</v>
      </c>
      <c r="AC157">
        <v>0</v>
      </c>
      <c r="AD157">
        <v>723</v>
      </c>
      <c r="AE157">
        <v>6.7</v>
      </c>
      <c r="AG157" t="s">
        <v>4434</v>
      </c>
      <c r="AI157" t="s">
        <v>5512</v>
      </c>
      <c r="AJ157">
        <v>60</v>
      </c>
      <c r="AK157" t="s">
        <v>6267</v>
      </c>
      <c r="AL157">
        <v>1</v>
      </c>
      <c r="AM157">
        <v>0</v>
      </c>
      <c r="AN157">
        <v>74.14</v>
      </c>
      <c r="AQ157" t="s">
        <v>6287</v>
      </c>
      <c r="AR157" t="s">
        <v>6290</v>
      </c>
      <c r="AS157" t="s">
        <v>6298</v>
      </c>
      <c r="AT157">
        <v>9000</v>
      </c>
      <c r="AW157" t="s">
        <v>6355</v>
      </c>
      <c r="AX157" t="s">
        <v>82</v>
      </c>
      <c r="BA157" t="s">
        <v>6482</v>
      </c>
      <c r="BD157" t="s">
        <v>6636</v>
      </c>
    </row>
    <row r="158" spans="1:57">
      <c r="A158" s="1">
        <f>HYPERLINK("https://lsnyc.legalserver.org/matter/dynamic-profile/view/1894692","19-1894692")</f>
        <v>0</v>
      </c>
      <c r="B158" t="s">
        <v>57</v>
      </c>
      <c r="C158" t="s">
        <v>82</v>
      </c>
      <c r="D158" t="s">
        <v>214</v>
      </c>
      <c r="E158" t="s">
        <v>299</v>
      </c>
      <c r="G158" t="s">
        <v>664</v>
      </c>
      <c r="H158" t="s">
        <v>1457</v>
      </c>
      <c r="J158" t="s">
        <v>2207</v>
      </c>
      <c r="K158" t="s">
        <v>3074</v>
      </c>
      <c r="L158" t="s">
        <v>3329</v>
      </c>
      <c r="M158" t="s">
        <v>3379</v>
      </c>
      <c r="N158">
        <v>10456</v>
      </c>
      <c r="O158" t="s">
        <v>3381</v>
      </c>
      <c r="P158" t="s">
        <v>3381</v>
      </c>
      <c r="Q158" t="s">
        <v>3386</v>
      </c>
      <c r="S158">
        <v>11</v>
      </c>
      <c r="T158" t="s">
        <v>4203</v>
      </c>
      <c r="U158" t="s">
        <v>4224</v>
      </c>
      <c r="W158" t="s">
        <v>4239</v>
      </c>
      <c r="X158" t="s">
        <v>3382</v>
      </c>
      <c r="Y158" t="s">
        <v>3382</v>
      </c>
      <c r="AA158" t="s">
        <v>4256</v>
      </c>
      <c r="AB158" t="s">
        <v>4261</v>
      </c>
      <c r="AC158">
        <v>0</v>
      </c>
      <c r="AD158">
        <v>723</v>
      </c>
      <c r="AE158">
        <v>4.8</v>
      </c>
      <c r="AG158" t="s">
        <v>4434</v>
      </c>
      <c r="AI158" t="s">
        <v>5512</v>
      </c>
      <c r="AJ158">
        <v>60</v>
      </c>
      <c r="AK158" t="s">
        <v>6267</v>
      </c>
      <c r="AL158">
        <v>1</v>
      </c>
      <c r="AM158">
        <v>0</v>
      </c>
      <c r="AN158">
        <v>81.67</v>
      </c>
      <c r="AR158" t="s">
        <v>6290</v>
      </c>
      <c r="AS158" t="s">
        <v>6298</v>
      </c>
      <c r="AT158">
        <v>10200</v>
      </c>
      <c r="AW158" t="s">
        <v>6356</v>
      </c>
      <c r="AX158" t="s">
        <v>82</v>
      </c>
      <c r="BA158" t="s">
        <v>6487</v>
      </c>
      <c r="BD158" t="s">
        <v>6637</v>
      </c>
    </row>
    <row r="159" spans="1:57">
      <c r="A159" s="1">
        <f>HYPERLINK("https://lsnyc.legalserver.org/matter/dynamic-profile/view/1910254","19-1910254")</f>
        <v>0</v>
      </c>
      <c r="B159" t="s">
        <v>57</v>
      </c>
      <c r="C159" t="s">
        <v>82</v>
      </c>
      <c r="D159" t="s">
        <v>215</v>
      </c>
      <c r="E159" t="s">
        <v>300</v>
      </c>
      <c r="F159" t="s">
        <v>293</v>
      </c>
      <c r="G159" t="s">
        <v>721</v>
      </c>
      <c r="H159" t="s">
        <v>1458</v>
      </c>
      <c r="J159" t="s">
        <v>2208</v>
      </c>
      <c r="K159" t="s">
        <v>2997</v>
      </c>
      <c r="L159" t="s">
        <v>3329</v>
      </c>
      <c r="M159" t="s">
        <v>3379</v>
      </c>
      <c r="N159">
        <v>10455</v>
      </c>
      <c r="O159" t="s">
        <v>3380</v>
      </c>
      <c r="P159" t="s">
        <v>3381</v>
      </c>
      <c r="Q159" t="s">
        <v>3384</v>
      </c>
      <c r="R159" t="s">
        <v>3538</v>
      </c>
      <c r="S159">
        <v>9</v>
      </c>
      <c r="T159" t="s">
        <v>4197</v>
      </c>
      <c r="U159" t="s">
        <v>4225</v>
      </c>
      <c r="V159" t="s">
        <v>4230</v>
      </c>
      <c r="W159" t="s">
        <v>4239</v>
      </c>
      <c r="X159" t="s">
        <v>3382</v>
      </c>
      <c r="Y159" t="s">
        <v>3382</v>
      </c>
      <c r="AA159" t="s">
        <v>4256</v>
      </c>
      <c r="AB159" t="s">
        <v>4264</v>
      </c>
      <c r="AC159">
        <v>0</v>
      </c>
      <c r="AD159">
        <v>0</v>
      </c>
      <c r="AE159">
        <v>0.5</v>
      </c>
      <c r="AF159" t="s">
        <v>4268</v>
      </c>
      <c r="AG159" t="s">
        <v>4435</v>
      </c>
      <c r="AI159" t="s">
        <v>5513</v>
      </c>
      <c r="AJ159">
        <v>2</v>
      </c>
      <c r="AK159" t="s">
        <v>6270</v>
      </c>
      <c r="AL159">
        <v>1</v>
      </c>
      <c r="AM159">
        <v>3</v>
      </c>
      <c r="AN159">
        <v>60.58</v>
      </c>
      <c r="AS159" t="s">
        <v>6298</v>
      </c>
      <c r="AT159">
        <v>15600</v>
      </c>
      <c r="AX159" t="s">
        <v>6387</v>
      </c>
      <c r="BA159" t="s">
        <v>6477</v>
      </c>
      <c r="BD159" t="s">
        <v>253</v>
      </c>
      <c r="BE159" t="s">
        <v>6702</v>
      </c>
    </row>
    <row r="160" spans="1:57">
      <c r="A160" s="1">
        <f>HYPERLINK("https://lsnyc.legalserver.org/matter/dynamic-profile/view/1914274","19-1914274")</f>
        <v>0</v>
      </c>
      <c r="B160" t="s">
        <v>57</v>
      </c>
      <c r="C160" t="s">
        <v>83</v>
      </c>
      <c r="D160" t="s">
        <v>214</v>
      </c>
      <c r="E160" t="s">
        <v>230</v>
      </c>
      <c r="G160" t="s">
        <v>722</v>
      </c>
      <c r="H160" t="s">
        <v>1459</v>
      </c>
      <c r="J160" t="s">
        <v>2209</v>
      </c>
      <c r="K160">
        <v>3</v>
      </c>
      <c r="L160" t="s">
        <v>3329</v>
      </c>
      <c r="M160" t="s">
        <v>3379</v>
      </c>
      <c r="N160">
        <v>10468</v>
      </c>
      <c r="O160" t="s">
        <v>3380</v>
      </c>
      <c r="P160" t="s">
        <v>3381</v>
      </c>
      <c r="Q160" t="s">
        <v>3384</v>
      </c>
      <c r="R160" t="s">
        <v>3539</v>
      </c>
      <c r="S160">
        <v>7</v>
      </c>
      <c r="T160" t="s">
        <v>4197</v>
      </c>
      <c r="W160" t="s">
        <v>4238</v>
      </c>
      <c r="X160" t="s">
        <v>3382</v>
      </c>
      <c r="Y160" t="s">
        <v>3382</v>
      </c>
      <c r="AA160" t="s">
        <v>4256</v>
      </c>
      <c r="AC160">
        <v>0</v>
      </c>
      <c r="AD160">
        <v>2074</v>
      </c>
      <c r="AE160">
        <v>1.5</v>
      </c>
      <c r="AG160" t="s">
        <v>4436</v>
      </c>
      <c r="AI160" t="s">
        <v>5514</v>
      </c>
      <c r="AJ160">
        <v>43</v>
      </c>
      <c r="AK160" t="s">
        <v>6267</v>
      </c>
      <c r="AL160">
        <v>3</v>
      </c>
      <c r="AM160">
        <v>0</v>
      </c>
      <c r="AN160">
        <v>218.96</v>
      </c>
      <c r="AR160" t="s">
        <v>5312</v>
      </c>
      <c r="AS160" t="s">
        <v>6298</v>
      </c>
      <c r="AT160">
        <v>46704</v>
      </c>
      <c r="AX160" t="s">
        <v>6397</v>
      </c>
      <c r="BA160" t="s">
        <v>6477</v>
      </c>
      <c r="BD160" t="s">
        <v>341</v>
      </c>
    </row>
    <row r="161" spans="1:57">
      <c r="A161" s="1">
        <f>HYPERLINK("https://lsnyc.legalserver.org/matter/dynamic-profile/view/1908554","19-1908554")</f>
        <v>0</v>
      </c>
      <c r="B161" t="s">
        <v>57</v>
      </c>
      <c r="C161" t="s">
        <v>83</v>
      </c>
      <c r="D161" t="s">
        <v>214</v>
      </c>
      <c r="E161" t="s">
        <v>301</v>
      </c>
      <c r="G161" t="s">
        <v>723</v>
      </c>
      <c r="H161" t="s">
        <v>1460</v>
      </c>
      <c r="J161" t="s">
        <v>2210</v>
      </c>
      <c r="K161" t="s">
        <v>3000</v>
      </c>
      <c r="L161" t="s">
        <v>3329</v>
      </c>
      <c r="M161" t="s">
        <v>3379</v>
      </c>
      <c r="N161">
        <v>10468</v>
      </c>
      <c r="O161" t="s">
        <v>3380</v>
      </c>
      <c r="P161" t="s">
        <v>3381</v>
      </c>
      <c r="Q161" t="s">
        <v>3384</v>
      </c>
      <c r="R161" t="s">
        <v>3540</v>
      </c>
      <c r="S161">
        <v>5</v>
      </c>
      <c r="T161" t="s">
        <v>4196</v>
      </c>
      <c r="W161" t="s">
        <v>4238</v>
      </c>
      <c r="X161" t="s">
        <v>3382</v>
      </c>
      <c r="Y161" t="s">
        <v>3382</v>
      </c>
      <c r="AA161" t="s">
        <v>4256</v>
      </c>
      <c r="AC161">
        <v>0</v>
      </c>
      <c r="AD161">
        <v>1350</v>
      </c>
      <c r="AE161">
        <v>14.6</v>
      </c>
      <c r="AG161" t="s">
        <v>4437</v>
      </c>
      <c r="AI161" t="s">
        <v>5515</v>
      </c>
      <c r="AJ161">
        <v>27</v>
      </c>
      <c r="AK161" t="s">
        <v>6267</v>
      </c>
      <c r="AL161">
        <v>2</v>
      </c>
      <c r="AM161">
        <v>2</v>
      </c>
      <c r="AN161">
        <v>80.78</v>
      </c>
      <c r="AR161" t="s">
        <v>5312</v>
      </c>
      <c r="AS161" t="s">
        <v>6299</v>
      </c>
      <c r="AT161">
        <v>20800</v>
      </c>
      <c r="AX161" t="s">
        <v>6397</v>
      </c>
      <c r="BA161" t="s">
        <v>6477</v>
      </c>
      <c r="BD161" t="s">
        <v>222</v>
      </c>
    </row>
    <row r="162" spans="1:57">
      <c r="A162" s="1">
        <f>HYPERLINK("https://lsnyc.legalserver.org/matter/dynamic-profile/view/1914001","19-1914001")</f>
        <v>0</v>
      </c>
      <c r="B162" t="s">
        <v>57</v>
      </c>
      <c r="C162" t="s">
        <v>83</v>
      </c>
      <c r="D162" t="s">
        <v>214</v>
      </c>
      <c r="E162" t="s">
        <v>249</v>
      </c>
      <c r="G162" t="s">
        <v>724</v>
      </c>
      <c r="H162" t="s">
        <v>1417</v>
      </c>
      <c r="J162" t="s">
        <v>2211</v>
      </c>
      <c r="K162" t="s">
        <v>3055</v>
      </c>
      <c r="L162" t="s">
        <v>3329</v>
      </c>
      <c r="M162" t="s">
        <v>3379</v>
      </c>
      <c r="N162">
        <v>10468</v>
      </c>
      <c r="O162" t="s">
        <v>3380</v>
      </c>
      <c r="P162" t="s">
        <v>3381</v>
      </c>
      <c r="Q162" t="s">
        <v>3384</v>
      </c>
      <c r="R162" t="s">
        <v>3541</v>
      </c>
      <c r="S162">
        <v>-1</v>
      </c>
      <c r="T162" t="s">
        <v>4196</v>
      </c>
      <c r="U162" t="s">
        <v>4223</v>
      </c>
      <c r="W162" t="s">
        <v>4238</v>
      </c>
      <c r="X162" t="s">
        <v>3382</v>
      </c>
      <c r="Y162" t="s">
        <v>3382</v>
      </c>
      <c r="AA162" t="s">
        <v>4256</v>
      </c>
      <c r="AC162">
        <v>0</v>
      </c>
      <c r="AD162">
        <v>1450</v>
      </c>
      <c r="AE162">
        <v>2</v>
      </c>
      <c r="AG162" t="s">
        <v>4438</v>
      </c>
      <c r="AI162" t="s">
        <v>5516</v>
      </c>
      <c r="AJ162">
        <v>42</v>
      </c>
      <c r="AK162" t="s">
        <v>6266</v>
      </c>
      <c r="AL162">
        <v>1</v>
      </c>
      <c r="AM162">
        <v>1</v>
      </c>
      <c r="AN162">
        <v>0</v>
      </c>
      <c r="AR162" t="s">
        <v>5312</v>
      </c>
      <c r="AS162" t="s">
        <v>6299</v>
      </c>
      <c r="AT162">
        <v>0</v>
      </c>
      <c r="AX162" t="s">
        <v>6397</v>
      </c>
      <c r="BA162" t="s">
        <v>6479</v>
      </c>
      <c r="BD162" t="s">
        <v>341</v>
      </c>
    </row>
    <row r="163" spans="1:57">
      <c r="A163" s="1">
        <f>HYPERLINK("https://lsnyc.legalserver.org/matter/dynamic-profile/view/1901542","19-1901542")</f>
        <v>0</v>
      </c>
      <c r="B163" t="s">
        <v>57</v>
      </c>
      <c r="C163" t="s">
        <v>83</v>
      </c>
      <c r="D163" t="s">
        <v>214</v>
      </c>
      <c r="E163" t="s">
        <v>302</v>
      </c>
      <c r="G163" t="s">
        <v>725</v>
      </c>
      <c r="H163" t="s">
        <v>1461</v>
      </c>
      <c r="J163" t="s">
        <v>2212</v>
      </c>
      <c r="K163" t="s">
        <v>3075</v>
      </c>
      <c r="L163" t="s">
        <v>3329</v>
      </c>
      <c r="M163" t="s">
        <v>3379</v>
      </c>
      <c r="N163">
        <v>10467</v>
      </c>
      <c r="O163" t="s">
        <v>3380</v>
      </c>
      <c r="P163" t="s">
        <v>3381</v>
      </c>
      <c r="Q163" t="s">
        <v>3386</v>
      </c>
      <c r="R163" t="s">
        <v>3542</v>
      </c>
      <c r="S163">
        <v>19</v>
      </c>
      <c r="T163" t="s">
        <v>4196</v>
      </c>
      <c r="U163" t="s">
        <v>4225</v>
      </c>
      <c r="W163" t="s">
        <v>4238</v>
      </c>
      <c r="X163" t="s">
        <v>3382</v>
      </c>
      <c r="Y163" t="s">
        <v>3382</v>
      </c>
      <c r="AA163" t="s">
        <v>4256</v>
      </c>
      <c r="AC163">
        <v>0</v>
      </c>
      <c r="AD163">
        <v>1178</v>
      </c>
      <c r="AE163">
        <v>6.95</v>
      </c>
      <c r="AG163" t="s">
        <v>4439</v>
      </c>
      <c r="AI163" t="s">
        <v>5517</v>
      </c>
      <c r="AJ163">
        <v>10</v>
      </c>
      <c r="AK163" t="s">
        <v>6267</v>
      </c>
      <c r="AL163">
        <v>1</v>
      </c>
      <c r="AM163">
        <v>0</v>
      </c>
      <c r="AN163">
        <v>0</v>
      </c>
      <c r="AR163" t="s">
        <v>5312</v>
      </c>
      <c r="AS163" t="s">
        <v>6298</v>
      </c>
      <c r="AT163">
        <v>0</v>
      </c>
      <c r="AX163" t="s">
        <v>6394</v>
      </c>
      <c r="BA163" t="s">
        <v>6479</v>
      </c>
      <c r="BD163" t="s">
        <v>6281</v>
      </c>
      <c r="BE163" t="s">
        <v>6702</v>
      </c>
    </row>
    <row r="164" spans="1:57">
      <c r="A164" s="1">
        <f>HYPERLINK("https://lsnyc.legalserver.org/matter/dynamic-profile/view/1896436","19-1896436")</f>
        <v>0</v>
      </c>
      <c r="B164" t="s">
        <v>57</v>
      </c>
      <c r="C164" t="s">
        <v>83</v>
      </c>
      <c r="D164" t="s">
        <v>215</v>
      </c>
      <c r="E164" t="s">
        <v>239</v>
      </c>
      <c r="F164" t="s">
        <v>243</v>
      </c>
      <c r="G164" t="s">
        <v>726</v>
      </c>
      <c r="H164" t="s">
        <v>1462</v>
      </c>
      <c r="J164" t="s">
        <v>2213</v>
      </c>
      <c r="K164" t="s">
        <v>3076</v>
      </c>
      <c r="L164" t="s">
        <v>3329</v>
      </c>
      <c r="M164" t="s">
        <v>3379</v>
      </c>
      <c r="N164">
        <v>10467</v>
      </c>
      <c r="O164" t="s">
        <v>3381</v>
      </c>
      <c r="P164" t="s">
        <v>3380</v>
      </c>
      <c r="R164" t="s">
        <v>3543</v>
      </c>
      <c r="S164">
        <v>7</v>
      </c>
      <c r="U164" t="s">
        <v>4223</v>
      </c>
      <c r="V164" t="s">
        <v>4231</v>
      </c>
      <c r="W164" t="s">
        <v>4238</v>
      </c>
      <c r="X164" t="s">
        <v>3382</v>
      </c>
      <c r="Y164" t="s">
        <v>3382</v>
      </c>
      <c r="AA164" t="s">
        <v>4256</v>
      </c>
      <c r="AC164">
        <v>0</v>
      </c>
      <c r="AD164">
        <v>1375</v>
      </c>
      <c r="AE164">
        <v>31.8</v>
      </c>
      <c r="AF164" t="s">
        <v>4269</v>
      </c>
      <c r="AG164" t="s">
        <v>4440</v>
      </c>
      <c r="AI164" t="s">
        <v>5518</v>
      </c>
      <c r="AJ164">
        <v>6</v>
      </c>
      <c r="AL164">
        <v>1</v>
      </c>
      <c r="AM164">
        <v>0</v>
      </c>
      <c r="AN164">
        <v>84.06999999999999</v>
      </c>
      <c r="AR164" t="s">
        <v>6292</v>
      </c>
      <c r="AS164" t="s">
        <v>6298</v>
      </c>
      <c r="AT164">
        <v>10500</v>
      </c>
      <c r="AX164" t="s">
        <v>99</v>
      </c>
      <c r="AZ164" t="s">
        <v>6465</v>
      </c>
      <c r="BA164" t="s">
        <v>6516</v>
      </c>
      <c r="BB164" t="s">
        <v>6602</v>
      </c>
      <c r="BC164" t="s">
        <v>6608</v>
      </c>
      <c r="BD164" t="s">
        <v>243</v>
      </c>
    </row>
    <row r="165" spans="1:57">
      <c r="A165" s="1">
        <f>HYPERLINK("https://lsnyc.legalserver.org/matter/dynamic-profile/view/1894927","19-1894927")</f>
        <v>0</v>
      </c>
      <c r="B165" t="s">
        <v>57</v>
      </c>
      <c r="C165" t="s">
        <v>83</v>
      </c>
      <c r="D165" t="s">
        <v>214</v>
      </c>
      <c r="E165" t="s">
        <v>303</v>
      </c>
      <c r="G165" t="s">
        <v>727</v>
      </c>
      <c r="H165" t="s">
        <v>1441</v>
      </c>
      <c r="J165" t="s">
        <v>2214</v>
      </c>
      <c r="K165" t="s">
        <v>3077</v>
      </c>
      <c r="L165" t="s">
        <v>3329</v>
      </c>
      <c r="M165" t="s">
        <v>3379</v>
      </c>
      <c r="N165">
        <v>10457</v>
      </c>
      <c r="O165" t="s">
        <v>3380</v>
      </c>
      <c r="P165" t="s">
        <v>3380</v>
      </c>
      <c r="Q165" t="s">
        <v>3384</v>
      </c>
      <c r="R165" t="s">
        <v>3544</v>
      </c>
      <c r="S165">
        <v>1</v>
      </c>
      <c r="T165" t="s">
        <v>4197</v>
      </c>
      <c r="U165" t="s">
        <v>4225</v>
      </c>
      <c r="W165" t="s">
        <v>4238</v>
      </c>
      <c r="X165" t="s">
        <v>3382</v>
      </c>
      <c r="Y165" t="s">
        <v>3382</v>
      </c>
      <c r="AA165" t="s">
        <v>4256</v>
      </c>
      <c r="AB165" t="s">
        <v>4261</v>
      </c>
      <c r="AC165">
        <v>0</v>
      </c>
      <c r="AD165">
        <v>198</v>
      </c>
      <c r="AE165">
        <v>3.25</v>
      </c>
      <c r="AG165" t="s">
        <v>4441</v>
      </c>
      <c r="AI165" t="s">
        <v>5519</v>
      </c>
      <c r="AJ165">
        <v>0</v>
      </c>
      <c r="AK165" t="s">
        <v>6267</v>
      </c>
      <c r="AL165">
        <v>1</v>
      </c>
      <c r="AM165">
        <v>0</v>
      </c>
      <c r="AN165">
        <v>82.43000000000001</v>
      </c>
      <c r="AS165" t="s">
        <v>6299</v>
      </c>
      <c r="AT165">
        <v>10296</v>
      </c>
      <c r="AW165" t="s">
        <v>6357</v>
      </c>
      <c r="AX165" t="s">
        <v>6397</v>
      </c>
      <c r="BA165" t="s">
        <v>6482</v>
      </c>
      <c r="BD165" t="s">
        <v>289</v>
      </c>
      <c r="BE165" t="s">
        <v>6702</v>
      </c>
    </row>
    <row r="166" spans="1:57">
      <c r="A166" s="1">
        <f>HYPERLINK("https://lsnyc.legalserver.org/matter/dynamic-profile/view/1914341","19-1914341")</f>
        <v>0</v>
      </c>
      <c r="B166" t="s">
        <v>57</v>
      </c>
      <c r="C166" t="s">
        <v>83</v>
      </c>
      <c r="D166" t="s">
        <v>214</v>
      </c>
      <c r="E166" t="s">
        <v>224</v>
      </c>
      <c r="G166" t="s">
        <v>728</v>
      </c>
      <c r="H166" t="s">
        <v>1463</v>
      </c>
      <c r="J166" t="s">
        <v>2191</v>
      </c>
      <c r="K166">
        <v>1205</v>
      </c>
      <c r="L166" t="s">
        <v>3329</v>
      </c>
      <c r="M166" t="s">
        <v>3379</v>
      </c>
      <c r="N166">
        <v>10457</v>
      </c>
      <c r="O166" t="s">
        <v>3380</v>
      </c>
      <c r="P166" t="s">
        <v>3381</v>
      </c>
      <c r="Q166" t="s">
        <v>3386</v>
      </c>
      <c r="R166" t="s">
        <v>3545</v>
      </c>
      <c r="S166">
        <v>3</v>
      </c>
      <c r="T166" t="s">
        <v>4197</v>
      </c>
      <c r="U166" t="s">
        <v>4224</v>
      </c>
      <c r="W166" t="s">
        <v>4238</v>
      </c>
      <c r="X166" t="s">
        <v>3382</v>
      </c>
      <c r="Y166" t="s">
        <v>3382</v>
      </c>
      <c r="AA166" t="s">
        <v>4256</v>
      </c>
      <c r="AC166">
        <v>0</v>
      </c>
      <c r="AD166">
        <v>0</v>
      </c>
      <c r="AE166">
        <v>1.3</v>
      </c>
      <c r="AG166" t="s">
        <v>4442</v>
      </c>
      <c r="AI166" t="s">
        <v>5520</v>
      </c>
      <c r="AJ166">
        <v>99</v>
      </c>
      <c r="AK166" t="s">
        <v>6270</v>
      </c>
      <c r="AL166">
        <v>2</v>
      </c>
      <c r="AM166">
        <v>3</v>
      </c>
      <c r="AN166">
        <v>120.28</v>
      </c>
      <c r="AR166" t="s">
        <v>6290</v>
      </c>
      <c r="AS166" t="s">
        <v>6298</v>
      </c>
      <c r="AT166">
        <v>36288</v>
      </c>
      <c r="AX166" t="s">
        <v>6397</v>
      </c>
      <c r="BA166" t="s">
        <v>6515</v>
      </c>
      <c r="BD166" t="s">
        <v>275</v>
      </c>
    </row>
    <row r="167" spans="1:57">
      <c r="A167" s="1">
        <f>HYPERLINK("https://lsnyc.legalserver.org/matter/dynamic-profile/view/1913955","19-1913955")</f>
        <v>0</v>
      </c>
      <c r="B167" t="s">
        <v>57</v>
      </c>
      <c r="C167" t="s">
        <v>83</v>
      </c>
      <c r="D167" t="s">
        <v>214</v>
      </c>
      <c r="E167" t="s">
        <v>249</v>
      </c>
      <c r="G167" t="s">
        <v>729</v>
      </c>
      <c r="H167" t="s">
        <v>1464</v>
      </c>
      <c r="J167" t="s">
        <v>2215</v>
      </c>
      <c r="K167">
        <v>17</v>
      </c>
      <c r="L167" t="s">
        <v>3329</v>
      </c>
      <c r="M167" t="s">
        <v>3379</v>
      </c>
      <c r="N167">
        <v>10457</v>
      </c>
      <c r="O167" t="s">
        <v>3380</v>
      </c>
      <c r="P167" t="s">
        <v>3381</v>
      </c>
      <c r="Q167" t="s">
        <v>3384</v>
      </c>
      <c r="R167" t="s">
        <v>3546</v>
      </c>
      <c r="S167">
        <v>3</v>
      </c>
      <c r="T167" t="s">
        <v>4196</v>
      </c>
      <c r="U167" t="s">
        <v>4224</v>
      </c>
      <c r="W167" t="s">
        <v>4238</v>
      </c>
      <c r="X167" t="s">
        <v>3382</v>
      </c>
      <c r="Y167" t="s">
        <v>3382</v>
      </c>
      <c r="AA167" t="s">
        <v>4256</v>
      </c>
      <c r="AC167">
        <v>0</v>
      </c>
      <c r="AD167">
        <v>2197</v>
      </c>
      <c r="AE167">
        <v>2</v>
      </c>
      <c r="AG167" t="s">
        <v>4443</v>
      </c>
      <c r="AI167" t="s">
        <v>5521</v>
      </c>
      <c r="AJ167">
        <v>20</v>
      </c>
      <c r="AK167" t="s">
        <v>6266</v>
      </c>
      <c r="AL167">
        <v>1</v>
      </c>
      <c r="AM167">
        <v>3</v>
      </c>
      <c r="AN167">
        <v>70.68000000000001</v>
      </c>
      <c r="AR167" t="s">
        <v>6291</v>
      </c>
      <c r="AS167" t="s">
        <v>6298</v>
      </c>
      <c r="AT167">
        <v>18200</v>
      </c>
      <c r="AX167" t="s">
        <v>6397</v>
      </c>
      <c r="BA167" t="s">
        <v>6477</v>
      </c>
      <c r="BD167" t="s">
        <v>341</v>
      </c>
      <c r="BE167" t="s">
        <v>6702</v>
      </c>
    </row>
    <row r="168" spans="1:57">
      <c r="A168" s="1">
        <f>HYPERLINK("https://lsnyc.legalserver.org/matter/dynamic-profile/view/1909467","19-1909467")</f>
        <v>0</v>
      </c>
      <c r="B168" t="s">
        <v>57</v>
      </c>
      <c r="C168" t="s">
        <v>83</v>
      </c>
      <c r="D168" t="s">
        <v>214</v>
      </c>
      <c r="E168" t="s">
        <v>304</v>
      </c>
      <c r="G168" t="s">
        <v>730</v>
      </c>
      <c r="H168" t="s">
        <v>1465</v>
      </c>
      <c r="J168" t="s">
        <v>2216</v>
      </c>
      <c r="K168" t="s">
        <v>3036</v>
      </c>
      <c r="L168" t="s">
        <v>3329</v>
      </c>
      <c r="M168" t="s">
        <v>3379</v>
      </c>
      <c r="N168">
        <v>10453</v>
      </c>
      <c r="O168" t="s">
        <v>3380</v>
      </c>
      <c r="P168" t="s">
        <v>3381</v>
      </c>
      <c r="Q168" t="s">
        <v>3387</v>
      </c>
      <c r="S168">
        <v>31</v>
      </c>
      <c r="T168" t="s">
        <v>4205</v>
      </c>
      <c r="U168" t="s">
        <v>4224</v>
      </c>
      <c r="W168" t="s">
        <v>4239</v>
      </c>
      <c r="X168" t="s">
        <v>3382</v>
      </c>
      <c r="Y168" t="s">
        <v>3382</v>
      </c>
      <c r="AA168" t="s">
        <v>4256</v>
      </c>
      <c r="AC168">
        <v>0</v>
      </c>
      <c r="AD168">
        <v>102</v>
      </c>
      <c r="AE168">
        <v>9.15</v>
      </c>
      <c r="AG168" t="s">
        <v>4444</v>
      </c>
      <c r="AI168" t="s">
        <v>5522</v>
      </c>
      <c r="AJ168">
        <v>42</v>
      </c>
      <c r="AK168" t="s">
        <v>6271</v>
      </c>
      <c r="AL168">
        <v>1</v>
      </c>
      <c r="AM168">
        <v>0</v>
      </c>
      <c r="AN168">
        <v>0</v>
      </c>
      <c r="AS168" t="s">
        <v>6298</v>
      </c>
      <c r="AT168">
        <v>0</v>
      </c>
      <c r="AX168" t="s">
        <v>6387</v>
      </c>
      <c r="BA168" t="s">
        <v>6477</v>
      </c>
      <c r="BD168" t="s">
        <v>272</v>
      </c>
      <c r="BE168" t="s">
        <v>6702</v>
      </c>
    </row>
    <row r="169" spans="1:57">
      <c r="A169" s="1">
        <f>HYPERLINK("https://lsnyc.legalserver.org/matter/dynamic-profile/view/1914535","19-1914535")</f>
        <v>0</v>
      </c>
      <c r="B169" t="s">
        <v>57</v>
      </c>
      <c r="C169" t="s">
        <v>83</v>
      </c>
      <c r="D169" t="s">
        <v>214</v>
      </c>
      <c r="E169" t="s">
        <v>227</v>
      </c>
      <c r="G169" t="s">
        <v>731</v>
      </c>
      <c r="H169" t="s">
        <v>1466</v>
      </c>
      <c r="J169" t="s">
        <v>2217</v>
      </c>
      <c r="K169">
        <v>420</v>
      </c>
      <c r="L169" t="s">
        <v>3329</v>
      </c>
      <c r="M169" t="s">
        <v>3379</v>
      </c>
      <c r="N169">
        <v>10452</v>
      </c>
      <c r="O169" t="s">
        <v>3380</v>
      </c>
      <c r="P169" t="s">
        <v>3381</v>
      </c>
      <c r="Q169" t="s">
        <v>3384</v>
      </c>
      <c r="R169" t="s">
        <v>3547</v>
      </c>
      <c r="S169">
        <v>17</v>
      </c>
      <c r="T169" t="s">
        <v>4197</v>
      </c>
      <c r="W169" t="s">
        <v>4238</v>
      </c>
      <c r="X169" t="s">
        <v>3382</v>
      </c>
      <c r="Y169" t="s">
        <v>3382</v>
      </c>
      <c r="AA169" t="s">
        <v>4256</v>
      </c>
      <c r="AC169">
        <v>0</v>
      </c>
      <c r="AD169">
        <v>770.89</v>
      </c>
      <c r="AE169">
        <v>3.5</v>
      </c>
      <c r="AG169" t="s">
        <v>4445</v>
      </c>
      <c r="AI169" t="s">
        <v>5523</v>
      </c>
      <c r="AJ169">
        <v>109</v>
      </c>
      <c r="AK169" t="s">
        <v>6266</v>
      </c>
      <c r="AL169">
        <v>1</v>
      </c>
      <c r="AM169">
        <v>1</v>
      </c>
      <c r="AN169">
        <v>222.02</v>
      </c>
      <c r="AR169" t="s">
        <v>5312</v>
      </c>
      <c r="AS169" t="s">
        <v>6299</v>
      </c>
      <c r="AT169">
        <v>37544</v>
      </c>
      <c r="AX169" t="s">
        <v>6397</v>
      </c>
      <c r="BA169" t="s">
        <v>6517</v>
      </c>
      <c r="BD169" t="s">
        <v>218</v>
      </c>
    </row>
    <row r="170" spans="1:57">
      <c r="A170" s="1">
        <f>HYPERLINK("https://lsnyc.legalserver.org/matter/dynamic-profile/view/1912186","19-1912186")</f>
        <v>0</v>
      </c>
      <c r="B170" t="s">
        <v>57</v>
      </c>
      <c r="C170" t="s">
        <v>84</v>
      </c>
      <c r="D170" t="s">
        <v>214</v>
      </c>
      <c r="E170" t="s">
        <v>216</v>
      </c>
      <c r="G170" t="s">
        <v>732</v>
      </c>
      <c r="H170" t="s">
        <v>1467</v>
      </c>
      <c r="J170" t="s">
        <v>2218</v>
      </c>
      <c r="K170" t="s">
        <v>3078</v>
      </c>
      <c r="L170" t="s">
        <v>3329</v>
      </c>
      <c r="M170" t="s">
        <v>3379</v>
      </c>
      <c r="N170">
        <v>10468</v>
      </c>
      <c r="O170" t="s">
        <v>3380</v>
      </c>
      <c r="P170" t="s">
        <v>3381</v>
      </c>
      <c r="Q170" t="s">
        <v>3383</v>
      </c>
      <c r="R170" t="s">
        <v>3548</v>
      </c>
      <c r="S170">
        <v>29</v>
      </c>
      <c r="T170" t="s">
        <v>4196</v>
      </c>
      <c r="U170" t="s">
        <v>4223</v>
      </c>
      <c r="W170" t="s">
        <v>4238</v>
      </c>
      <c r="X170" t="s">
        <v>3382</v>
      </c>
      <c r="Y170" t="s">
        <v>3382</v>
      </c>
      <c r="AA170" t="s">
        <v>4256</v>
      </c>
      <c r="AC170">
        <v>0</v>
      </c>
      <c r="AD170">
        <v>1251.62</v>
      </c>
      <c r="AE170">
        <v>1.1</v>
      </c>
      <c r="AG170" t="s">
        <v>4446</v>
      </c>
      <c r="AI170" t="s">
        <v>5524</v>
      </c>
      <c r="AJ170">
        <v>102</v>
      </c>
      <c r="AK170" t="s">
        <v>6267</v>
      </c>
      <c r="AL170">
        <v>1</v>
      </c>
      <c r="AM170">
        <v>0</v>
      </c>
      <c r="AN170">
        <v>283.11</v>
      </c>
      <c r="AR170" t="s">
        <v>5312</v>
      </c>
      <c r="AS170" t="s">
        <v>6298</v>
      </c>
      <c r="AT170">
        <v>35360</v>
      </c>
      <c r="AW170" t="s">
        <v>6358</v>
      </c>
      <c r="AX170" t="s">
        <v>6394</v>
      </c>
      <c r="BA170" t="s">
        <v>6477</v>
      </c>
      <c r="BD170" t="s">
        <v>275</v>
      </c>
      <c r="BE170" t="s">
        <v>6702</v>
      </c>
    </row>
    <row r="171" spans="1:57">
      <c r="A171" s="1">
        <f>HYPERLINK("https://lsnyc.legalserver.org/matter/dynamic-profile/view/1914087","19-1914087")</f>
        <v>0</v>
      </c>
      <c r="B171" t="s">
        <v>57</v>
      </c>
      <c r="C171" t="s">
        <v>84</v>
      </c>
      <c r="D171" t="s">
        <v>214</v>
      </c>
      <c r="E171" t="s">
        <v>219</v>
      </c>
      <c r="G171" t="s">
        <v>733</v>
      </c>
      <c r="H171" t="s">
        <v>1468</v>
      </c>
      <c r="J171" t="s">
        <v>2219</v>
      </c>
      <c r="K171" t="s">
        <v>3079</v>
      </c>
      <c r="L171" t="s">
        <v>3329</v>
      </c>
      <c r="M171" t="s">
        <v>3379</v>
      </c>
      <c r="N171">
        <v>10467</v>
      </c>
      <c r="O171" t="s">
        <v>3381</v>
      </c>
      <c r="P171" t="s">
        <v>3381</v>
      </c>
      <c r="Q171" t="s">
        <v>3384</v>
      </c>
      <c r="R171" t="s">
        <v>3549</v>
      </c>
      <c r="S171">
        <v>30</v>
      </c>
      <c r="T171" t="s">
        <v>4196</v>
      </c>
      <c r="U171" t="s">
        <v>4223</v>
      </c>
      <c r="W171" t="s">
        <v>4238</v>
      </c>
      <c r="X171" t="s">
        <v>3382</v>
      </c>
      <c r="Y171" t="s">
        <v>3382</v>
      </c>
      <c r="AA171" t="s">
        <v>4256</v>
      </c>
      <c r="AB171" t="s">
        <v>4261</v>
      </c>
      <c r="AC171">
        <v>0</v>
      </c>
      <c r="AD171">
        <v>968.54</v>
      </c>
      <c r="AE171">
        <v>3.4</v>
      </c>
      <c r="AG171" t="s">
        <v>4447</v>
      </c>
      <c r="AI171" t="s">
        <v>5525</v>
      </c>
      <c r="AJ171">
        <v>67</v>
      </c>
      <c r="AK171" t="s">
        <v>6267</v>
      </c>
      <c r="AL171">
        <v>1</v>
      </c>
      <c r="AM171">
        <v>0</v>
      </c>
      <c r="AN171">
        <v>0</v>
      </c>
      <c r="AS171" t="s">
        <v>6298</v>
      </c>
      <c r="AT171">
        <v>0</v>
      </c>
      <c r="AW171" t="s">
        <v>6359</v>
      </c>
      <c r="AX171" t="s">
        <v>6387</v>
      </c>
      <c r="BA171" t="s">
        <v>6479</v>
      </c>
      <c r="BD171" t="s">
        <v>267</v>
      </c>
    </row>
    <row r="172" spans="1:57">
      <c r="A172" s="1">
        <f>HYPERLINK("https://lsnyc.legalserver.org/matter/dynamic-profile/view/1913280","19-1913280")</f>
        <v>0</v>
      </c>
      <c r="B172" t="s">
        <v>57</v>
      </c>
      <c r="C172" t="s">
        <v>84</v>
      </c>
      <c r="D172" t="s">
        <v>214</v>
      </c>
      <c r="E172" t="s">
        <v>228</v>
      </c>
      <c r="G172" t="s">
        <v>734</v>
      </c>
      <c r="H172" t="s">
        <v>1469</v>
      </c>
      <c r="J172" t="s">
        <v>2220</v>
      </c>
      <c r="K172" t="s">
        <v>3016</v>
      </c>
      <c r="L172" t="s">
        <v>3329</v>
      </c>
      <c r="M172" t="s">
        <v>3379</v>
      </c>
      <c r="N172">
        <v>10458</v>
      </c>
      <c r="O172" t="s">
        <v>3380</v>
      </c>
      <c r="P172" t="s">
        <v>3381</v>
      </c>
      <c r="Q172" t="s">
        <v>3384</v>
      </c>
      <c r="R172" t="s">
        <v>3550</v>
      </c>
      <c r="S172">
        <v>1</v>
      </c>
      <c r="T172" t="s">
        <v>4196</v>
      </c>
      <c r="U172" t="s">
        <v>4224</v>
      </c>
      <c r="W172" t="s">
        <v>4238</v>
      </c>
      <c r="X172" t="s">
        <v>3382</v>
      </c>
      <c r="Y172" t="s">
        <v>3382</v>
      </c>
      <c r="AA172" t="s">
        <v>4256</v>
      </c>
      <c r="AC172">
        <v>0</v>
      </c>
      <c r="AD172">
        <v>1421.1</v>
      </c>
      <c r="AE172">
        <v>2.5</v>
      </c>
      <c r="AG172" t="s">
        <v>4448</v>
      </c>
      <c r="AI172" t="s">
        <v>5526</v>
      </c>
      <c r="AJ172">
        <v>28</v>
      </c>
      <c r="AK172" t="s">
        <v>6266</v>
      </c>
      <c r="AL172">
        <v>1</v>
      </c>
      <c r="AM172">
        <v>0</v>
      </c>
      <c r="AN172">
        <v>0</v>
      </c>
      <c r="AR172" t="s">
        <v>5312</v>
      </c>
      <c r="AS172" t="s">
        <v>6298</v>
      </c>
      <c r="AT172">
        <v>0</v>
      </c>
      <c r="AX172" t="s">
        <v>6394</v>
      </c>
      <c r="BA172" t="s">
        <v>6479</v>
      </c>
      <c r="BD172" t="s">
        <v>267</v>
      </c>
      <c r="BE172" t="s">
        <v>6702</v>
      </c>
    </row>
    <row r="173" spans="1:57">
      <c r="A173" s="1">
        <f>HYPERLINK("https://lsnyc.legalserver.org/matter/dynamic-profile/view/1912972","19-1912972")</f>
        <v>0</v>
      </c>
      <c r="B173" t="s">
        <v>57</v>
      </c>
      <c r="C173" t="s">
        <v>84</v>
      </c>
      <c r="D173" t="s">
        <v>214</v>
      </c>
      <c r="E173" t="s">
        <v>305</v>
      </c>
      <c r="G173" t="s">
        <v>650</v>
      </c>
      <c r="H173" t="s">
        <v>1470</v>
      </c>
      <c r="J173" t="s">
        <v>2221</v>
      </c>
      <c r="K173" t="s">
        <v>3030</v>
      </c>
      <c r="L173" t="s">
        <v>3329</v>
      </c>
      <c r="M173" t="s">
        <v>3379</v>
      </c>
      <c r="N173">
        <v>10457</v>
      </c>
      <c r="O173" t="s">
        <v>3380</v>
      </c>
      <c r="P173" t="s">
        <v>3381</v>
      </c>
      <c r="Q173" t="s">
        <v>3391</v>
      </c>
      <c r="R173" t="s">
        <v>3551</v>
      </c>
      <c r="S173">
        <v>23</v>
      </c>
      <c r="T173" t="s">
        <v>4197</v>
      </c>
      <c r="U173" t="s">
        <v>4223</v>
      </c>
      <c r="W173" t="s">
        <v>4238</v>
      </c>
      <c r="X173" t="s">
        <v>3382</v>
      </c>
      <c r="Y173" t="s">
        <v>3382</v>
      </c>
      <c r="AA173" t="s">
        <v>4256</v>
      </c>
      <c r="AC173">
        <v>0</v>
      </c>
      <c r="AD173">
        <v>769.25</v>
      </c>
      <c r="AE173">
        <v>2.2</v>
      </c>
      <c r="AG173" t="s">
        <v>4449</v>
      </c>
      <c r="AI173" t="s">
        <v>5527</v>
      </c>
      <c r="AJ173">
        <v>64</v>
      </c>
      <c r="AK173" t="s">
        <v>6267</v>
      </c>
      <c r="AL173">
        <v>1</v>
      </c>
      <c r="AM173">
        <v>0</v>
      </c>
      <c r="AN173">
        <v>72.06</v>
      </c>
      <c r="AR173" t="s">
        <v>6293</v>
      </c>
      <c r="AS173" t="s">
        <v>6298</v>
      </c>
      <c r="AT173">
        <v>9000</v>
      </c>
      <c r="AX173" t="s">
        <v>6394</v>
      </c>
      <c r="BA173" t="s">
        <v>6475</v>
      </c>
      <c r="BD173" t="s">
        <v>224</v>
      </c>
      <c r="BE173" t="s">
        <v>6702</v>
      </c>
    </row>
    <row r="174" spans="1:57">
      <c r="A174" s="1">
        <f>HYPERLINK("https://lsnyc.legalserver.org/matter/dynamic-profile/view/1911137","19-1911137")</f>
        <v>0</v>
      </c>
      <c r="B174" t="s">
        <v>57</v>
      </c>
      <c r="C174" t="s">
        <v>84</v>
      </c>
      <c r="D174" t="s">
        <v>214</v>
      </c>
      <c r="E174" t="s">
        <v>279</v>
      </c>
      <c r="G174" t="s">
        <v>735</v>
      </c>
      <c r="H174" t="s">
        <v>1471</v>
      </c>
      <c r="J174" t="s">
        <v>2222</v>
      </c>
      <c r="K174">
        <v>26</v>
      </c>
      <c r="L174" t="s">
        <v>3329</v>
      </c>
      <c r="M174" t="s">
        <v>3379</v>
      </c>
      <c r="N174">
        <v>10452</v>
      </c>
      <c r="O174" t="s">
        <v>3380</v>
      </c>
      <c r="P174" t="s">
        <v>3381</v>
      </c>
      <c r="Q174" t="s">
        <v>3384</v>
      </c>
      <c r="R174" t="s">
        <v>3552</v>
      </c>
      <c r="S174">
        <v>11</v>
      </c>
      <c r="T174" t="s">
        <v>4197</v>
      </c>
      <c r="U174" t="s">
        <v>4224</v>
      </c>
      <c r="W174" t="s">
        <v>4239</v>
      </c>
      <c r="X174" t="s">
        <v>3382</v>
      </c>
      <c r="Y174" t="s">
        <v>3382</v>
      </c>
      <c r="AA174" t="s">
        <v>4256</v>
      </c>
      <c r="AB174" t="s">
        <v>4261</v>
      </c>
      <c r="AC174">
        <v>0</v>
      </c>
      <c r="AD174">
        <v>1600</v>
      </c>
      <c r="AE174">
        <v>1.4</v>
      </c>
      <c r="AG174" t="s">
        <v>4450</v>
      </c>
      <c r="AI174" t="s">
        <v>5528</v>
      </c>
      <c r="AJ174">
        <v>32</v>
      </c>
      <c r="AK174" t="s">
        <v>6272</v>
      </c>
      <c r="AL174">
        <v>1</v>
      </c>
      <c r="AM174">
        <v>0</v>
      </c>
      <c r="AN174">
        <v>198.17</v>
      </c>
      <c r="AS174" t="s">
        <v>6298</v>
      </c>
      <c r="AT174">
        <v>24752</v>
      </c>
      <c r="AX174" t="s">
        <v>6387</v>
      </c>
      <c r="BA174" t="s">
        <v>6477</v>
      </c>
      <c r="BD174" t="s">
        <v>267</v>
      </c>
      <c r="BE174" t="s">
        <v>6702</v>
      </c>
    </row>
    <row r="175" spans="1:57">
      <c r="A175" s="1">
        <f>HYPERLINK("https://lsnyc.legalserver.org/matter/dynamic-profile/view/1913553","19-1913553")</f>
        <v>0</v>
      </c>
      <c r="B175" t="s">
        <v>57</v>
      </c>
      <c r="C175" t="s">
        <v>84</v>
      </c>
      <c r="D175" t="s">
        <v>214</v>
      </c>
      <c r="E175" t="s">
        <v>251</v>
      </c>
      <c r="G175" t="s">
        <v>736</v>
      </c>
      <c r="H175" t="s">
        <v>1420</v>
      </c>
      <c r="J175" t="s">
        <v>2223</v>
      </c>
      <c r="K175" t="s">
        <v>3080</v>
      </c>
      <c r="L175" t="s">
        <v>3329</v>
      </c>
      <c r="M175" t="s">
        <v>3379</v>
      </c>
      <c r="N175">
        <v>10451</v>
      </c>
      <c r="O175" t="s">
        <v>3380</v>
      </c>
      <c r="P175" t="s">
        <v>3381</v>
      </c>
      <c r="Q175" t="s">
        <v>3386</v>
      </c>
      <c r="S175">
        <v>9</v>
      </c>
      <c r="T175" t="s">
        <v>4197</v>
      </c>
      <c r="W175" t="s">
        <v>4239</v>
      </c>
      <c r="X175" t="s">
        <v>3382</v>
      </c>
      <c r="Y175" t="s">
        <v>3382</v>
      </c>
      <c r="AA175" t="s">
        <v>4256</v>
      </c>
      <c r="AC175">
        <v>0</v>
      </c>
      <c r="AD175">
        <v>2100</v>
      </c>
      <c r="AE175">
        <v>1.5</v>
      </c>
      <c r="AG175" t="s">
        <v>4451</v>
      </c>
      <c r="AI175" t="s">
        <v>5529</v>
      </c>
      <c r="AJ175">
        <v>10</v>
      </c>
      <c r="AK175" t="s">
        <v>6270</v>
      </c>
      <c r="AL175">
        <v>1</v>
      </c>
      <c r="AM175">
        <v>3</v>
      </c>
      <c r="AN175">
        <v>93.2</v>
      </c>
      <c r="AR175" t="s">
        <v>3391</v>
      </c>
      <c r="AT175">
        <v>24000</v>
      </c>
      <c r="AX175" t="s">
        <v>6394</v>
      </c>
      <c r="BA175" t="s">
        <v>6473</v>
      </c>
      <c r="BD175" t="s">
        <v>251</v>
      </c>
      <c r="BE175" t="s">
        <v>6702</v>
      </c>
    </row>
    <row r="176" spans="1:57">
      <c r="A176" s="1">
        <f>HYPERLINK("https://lsnyc.legalserver.org/matter/dynamic-profile/view/1915420","19-1915420")</f>
        <v>0</v>
      </c>
      <c r="B176" t="s">
        <v>57</v>
      </c>
      <c r="C176" t="s">
        <v>85</v>
      </c>
      <c r="D176" t="s">
        <v>214</v>
      </c>
      <c r="E176" t="s">
        <v>218</v>
      </c>
      <c r="G176" t="s">
        <v>737</v>
      </c>
      <c r="H176" t="s">
        <v>808</v>
      </c>
      <c r="J176" t="s">
        <v>2224</v>
      </c>
      <c r="K176" t="s">
        <v>3081</v>
      </c>
      <c r="L176" t="s">
        <v>3329</v>
      </c>
      <c r="M176" t="s">
        <v>3379</v>
      </c>
      <c r="N176">
        <v>10451</v>
      </c>
      <c r="O176" t="s">
        <v>3380</v>
      </c>
      <c r="P176" t="s">
        <v>3381</v>
      </c>
      <c r="Q176" t="s">
        <v>3388</v>
      </c>
      <c r="S176">
        <v>1</v>
      </c>
      <c r="T176" t="s">
        <v>4196</v>
      </c>
      <c r="W176" t="s">
        <v>4239</v>
      </c>
      <c r="X176" t="s">
        <v>3382</v>
      </c>
      <c r="Y176" t="s">
        <v>3382</v>
      </c>
      <c r="AA176" t="s">
        <v>4256</v>
      </c>
      <c r="AC176">
        <v>0</v>
      </c>
      <c r="AD176">
        <v>2200</v>
      </c>
      <c r="AE176">
        <v>0</v>
      </c>
      <c r="AG176" t="s">
        <v>4452</v>
      </c>
      <c r="AI176" t="s">
        <v>5530</v>
      </c>
      <c r="AJ176">
        <v>140</v>
      </c>
      <c r="AK176" t="s">
        <v>6267</v>
      </c>
      <c r="AL176">
        <v>3</v>
      </c>
      <c r="AM176">
        <v>2</v>
      </c>
      <c r="AN176">
        <v>129.27</v>
      </c>
      <c r="AR176" t="s">
        <v>5312</v>
      </c>
      <c r="AS176" t="s">
        <v>6298</v>
      </c>
      <c r="AT176">
        <v>39000</v>
      </c>
      <c r="AX176" t="s">
        <v>6394</v>
      </c>
      <c r="BA176" t="s">
        <v>6477</v>
      </c>
    </row>
    <row r="177" spans="1:57">
      <c r="A177" s="1">
        <f>HYPERLINK("https://lsnyc.legalserver.org/matter/dynamic-profile/view/1914610","19-1914610")</f>
        <v>0</v>
      </c>
      <c r="B177" t="s">
        <v>57</v>
      </c>
      <c r="C177" t="s">
        <v>86</v>
      </c>
      <c r="D177" t="s">
        <v>214</v>
      </c>
      <c r="E177" t="s">
        <v>267</v>
      </c>
      <c r="G177" t="s">
        <v>738</v>
      </c>
      <c r="H177" t="s">
        <v>1472</v>
      </c>
      <c r="J177" t="s">
        <v>2225</v>
      </c>
      <c r="K177">
        <v>3</v>
      </c>
      <c r="L177" t="s">
        <v>3329</v>
      </c>
      <c r="M177" t="s">
        <v>3379</v>
      </c>
      <c r="N177">
        <v>10456</v>
      </c>
      <c r="O177" t="s">
        <v>3380</v>
      </c>
      <c r="P177" t="s">
        <v>3381</v>
      </c>
      <c r="Q177" t="s">
        <v>3384</v>
      </c>
      <c r="R177" t="s">
        <v>3553</v>
      </c>
      <c r="S177">
        <v>4</v>
      </c>
      <c r="T177" t="s">
        <v>4196</v>
      </c>
      <c r="U177" t="s">
        <v>4223</v>
      </c>
      <c r="W177" t="s">
        <v>4239</v>
      </c>
      <c r="X177" t="s">
        <v>3382</v>
      </c>
      <c r="Y177" t="s">
        <v>3382</v>
      </c>
      <c r="AA177" t="s">
        <v>4257</v>
      </c>
      <c r="AB177" t="s">
        <v>4261</v>
      </c>
      <c r="AC177">
        <v>0</v>
      </c>
      <c r="AD177">
        <v>1515</v>
      </c>
      <c r="AE177">
        <v>1</v>
      </c>
      <c r="AG177" t="s">
        <v>4453</v>
      </c>
      <c r="AI177" t="s">
        <v>5531</v>
      </c>
      <c r="AJ177">
        <v>3</v>
      </c>
      <c r="AK177" t="s">
        <v>6274</v>
      </c>
      <c r="AL177">
        <v>1</v>
      </c>
      <c r="AM177">
        <v>2</v>
      </c>
      <c r="AN177">
        <v>96.15000000000001</v>
      </c>
      <c r="AR177" t="s">
        <v>6291</v>
      </c>
      <c r="AS177" t="s">
        <v>6298</v>
      </c>
      <c r="AT177">
        <v>20508</v>
      </c>
      <c r="AX177" t="s">
        <v>6386</v>
      </c>
      <c r="BA177" t="s">
        <v>6489</v>
      </c>
      <c r="BD177" t="s">
        <v>267</v>
      </c>
      <c r="BE177" t="s">
        <v>6702</v>
      </c>
    </row>
    <row r="178" spans="1:57">
      <c r="A178" s="1">
        <f>HYPERLINK("https://lsnyc.legalserver.org/matter/dynamic-profile/view/1913139","19-1913139")</f>
        <v>0</v>
      </c>
      <c r="B178" t="s">
        <v>57</v>
      </c>
      <c r="C178" t="s">
        <v>87</v>
      </c>
      <c r="D178" t="s">
        <v>215</v>
      </c>
      <c r="E178" t="s">
        <v>259</v>
      </c>
      <c r="F178" t="s">
        <v>574</v>
      </c>
      <c r="G178" t="s">
        <v>739</v>
      </c>
      <c r="H178" t="s">
        <v>1473</v>
      </c>
      <c r="J178" t="s">
        <v>2226</v>
      </c>
      <c r="K178" t="s">
        <v>3082</v>
      </c>
      <c r="L178" t="s">
        <v>3329</v>
      </c>
      <c r="M178" t="s">
        <v>3379</v>
      </c>
      <c r="N178">
        <v>10473</v>
      </c>
      <c r="O178" t="s">
        <v>3380</v>
      </c>
      <c r="P178" t="s">
        <v>3381</v>
      </c>
      <c r="Q178" t="s">
        <v>3384</v>
      </c>
      <c r="S178">
        <v>45</v>
      </c>
      <c r="T178" t="s">
        <v>4206</v>
      </c>
      <c r="U178" t="s">
        <v>4225</v>
      </c>
      <c r="V178" t="s">
        <v>4230</v>
      </c>
      <c r="W178" t="s">
        <v>4239</v>
      </c>
      <c r="X178" t="s">
        <v>3382</v>
      </c>
      <c r="Y178" t="s">
        <v>3382</v>
      </c>
      <c r="AA178" t="s">
        <v>4256</v>
      </c>
      <c r="AC178">
        <v>0</v>
      </c>
      <c r="AD178">
        <v>360</v>
      </c>
      <c r="AE178">
        <v>0.5</v>
      </c>
      <c r="AF178" t="s">
        <v>4268</v>
      </c>
      <c r="AG178" t="s">
        <v>4454</v>
      </c>
      <c r="AI178" t="s">
        <v>5532</v>
      </c>
      <c r="AJ178">
        <v>40</v>
      </c>
      <c r="AK178" t="s">
        <v>6270</v>
      </c>
      <c r="AL178">
        <v>1</v>
      </c>
      <c r="AM178">
        <v>1</v>
      </c>
      <c r="AN178">
        <v>13.99</v>
      </c>
      <c r="AS178" t="s">
        <v>6298</v>
      </c>
      <c r="AT178">
        <v>2366</v>
      </c>
      <c r="AX178" t="s">
        <v>6387</v>
      </c>
      <c r="BA178" t="s">
        <v>6478</v>
      </c>
      <c r="BD178" t="s">
        <v>222</v>
      </c>
      <c r="BE178" t="s">
        <v>6702</v>
      </c>
    </row>
    <row r="179" spans="1:57">
      <c r="A179" s="1">
        <f>HYPERLINK("https://lsnyc.legalserver.org/matter/dynamic-profile/view/1915202","19-1915202")</f>
        <v>0</v>
      </c>
      <c r="B179" t="s">
        <v>57</v>
      </c>
      <c r="C179" t="s">
        <v>87</v>
      </c>
      <c r="D179" t="s">
        <v>214</v>
      </c>
      <c r="E179" t="s">
        <v>217</v>
      </c>
      <c r="G179" t="s">
        <v>740</v>
      </c>
      <c r="H179" t="s">
        <v>1474</v>
      </c>
      <c r="J179" t="s">
        <v>2227</v>
      </c>
      <c r="K179" t="s">
        <v>3083</v>
      </c>
      <c r="L179" t="s">
        <v>3329</v>
      </c>
      <c r="M179" t="s">
        <v>3379</v>
      </c>
      <c r="N179">
        <v>10472</v>
      </c>
      <c r="O179" t="s">
        <v>3380</v>
      </c>
      <c r="P179" t="s">
        <v>3381</v>
      </c>
      <c r="Q179" t="s">
        <v>3384</v>
      </c>
      <c r="R179" t="s">
        <v>3554</v>
      </c>
      <c r="S179">
        <v>2</v>
      </c>
      <c r="T179" t="s">
        <v>4196</v>
      </c>
      <c r="U179" t="s">
        <v>4225</v>
      </c>
      <c r="W179" t="s">
        <v>4239</v>
      </c>
      <c r="X179" t="s">
        <v>3382</v>
      </c>
      <c r="Y179" t="s">
        <v>3382</v>
      </c>
      <c r="AA179" t="s">
        <v>4256</v>
      </c>
      <c r="AB179" t="s">
        <v>4261</v>
      </c>
      <c r="AC179">
        <v>0</v>
      </c>
      <c r="AD179">
        <v>1435</v>
      </c>
      <c r="AE179">
        <v>0</v>
      </c>
      <c r="AG179" t="s">
        <v>4455</v>
      </c>
      <c r="AH179" t="s">
        <v>5257</v>
      </c>
      <c r="AI179" t="s">
        <v>5533</v>
      </c>
      <c r="AJ179">
        <v>70</v>
      </c>
      <c r="AK179" t="s">
        <v>6267</v>
      </c>
      <c r="AL179">
        <v>1</v>
      </c>
      <c r="AM179">
        <v>1</v>
      </c>
      <c r="AN179">
        <v>45.77</v>
      </c>
      <c r="AR179" t="s">
        <v>6289</v>
      </c>
      <c r="AS179" t="s">
        <v>6298</v>
      </c>
      <c r="AT179">
        <v>7740</v>
      </c>
      <c r="AX179" t="s">
        <v>6387</v>
      </c>
      <c r="BA179" t="s">
        <v>6478</v>
      </c>
      <c r="BE179" t="s">
        <v>6702</v>
      </c>
    </row>
    <row r="180" spans="1:57">
      <c r="A180" s="1">
        <f>HYPERLINK("https://lsnyc.legalserver.org/matter/dynamic-profile/view/1913422","19-1913422")</f>
        <v>0</v>
      </c>
      <c r="B180" t="s">
        <v>57</v>
      </c>
      <c r="C180" t="s">
        <v>87</v>
      </c>
      <c r="D180" t="s">
        <v>215</v>
      </c>
      <c r="E180" t="s">
        <v>270</v>
      </c>
      <c r="F180" t="s">
        <v>219</v>
      </c>
      <c r="G180" t="s">
        <v>741</v>
      </c>
      <c r="H180" t="s">
        <v>1475</v>
      </c>
      <c r="J180" t="s">
        <v>2228</v>
      </c>
      <c r="K180" t="s">
        <v>3084</v>
      </c>
      <c r="L180" t="s">
        <v>3329</v>
      </c>
      <c r="M180" t="s">
        <v>3379</v>
      </c>
      <c r="N180">
        <v>10471</v>
      </c>
      <c r="O180" t="s">
        <v>3380</v>
      </c>
      <c r="P180" t="s">
        <v>3381</v>
      </c>
      <c r="Q180" t="s">
        <v>3384</v>
      </c>
      <c r="R180" t="s">
        <v>3555</v>
      </c>
      <c r="S180">
        <v>10</v>
      </c>
      <c r="T180" t="s">
        <v>4196</v>
      </c>
      <c r="U180" t="s">
        <v>4225</v>
      </c>
      <c r="V180" t="s">
        <v>4230</v>
      </c>
      <c r="W180" t="s">
        <v>4239</v>
      </c>
      <c r="X180" t="s">
        <v>3382</v>
      </c>
      <c r="Y180" t="s">
        <v>3382</v>
      </c>
      <c r="AA180" t="s">
        <v>4256</v>
      </c>
      <c r="AB180" t="s">
        <v>4261</v>
      </c>
      <c r="AC180">
        <v>0</v>
      </c>
      <c r="AD180">
        <v>1950</v>
      </c>
      <c r="AE180">
        <v>0.8</v>
      </c>
      <c r="AF180" t="s">
        <v>4268</v>
      </c>
      <c r="AG180" t="s">
        <v>4456</v>
      </c>
      <c r="AI180" t="s">
        <v>5534</v>
      </c>
      <c r="AJ180">
        <v>61</v>
      </c>
      <c r="AK180" t="s">
        <v>6275</v>
      </c>
      <c r="AL180">
        <v>1</v>
      </c>
      <c r="AM180">
        <v>0</v>
      </c>
      <c r="AN180">
        <v>0</v>
      </c>
      <c r="AS180" t="s">
        <v>6298</v>
      </c>
      <c r="AT180">
        <v>0</v>
      </c>
      <c r="AX180" t="s">
        <v>6387</v>
      </c>
      <c r="BA180" t="s">
        <v>6518</v>
      </c>
      <c r="BD180" t="s">
        <v>219</v>
      </c>
      <c r="BE180" t="s">
        <v>6702</v>
      </c>
    </row>
    <row r="181" spans="1:57">
      <c r="A181" s="1">
        <f>HYPERLINK("https://lsnyc.legalserver.org/matter/dynamic-profile/view/1905491","19-1905491")</f>
        <v>0</v>
      </c>
      <c r="B181" t="s">
        <v>57</v>
      </c>
      <c r="C181" t="s">
        <v>87</v>
      </c>
      <c r="D181" t="s">
        <v>215</v>
      </c>
      <c r="E181" t="s">
        <v>306</v>
      </c>
      <c r="F181" t="s">
        <v>252</v>
      </c>
      <c r="G181" t="s">
        <v>717</v>
      </c>
      <c r="H181" t="s">
        <v>1476</v>
      </c>
      <c r="J181" t="s">
        <v>2175</v>
      </c>
      <c r="K181" t="s">
        <v>3006</v>
      </c>
      <c r="L181" t="s">
        <v>3329</v>
      </c>
      <c r="M181" t="s">
        <v>3379</v>
      </c>
      <c r="N181">
        <v>10468</v>
      </c>
      <c r="O181" t="s">
        <v>3380</v>
      </c>
      <c r="P181" t="s">
        <v>3381</v>
      </c>
      <c r="S181">
        <v>9</v>
      </c>
      <c r="U181" t="s">
        <v>4225</v>
      </c>
      <c r="V181" t="s">
        <v>4230</v>
      </c>
      <c r="W181" t="s">
        <v>4238</v>
      </c>
      <c r="X181" t="s">
        <v>3382</v>
      </c>
      <c r="AA181" t="s">
        <v>4256</v>
      </c>
      <c r="AC181">
        <v>0</v>
      </c>
      <c r="AD181">
        <v>1160</v>
      </c>
      <c r="AE181">
        <v>0.2</v>
      </c>
      <c r="AF181" t="s">
        <v>4268</v>
      </c>
      <c r="AG181" t="s">
        <v>4457</v>
      </c>
      <c r="AJ181">
        <v>0</v>
      </c>
      <c r="AL181">
        <v>2</v>
      </c>
      <c r="AM181">
        <v>1</v>
      </c>
      <c r="AN181">
        <v>248.48</v>
      </c>
      <c r="AS181" t="s">
        <v>6299</v>
      </c>
      <c r="AT181">
        <v>53000</v>
      </c>
      <c r="AX181" t="s">
        <v>6400</v>
      </c>
      <c r="BA181" t="s">
        <v>6477</v>
      </c>
      <c r="BD181" t="s">
        <v>252</v>
      </c>
    </row>
    <row r="182" spans="1:57">
      <c r="A182" s="1">
        <f>HYPERLINK("https://lsnyc.legalserver.org/matter/dynamic-profile/view/1906825","19-1906825")</f>
        <v>0</v>
      </c>
      <c r="B182" t="s">
        <v>57</v>
      </c>
      <c r="C182" t="s">
        <v>87</v>
      </c>
      <c r="D182" t="s">
        <v>215</v>
      </c>
      <c r="E182" t="s">
        <v>247</v>
      </c>
      <c r="F182" t="s">
        <v>366</v>
      </c>
      <c r="G182" t="s">
        <v>742</v>
      </c>
      <c r="H182" t="s">
        <v>1477</v>
      </c>
      <c r="J182" t="s">
        <v>2219</v>
      </c>
      <c r="K182" t="s">
        <v>3085</v>
      </c>
      <c r="L182" t="s">
        <v>3329</v>
      </c>
      <c r="M182" t="s">
        <v>3379</v>
      </c>
      <c r="N182">
        <v>10467</v>
      </c>
      <c r="O182" t="s">
        <v>3380</v>
      </c>
      <c r="P182" t="s">
        <v>3381</v>
      </c>
      <c r="Q182" t="s">
        <v>3391</v>
      </c>
      <c r="R182" t="s">
        <v>3556</v>
      </c>
      <c r="S182">
        <v>1</v>
      </c>
      <c r="T182" t="s">
        <v>4197</v>
      </c>
      <c r="U182" t="s">
        <v>4225</v>
      </c>
      <c r="V182" t="s">
        <v>4230</v>
      </c>
      <c r="W182" t="s">
        <v>4238</v>
      </c>
      <c r="X182" t="s">
        <v>3382</v>
      </c>
      <c r="Y182" t="s">
        <v>3382</v>
      </c>
      <c r="AA182" t="s">
        <v>4256</v>
      </c>
      <c r="AB182" t="s">
        <v>4261</v>
      </c>
      <c r="AC182">
        <v>0</v>
      </c>
      <c r="AD182">
        <v>1400</v>
      </c>
      <c r="AE182">
        <v>0.5</v>
      </c>
      <c r="AF182" t="s">
        <v>4268</v>
      </c>
      <c r="AG182" t="s">
        <v>4458</v>
      </c>
      <c r="AI182" t="s">
        <v>5535</v>
      </c>
      <c r="AJ182">
        <v>67</v>
      </c>
      <c r="AK182" t="s">
        <v>6267</v>
      </c>
      <c r="AL182">
        <v>2</v>
      </c>
      <c r="AM182">
        <v>0</v>
      </c>
      <c r="AN182">
        <v>508.57</v>
      </c>
      <c r="AS182" t="s">
        <v>6298</v>
      </c>
      <c r="AT182">
        <v>86000</v>
      </c>
      <c r="AX182" t="s">
        <v>6387</v>
      </c>
      <c r="BA182" t="s">
        <v>6477</v>
      </c>
      <c r="BD182" t="s">
        <v>366</v>
      </c>
      <c r="BE182" t="s">
        <v>6702</v>
      </c>
    </row>
    <row r="183" spans="1:57">
      <c r="A183" s="1">
        <f>HYPERLINK("https://lsnyc.legalserver.org/matter/dynamic-profile/view/1908773","19-1908773")</f>
        <v>0</v>
      </c>
      <c r="B183" t="s">
        <v>57</v>
      </c>
      <c r="C183" t="s">
        <v>87</v>
      </c>
      <c r="D183" t="s">
        <v>215</v>
      </c>
      <c r="E183" t="s">
        <v>295</v>
      </c>
      <c r="F183" t="s">
        <v>238</v>
      </c>
      <c r="G183" t="s">
        <v>743</v>
      </c>
      <c r="H183" t="s">
        <v>1478</v>
      </c>
      <c r="J183" t="s">
        <v>2229</v>
      </c>
      <c r="K183" t="s">
        <v>3086</v>
      </c>
      <c r="L183" t="s">
        <v>3329</v>
      </c>
      <c r="M183" t="s">
        <v>3379</v>
      </c>
      <c r="N183">
        <v>10466</v>
      </c>
      <c r="O183" t="s">
        <v>3380</v>
      </c>
      <c r="P183" t="s">
        <v>3381</v>
      </c>
      <c r="Q183" t="s">
        <v>3384</v>
      </c>
      <c r="S183">
        <v>2</v>
      </c>
      <c r="T183" t="s">
        <v>4197</v>
      </c>
      <c r="U183" t="s">
        <v>4225</v>
      </c>
      <c r="V183" t="s">
        <v>4230</v>
      </c>
      <c r="W183" t="s">
        <v>4239</v>
      </c>
      <c r="X183" t="s">
        <v>3382</v>
      </c>
      <c r="Y183" t="s">
        <v>3382</v>
      </c>
      <c r="AA183" t="s">
        <v>4256</v>
      </c>
      <c r="AC183">
        <v>0</v>
      </c>
      <c r="AD183">
        <v>1300</v>
      </c>
      <c r="AE183">
        <v>0.9</v>
      </c>
      <c r="AF183" t="s">
        <v>4268</v>
      </c>
      <c r="AG183" t="s">
        <v>4459</v>
      </c>
      <c r="AI183" t="s">
        <v>5536</v>
      </c>
      <c r="AJ183">
        <v>2</v>
      </c>
      <c r="AK183" t="s">
        <v>6274</v>
      </c>
      <c r="AL183">
        <v>2</v>
      </c>
      <c r="AM183">
        <v>0</v>
      </c>
      <c r="AN183">
        <v>123.64</v>
      </c>
      <c r="AR183" t="s">
        <v>6290</v>
      </c>
      <c r="AS183" t="s">
        <v>6298</v>
      </c>
      <c r="AT183">
        <v>20907.24</v>
      </c>
      <c r="AX183" t="s">
        <v>6397</v>
      </c>
      <c r="BA183" t="s">
        <v>6519</v>
      </c>
      <c r="BD183" t="s">
        <v>238</v>
      </c>
      <c r="BE183" t="s">
        <v>6702</v>
      </c>
    </row>
    <row r="184" spans="1:57">
      <c r="A184" s="1">
        <f>HYPERLINK("https://lsnyc.legalserver.org/matter/dynamic-profile/view/1914375","19-1914375")</f>
        <v>0</v>
      </c>
      <c r="B184" t="s">
        <v>57</v>
      </c>
      <c r="C184" t="s">
        <v>87</v>
      </c>
      <c r="D184" t="s">
        <v>215</v>
      </c>
      <c r="E184" t="s">
        <v>224</v>
      </c>
      <c r="F184" t="s">
        <v>243</v>
      </c>
      <c r="G184" t="s">
        <v>744</v>
      </c>
      <c r="H184" t="s">
        <v>1475</v>
      </c>
      <c r="J184" t="s">
        <v>2230</v>
      </c>
      <c r="K184" t="s">
        <v>3087</v>
      </c>
      <c r="L184" t="s">
        <v>3329</v>
      </c>
      <c r="M184" t="s">
        <v>3379</v>
      </c>
      <c r="N184">
        <v>10466</v>
      </c>
      <c r="O184" t="s">
        <v>3380</v>
      </c>
      <c r="P184" t="s">
        <v>3381</v>
      </c>
      <c r="Q184" t="s">
        <v>3384</v>
      </c>
      <c r="R184" t="s">
        <v>3557</v>
      </c>
      <c r="S184">
        <v>2</v>
      </c>
      <c r="T184" t="s">
        <v>4197</v>
      </c>
      <c r="U184" t="s">
        <v>4225</v>
      </c>
      <c r="V184" t="s">
        <v>4230</v>
      </c>
      <c r="W184" t="s">
        <v>4239</v>
      </c>
      <c r="X184" t="s">
        <v>3382</v>
      </c>
      <c r="Y184" t="s">
        <v>3382</v>
      </c>
      <c r="AA184" t="s">
        <v>4256</v>
      </c>
      <c r="AB184" t="s">
        <v>4265</v>
      </c>
      <c r="AC184">
        <v>0</v>
      </c>
      <c r="AD184">
        <v>1268</v>
      </c>
      <c r="AE184">
        <v>1</v>
      </c>
      <c r="AF184" t="s">
        <v>4268</v>
      </c>
      <c r="AG184" t="s">
        <v>4460</v>
      </c>
      <c r="AH184" t="s">
        <v>5258</v>
      </c>
      <c r="AI184" t="s">
        <v>5537</v>
      </c>
      <c r="AJ184">
        <v>2</v>
      </c>
      <c r="AK184" t="s">
        <v>6274</v>
      </c>
      <c r="AL184">
        <v>2</v>
      </c>
      <c r="AM184">
        <v>0</v>
      </c>
      <c r="AN184">
        <v>41.16</v>
      </c>
      <c r="AR184" t="s">
        <v>6291</v>
      </c>
      <c r="AS184" t="s">
        <v>6298</v>
      </c>
      <c r="AT184">
        <v>6960</v>
      </c>
      <c r="AX184" t="s">
        <v>6387</v>
      </c>
      <c r="BA184" t="s">
        <v>6478</v>
      </c>
      <c r="BD184" t="s">
        <v>243</v>
      </c>
      <c r="BE184" t="s">
        <v>6702</v>
      </c>
    </row>
    <row r="185" spans="1:57">
      <c r="A185" s="1">
        <f>HYPERLINK("https://lsnyc.legalserver.org/matter/dynamic-profile/view/1912319","19-1912319")</f>
        <v>0</v>
      </c>
      <c r="B185" t="s">
        <v>57</v>
      </c>
      <c r="C185" t="s">
        <v>87</v>
      </c>
      <c r="D185" t="s">
        <v>215</v>
      </c>
      <c r="E185" t="s">
        <v>248</v>
      </c>
      <c r="F185" t="s">
        <v>230</v>
      </c>
      <c r="G185" t="s">
        <v>745</v>
      </c>
      <c r="H185" t="s">
        <v>1479</v>
      </c>
      <c r="J185" t="s">
        <v>2231</v>
      </c>
      <c r="K185" t="s">
        <v>3026</v>
      </c>
      <c r="L185" t="s">
        <v>3329</v>
      </c>
      <c r="M185" t="s">
        <v>3379</v>
      </c>
      <c r="N185">
        <v>10466</v>
      </c>
      <c r="O185" t="s">
        <v>3382</v>
      </c>
      <c r="P185" t="s">
        <v>3381</v>
      </c>
      <c r="Q185" t="s">
        <v>3391</v>
      </c>
      <c r="R185" t="s">
        <v>3558</v>
      </c>
      <c r="S185">
        <v>1</v>
      </c>
      <c r="T185" t="s">
        <v>4196</v>
      </c>
      <c r="U185" t="s">
        <v>4225</v>
      </c>
      <c r="V185" t="s">
        <v>4230</v>
      </c>
      <c r="W185" t="s">
        <v>4239</v>
      </c>
      <c r="X185" t="s">
        <v>3382</v>
      </c>
      <c r="Y185" t="s">
        <v>3382</v>
      </c>
      <c r="AA185" t="s">
        <v>4256</v>
      </c>
      <c r="AB185" t="s">
        <v>4261</v>
      </c>
      <c r="AC185">
        <v>0</v>
      </c>
      <c r="AD185">
        <v>1800</v>
      </c>
      <c r="AE185">
        <v>1.3</v>
      </c>
      <c r="AF185" t="s">
        <v>4268</v>
      </c>
      <c r="AG185" t="s">
        <v>4461</v>
      </c>
      <c r="AJ185">
        <v>8</v>
      </c>
      <c r="AK185" t="s">
        <v>6267</v>
      </c>
      <c r="AL185">
        <v>1</v>
      </c>
      <c r="AM185">
        <v>0</v>
      </c>
      <c r="AN185">
        <v>0</v>
      </c>
      <c r="AR185" t="s">
        <v>3391</v>
      </c>
      <c r="AS185" t="s">
        <v>6299</v>
      </c>
      <c r="AT185">
        <v>0</v>
      </c>
      <c r="AX185" t="s">
        <v>6387</v>
      </c>
      <c r="BA185" t="s">
        <v>6479</v>
      </c>
      <c r="BD185" t="s">
        <v>316</v>
      </c>
      <c r="BE185" t="s">
        <v>5312</v>
      </c>
    </row>
    <row r="186" spans="1:57">
      <c r="A186" s="1">
        <f>HYPERLINK("https://lsnyc.legalserver.org/matter/dynamic-profile/view/1915220","19-1915220")</f>
        <v>0</v>
      </c>
      <c r="B186" t="s">
        <v>57</v>
      </c>
      <c r="C186" t="s">
        <v>87</v>
      </c>
      <c r="D186" t="s">
        <v>214</v>
      </c>
      <c r="E186" t="s">
        <v>217</v>
      </c>
      <c r="G186" t="s">
        <v>636</v>
      </c>
      <c r="H186" t="s">
        <v>1480</v>
      </c>
      <c r="J186" t="s">
        <v>2232</v>
      </c>
      <c r="K186" t="s">
        <v>3023</v>
      </c>
      <c r="L186" t="s">
        <v>3329</v>
      </c>
      <c r="M186" t="s">
        <v>3379</v>
      </c>
      <c r="N186">
        <v>10466</v>
      </c>
      <c r="O186" t="s">
        <v>3380</v>
      </c>
      <c r="P186" t="s">
        <v>3381</v>
      </c>
      <c r="Q186" t="s">
        <v>3384</v>
      </c>
      <c r="R186" t="s">
        <v>3559</v>
      </c>
      <c r="S186">
        <v>2</v>
      </c>
      <c r="T186" t="s">
        <v>4196</v>
      </c>
      <c r="U186" t="s">
        <v>4225</v>
      </c>
      <c r="W186" t="s">
        <v>4239</v>
      </c>
      <c r="X186" t="s">
        <v>3382</v>
      </c>
      <c r="Y186" t="s">
        <v>3382</v>
      </c>
      <c r="AA186" t="s">
        <v>4256</v>
      </c>
      <c r="AB186" t="s">
        <v>4265</v>
      </c>
      <c r="AC186">
        <v>0</v>
      </c>
      <c r="AD186">
        <v>1450</v>
      </c>
      <c r="AE186">
        <v>0</v>
      </c>
      <c r="AG186" t="s">
        <v>4462</v>
      </c>
      <c r="AI186" t="s">
        <v>5538</v>
      </c>
      <c r="AJ186">
        <v>55</v>
      </c>
      <c r="AK186" t="s">
        <v>6267</v>
      </c>
      <c r="AL186">
        <v>1</v>
      </c>
      <c r="AM186">
        <v>2</v>
      </c>
      <c r="AN186">
        <v>118.72</v>
      </c>
      <c r="AS186" t="s">
        <v>6298</v>
      </c>
      <c r="AT186">
        <v>25324</v>
      </c>
      <c r="AX186" t="s">
        <v>6387</v>
      </c>
      <c r="BA186" t="s">
        <v>6477</v>
      </c>
      <c r="BE186" t="s">
        <v>6702</v>
      </c>
    </row>
    <row r="187" spans="1:57">
      <c r="A187" s="1">
        <f>HYPERLINK("https://lsnyc.legalserver.org/matter/dynamic-profile/view/1915261","19-1915261")</f>
        <v>0</v>
      </c>
      <c r="B187" t="s">
        <v>57</v>
      </c>
      <c r="C187" t="s">
        <v>87</v>
      </c>
      <c r="D187" t="s">
        <v>214</v>
      </c>
      <c r="E187" t="s">
        <v>217</v>
      </c>
      <c r="G187" t="s">
        <v>746</v>
      </c>
      <c r="H187" t="s">
        <v>1481</v>
      </c>
      <c r="J187" t="s">
        <v>2233</v>
      </c>
      <c r="K187" t="s">
        <v>3018</v>
      </c>
      <c r="L187" t="s">
        <v>3329</v>
      </c>
      <c r="M187" t="s">
        <v>3379</v>
      </c>
      <c r="N187">
        <v>10466</v>
      </c>
      <c r="O187" t="s">
        <v>3380</v>
      </c>
      <c r="P187" t="s">
        <v>3381</v>
      </c>
      <c r="Q187" t="s">
        <v>3384</v>
      </c>
      <c r="R187" t="s">
        <v>3560</v>
      </c>
      <c r="S187">
        <v>5</v>
      </c>
      <c r="T187" t="s">
        <v>4196</v>
      </c>
      <c r="U187" t="s">
        <v>4225</v>
      </c>
      <c r="W187" t="s">
        <v>4239</v>
      </c>
      <c r="X187" t="s">
        <v>3382</v>
      </c>
      <c r="Y187" t="s">
        <v>3382</v>
      </c>
      <c r="AA187" t="s">
        <v>4256</v>
      </c>
      <c r="AB187" t="s">
        <v>4261</v>
      </c>
      <c r="AC187">
        <v>0</v>
      </c>
      <c r="AD187">
        <v>1675</v>
      </c>
      <c r="AE187">
        <v>0</v>
      </c>
      <c r="AG187" t="s">
        <v>4463</v>
      </c>
      <c r="AI187" t="s">
        <v>5539</v>
      </c>
      <c r="AJ187">
        <v>52</v>
      </c>
      <c r="AK187" t="s">
        <v>6267</v>
      </c>
      <c r="AL187">
        <v>2</v>
      </c>
      <c r="AM187">
        <v>0</v>
      </c>
      <c r="AN187">
        <v>89.34</v>
      </c>
      <c r="AS187" t="s">
        <v>6299</v>
      </c>
      <c r="AT187">
        <v>15108</v>
      </c>
      <c r="AX187" t="s">
        <v>6387</v>
      </c>
      <c r="BA187" t="s">
        <v>6496</v>
      </c>
      <c r="BE187" t="s">
        <v>6702</v>
      </c>
    </row>
    <row r="188" spans="1:57">
      <c r="A188" s="1">
        <f>HYPERLINK("https://lsnyc.legalserver.org/matter/dynamic-profile/view/1909535","19-1909535")</f>
        <v>0</v>
      </c>
      <c r="B188" t="s">
        <v>57</v>
      </c>
      <c r="C188" t="s">
        <v>87</v>
      </c>
      <c r="D188" t="s">
        <v>215</v>
      </c>
      <c r="E188" t="s">
        <v>304</v>
      </c>
      <c r="F188" t="s">
        <v>279</v>
      </c>
      <c r="G188" t="s">
        <v>747</v>
      </c>
      <c r="H188" t="s">
        <v>1482</v>
      </c>
      <c r="J188" t="s">
        <v>2234</v>
      </c>
      <c r="K188" t="s">
        <v>3088</v>
      </c>
      <c r="L188" t="s">
        <v>3329</v>
      </c>
      <c r="M188" t="s">
        <v>3379</v>
      </c>
      <c r="N188">
        <v>10463</v>
      </c>
      <c r="O188" t="s">
        <v>3380</v>
      </c>
      <c r="P188" t="s">
        <v>3381</v>
      </c>
      <c r="Q188" t="s">
        <v>3384</v>
      </c>
      <c r="R188" t="s">
        <v>3561</v>
      </c>
      <c r="S188">
        <v>1</v>
      </c>
      <c r="T188" t="s">
        <v>4196</v>
      </c>
      <c r="U188" t="s">
        <v>4225</v>
      </c>
      <c r="V188" t="s">
        <v>4230</v>
      </c>
      <c r="W188" t="s">
        <v>4239</v>
      </c>
      <c r="X188" t="s">
        <v>3382</v>
      </c>
      <c r="Y188" t="s">
        <v>3382</v>
      </c>
      <c r="AA188" t="s">
        <v>4256</v>
      </c>
      <c r="AC188">
        <v>0</v>
      </c>
      <c r="AD188">
        <v>1501</v>
      </c>
      <c r="AE188">
        <v>0.6</v>
      </c>
      <c r="AF188" t="s">
        <v>4268</v>
      </c>
      <c r="AG188" t="s">
        <v>4464</v>
      </c>
      <c r="AI188" t="s">
        <v>5540</v>
      </c>
      <c r="AJ188">
        <v>137</v>
      </c>
      <c r="AK188" t="s">
        <v>6267</v>
      </c>
      <c r="AL188">
        <v>1</v>
      </c>
      <c r="AM188">
        <v>1</v>
      </c>
      <c r="AN188">
        <v>83.26000000000001</v>
      </c>
      <c r="AS188" t="s">
        <v>6298</v>
      </c>
      <c r="AT188">
        <v>14079</v>
      </c>
      <c r="AX188" t="s">
        <v>6387</v>
      </c>
      <c r="BA188" t="s">
        <v>6520</v>
      </c>
      <c r="BD188" t="s">
        <v>250</v>
      </c>
      <c r="BE188" t="s">
        <v>6702</v>
      </c>
    </row>
    <row r="189" spans="1:57">
      <c r="A189" s="1">
        <f>HYPERLINK("https://lsnyc.legalserver.org/matter/dynamic-profile/view/1915155","19-1915155")</f>
        <v>0</v>
      </c>
      <c r="B189" t="s">
        <v>57</v>
      </c>
      <c r="C189" t="s">
        <v>87</v>
      </c>
      <c r="D189" t="s">
        <v>214</v>
      </c>
      <c r="E189" t="s">
        <v>275</v>
      </c>
      <c r="G189" t="s">
        <v>748</v>
      </c>
      <c r="H189" t="s">
        <v>1357</v>
      </c>
      <c r="J189" t="s">
        <v>2235</v>
      </c>
      <c r="K189">
        <v>1</v>
      </c>
      <c r="L189" t="s">
        <v>3329</v>
      </c>
      <c r="M189" t="s">
        <v>3379</v>
      </c>
      <c r="N189">
        <v>10462</v>
      </c>
      <c r="O189" t="s">
        <v>3380</v>
      </c>
      <c r="P189" t="s">
        <v>3381</v>
      </c>
      <c r="Q189" t="s">
        <v>3384</v>
      </c>
      <c r="R189" t="s">
        <v>3562</v>
      </c>
      <c r="S189">
        <v>10</v>
      </c>
      <c r="T189" t="s">
        <v>4196</v>
      </c>
      <c r="U189" t="s">
        <v>4225</v>
      </c>
      <c r="W189" t="s">
        <v>4239</v>
      </c>
      <c r="X189" t="s">
        <v>3382</v>
      </c>
      <c r="Y189" t="s">
        <v>3382</v>
      </c>
      <c r="AA189" t="s">
        <v>4256</v>
      </c>
      <c r="AB189" t="s">
        <v>4261</v>
      </c>
      <c r="AC189">
        <v>0</v>
      </c>
      <c r="AD189">
        <v>925</v>
      </c>
      <c r="AE189">
        <v>0</v>
      </c>
      <c r="AG189" t="s">
        <v>4465</v>
      </c>
      <c r="AI189" t="s">
        <v>5541</v>
      </c>
      <c r="AJ189">
        <v>16</v>
      </c>
      <c r="AK189" t="s">
        <v>6267</v>
      </c>
      <c r="AL189">
        <v>1</v>
      </c>
      <c r="AM189">
        <v>0</v>
      </c>
      <c r="AN189">
        <v>82.15000000000001</v>
      </c>
      <c r="AS189" t="s">
        <v>6298</v>
      </c>
      <c r="AT189">
        <v>10260</v>
      </c>
      <c r="AX189" t="s">
        <v>6387</v>
      </c>
      <c r="BA189" t="s">
        <v>6475</v>
      </c>
      <c r="BE189" t="s">
        <v>6702</v>
      </c>
    </row>
    <row r="190" spans="1:57">
      <c r="A190" s="1">
        <f>HYPERLINK("https://lsnyc.legalserver.org/matter/dynamic-profile/view/1911329","19-1911329")</f>
        <v>0</v>
      </c>
      <c r="B190" t="s">
        <v>57</v>
      </c>
      <c r="C190" t="s">
        <v>87</v>
      </c>
      <c r="D190" t="s">
        <v>215</v>
      </c>
      <c r="E190" t="s">
        <v>253</v>
      </c>
      <c r="F190" t="s">
        <v>269</v>
      </c>
      <c r="G190" t="s">
        <v>749</v>
      </c>
      <c r="H190" t="s">
        <v>1483</v>
      </c>
      <c r="J190" t="s">
        <v>2236</v>
      </c>
      <c r="K190" t="s">
        <v>3040</v>
      </c>
      <c r="L190" t="s">
        <v>3329</v>
      </c>
      <c r="M190" t="s">
        <v>3379</v>
      </c>
      <c r="N190">
        <v>10460</v>
      </c>
      <c r="O190" t="s">
        <v>3380</v>
      </c>
      <c r="P190" t="s">
        <v>3381</v>
      </c>
      <c r="Q190" t="s">
        <v>3384</v>
      </c>
      <c r="R190" t="s">
        <v>3563</v>
      </c>
      <c r="S190">
        <v>3</v>
      </c>
      <c r="T190" t="s">
        <v>4197</v>
      </c>
      <c r="U190" t="s">
        <v>4225</v>
      </c>
      <c r="V190" t="s">
        <v>4230</v>
      </c>
      <c r="W190" t="s">
        <v>4239</v>
      </c>
      <c r="X190" t="s">
        <v>3382</v>
      </c>
      <c r="Y190" t="s">
        <v>3382</v>
      </c>
      <c r="AA190" t="s">
        <v>4256</v>
      </c>
      <c r="AB190" t="s">
        <v>4261</v>
      </c>
      <c r="AC190">
        <v>0</v>
      </c>
      <c r="AD190">
        <v>0</v>
      </c>
      <c r="AE190">
        <v>2.1</v>
      </c>
      <c r="AF190" t="s">
        <v>4268</v>
      </c>
      <c r="AG190" t="s">
        <v>4466</v>
      </c>
      <c r="AI190" t="s">
        <v>5542</v>
      </c>
      <c r="AJ190">
        <v>2</v>
      </c>
      <c r="AK190" t="s">
        <v>6268</v>
      </c>
      <c r="AL190">
        <v>2</v>
      </c>
      <c r="AM190">
        <v>0</v>
      </c>
      <c r="AN190">
        <v>123</v>
      </c>
      <c r="AS190" t="s">
        <v>6298</v>
      </c>
      <c r="AT190">
        <v>20800</v>
      </c>
      <c r="AX190" t="s">
        <v>6387</v>
      </c>
      <c r="BA190" t="s">
        <v>6477</v>
      </c>
      <c r="BD190" t="s">
        <v>269</v>
      </c>
      <c r="BE190" t="s">
        <v>6702</v>
      </c>
    </row>
    <row r="191" spans="1:57">
      <c r="A191" s="1">
        <f>HYPERLINK("https://lsnyc.legalserver.org/matter/dynamic-profile/view/1909514","19-1909514")</f>
        <v>0</v>
      </c>
      <c r="B191" t="s">
        <v>57</v>
      </c>
      <c r="C191" t="s">
        <v>87</v>
      </c>
      <c r="D191" t="s">
        <v>215</v>
      </c>
      <c r="E191" t="s">
        <v>304</v>
      </c>
      <c r="F191" t="s">
        <v>317</v>
      </c>
      <c r="G191" t="s">
        <v>750</v>
      </c>
      <c r="H191" t="s">
        <v>1484</v>
      </c>
      <c r="J191" t="s">
        <v>2237</v>
      </c>
      <c r="K191" t="s">
        <v>3089</v>
      </c>
      <c r="L191" t="s">
        <v>3329</v>
      </c>
      <c r="M191" t="s">
        <v>3379</v>
      </c>
      <c r="N191">
        <v>10460</v>
      </c>
      <c r="O191" t="s">
        <v>3380</v>
      </c>
      <c r="P191" t="s">
        <v>3381</v>
      </c>
      <c r="Q191" t="s">
        <v>3384</v>
      </c>
      <c r="R191" t="s">
        <v>3564</v>
      </c>
      <c r="S191">
        <v>2</v>
      </c>
      <c r="T191" t="s">
        <v>4196</v>
      </c>
      <c r="U191" t="s">
        <v>4225</v>
      </c>
      <c r="V191" t="s">
        <v>4230</v>
      </c>
      <c r="W191" t="s">
        <v>4239</v>
      </c>
      <c r="X191" t="s">
        <v>3382</v>
      </c>
      <c r="Y191" t="s">
        <v>3382</v>
      </c>
      <c r="AA191" t="s">
        <v>4256</v>
      </c>
      <c r="AB191" t="s">
        <v>4261</v>
      </c>
      <c r="AC191">
        <v>0</v>
      </c>
      <c r="AD191">
        <v>1211</v>
      </c>
      <c r="AE191">
        <v>0.5</v>
      </c>
      <c r="AF191" t="s">
        <v>4268</v>
      </c>
      <c r="AG191" t="s">
        <v>4467</v>
      </c>
      <c r="AI191" t="s">
        <v>5543</v>
      </c>
      <c r="AJ191">
        <v>53</v>
      </c>
      <c r="AK191" t="s">
        <v>6273</v>
      </c>
      <c r="AL191">
        <v>2</v>
      </c>
      <c r="AM191">
        <v>2</v>
      </c>
      <c r="AN191">
        <v>86.12</v>
      </c>
      <c r="AR191" t="s">
        <v>6290</v>
      </c>
      <c r="AS191" t="s">
        <v>6298</v>
      </c>
      <c r="AT191">
        <v>22176</v>
      </c>
      <c r="AX191" t="s">
        <v>6387</v>
      </c>
      <c r="BA191" t="s">
        <v>6496</v>
      </c>
      <c r="BD191" t="s">
        <v>317</v>
      </c>
      <c r="BE191" t="s">
        <v>6702</v>
      </c>
    </row>
    <row r="192" spans="1:57">
      <c r="A192" s="1">
        <f>HYPERLINK("https://lsnyc.legalserver.org/matter/dynamic-profile/view/1914541","19-1914541")</f>
        <v>0</v>
      </c>
      <c r="B192" t="s">
        <v>57</v>
      </c>
      <c r="C192" t="s">
        <v>87</v>
      </c>
      <c r="D192" t="s">
        <v>215</v>
      </c>
      <c r="E192" t="s">
        <v>227</v>
      </c>
      <c r="F192" t="s">
        <v>243</v>
      </c>
      <c r="G192" t="s">
        <v>614</v>
      </c>
      <c r="H192" t="s">
        <v>1485</v>
      </c>
      <c r="J192" t="s">
        <v>2238</v>
      </c>
      <c r="K192" t="s">
        <v>3090</v>
      </c>
      <c r="L192" t="s">
        <v>3329</v>
      </c>
      <c r="M192" t="s">
        <v>3379</v>
      </c>
      <c r="N192">
        <v>10460</v>
      </c>
      <c r="O192" t="s">
        <v>3380</v>
      </c>
      <c r="P192" t="s">
        <v>3381</v>
      </c>
      <c r="Q192" t="s">
        <v>3384</v>
      </c>
      <c r="R192" t="s">
        <v>3565</v>
      </c>
      <c r="S192">
        <v>23</v>
      </c>
      <c r="T192" t="s">
        <v>4196</v>
      </c>
      <c r="U192" t="s">
        <v>4225</v>
      </c>
      <c r="V192" t="s">
        <v>4230</v>
      </c>
      <c r="W192" t="s">
        <v>4239</v>
      </c>
      <c r="X192" t="s">
        <v>3382</v>
      </c>
      <c r="Y192" t="s">
        <v>3382</v>
      </c>
      <c r="AA192" t="s">
        <v>4256</v>
      </c>
      <c r="AB192" t="s">
        <v>4261</v>
      </c>
      <c r="AC192">
        <v>0</v>
      </c>
      <c r="AD192">
        <v>1362.27</v>
      </c>
      <c r="AE192">
        <v>1.3</v>
      </c>
      <c r="AF192" t="s">
        <v>4268</v>
      </c>
      <c r="AG192" t="s">
        <v>4468</v>
      </c>
      <c r="AI192" t="s">
        <v>5544</v>
      </c>
      <c r="AJ192">
        <v>21</v>
      </c>
      <c r="AK192" t="s">
        <v>6272</v>
      </c>
      <c r="AL192">
        <v>1</v>
      </c>
      <c r="AM192">
        <v>0</v>
      </c>
      <c r="AN192">
        <v>92.43000000000001</v>
      </c>
      <c r="AR192" t="s">
        <v>6290</v>
      </c>
      <c r="AS192" t="s">
        <v>6298</v>
      </c>
      <c r="AT192">
        <v>11544</v>
      </c>
      <c r="AX192" t="s">
        <v>6387</v>
      </c>
      <c r="BA192" t="s">
        <v>6487</v>
      </c>
      <c r="BD192" t="s">
        <v>243</v>
      </c>
      <c r="BE192" t="s">
        <v>6702</v>
      </c>
    </row>
    <row r="193" spans="1:57">
      <c r="A193" s="1">
        <f>HYPERLINK("https://lsnyc.legalserver.org/matter/dynamic-profile/view/1914634","19-1914634")</f>
        <v>0</v>
      </c>
      <c r="B193" t="s">
        <v>57</v>
      </c>
      <c r="C193" t="s">
        <v>87</v>
      </c>
      <c r="D193" t="s">
        <v>214</v>
      </c>
      <c r="E193" t="s">
        <v>267</v>
      </c>
      <c r="G193" t="s">
        <v>751</v>
      </c>
      <c r="H193" t="s">
        <v>1486</v>
      </c>
      <c r="J193" t="s">
        <v>2239</v>
      </c>
      <c r="K193" t="s">
        <v>3016</v>
      </c>
      <c r="L193" t="s">
        <v>3329</v>
      </c>
      <c r="M193" t="s">
        <v>3379</v>
      </c>
      <c r="N193">
        <v>10460</v>
      </c>
      <c r="O193" t="s">
        <v>3380</v>
      </c>
      <c r="P193" t="s">
        <v>3381</v>
      </c>
      <c r="Q193" t="s">
        <v>3384</v>
      </c>
      <c r="R193" t="s">
        <v>3566</v>
      </c>
      <c r="S193">
        <v>4</v>
      </c>
      <c r="T193" t="s">
        <v>4196</v>
      </c>
      <c r="U193" t="s">
        <v>4225</v>
      </c>
      <c r="W193" t="s">
        <v>4239</v>
      </c>
      <c r="X193" t="s">
        <v>3382</v>
      </c>
      <c r="Y193" t="s">
        <v>3382</v>
      </c>
      <c r="AA193" t="s">
        <v>4256</v>
      </c>
      <c r="AB193" t="s">
        <v>4261</v>
      </c>
      <c r="AC193">
        <v>0</v>
      </c>
      <c r="AD193">
        <v>1213</v>
      </c>
      <c r="AE193">
        <v>0.5</v>
      </c>
      <c r="AG193" t="s">
        <v>4469</v>
      </c>
      <c r="AI193" t="s">
        <v>5545</v>
      </c>
      <c r="AJ193">
        <v>17</v>
      </c>
      <c r="AL193">
        <v>1</v>
      </c>
      <c r="AM193">
        <v>0</v>
      </c>
      <c r="AN193">
        <v>83.27</v>
      </c>
      <c r="AR193" t="s">
        <v>6291</v>
      </c>
      <c r="AS193" t="s">
        <v>6298</v>
      </c>
      <c r="AT193">
        <v>10400</v>
      </c>
      <c r="AX193" t="s">
        <v>6387</v>
      </c>
      <c r="BA193" t="s">
        <v>6477</v>
      </c>
      <c r="BD193" t="s">
        <v>275</v>
      </c>
      <c r="BE193" t="s">
        <v>6702</v>
      </c>
    </row>
    <row r="194" spans="1:57">
      <c r="A194" s="1">
        <f>HYPERLINK("https://lsnyc.legalserver.org/matter/dynamic-profile/view/1914499","19-1914499")</f>
        <v>0</v>
      </c>
      <c r="B194" t="s">
        <v>57</v>
      </c>
      <c r="C194" t="s">
        <v>87</v>
      </c>
      <c r="D194" t="s">
        <v>214</v>
      </c>
      <c r="E194" t="s">
        <v>227</v>
      </c>
      <c r="G194" t="s">
        <v>752</v>
      </c>
      <c r="H194" t="s">
        <v>1487</v>
      </c>
      <c r="J194" t="s">
        <v>2240</v>
      </c>
      <c r="K194" t="s">
        <v>3091</v>
      </c>
      <c r="L194" t="s">
        <v>3329</v>
      </c>
      <c r="M194" t="s">
        <v>3379</v>
      </c>
      <c r="N194">
        <v>10459</v>
      </c>
      <c r="O194" t="s">
        <v>3380</v>
      </c>
      <c r="P194" t="s">
        <v>3381</v>
      </c>
      <c r="Q194" t="s">
        <v>3384</v>
      </c>
      <c r="R194" t="s">
        <v>3567</v>
      </c>
      <c r="S194">
        <v>5</v>
      </c>
      <c r="T194" t="s">
        <v>4197</v>
      </c>
      <c r="U194" t="s">
        <v>4225</v>
      </c>
      <c r="W194" t="s">
        <v>4239</v>
      </c>
      <c r="X194" t="s">
        <v>3382</v>
      </c>
      <c r="Y194" t="s">
        <v>3382</v>
      </c>
      <c r="AA194" t="s">
        <v>4256</v>
      </c>
      <c r="AB194" t="s">
        <v>4266</v>
      </c>
      <c r="AC194">
        <v>0</v>
      </c>
      <c r="AD194">
        <v>525</v>
      </c>
      <c r="AE194">
        <v>1</v>
      </c>
      <c r="AG194" t="s">
        <v>4470</v>
      </c>
      <c r="AI194" t="s">
        <v>5546</v>
      </c>
      <c r="AJ194">
        <v>35</v>
      </c>
      <c r="AL194">
        <v>1</v>
      </c>
      <c r="AM194">
        <v>2</v>
      </c>
      <c r="AN194">
        <v>55.7</v>
      </c>
      <c r="AS194" t="s">
        <v>6298</v>
      </c>
      <c r="AT194">
        <v>11880</v>
      </c>
      <c r="AX194" t="s">
        <v>6387</v>
      </c>
      <c r="BA194" t="s">
        <v>6487</v>
      </c>
      <c r="BD194" t="s">
        <v>217</v>
      </c>
      <c r="BE194" t="s">
        <v>6702</v>
      </c>
    </row>
    <row r="195" spans="1:57">
      <c r="A195" s="1">
        <f>HYPERLINK("https://lsnyc.legalserver.org/matter/dynamic-profile/view/1915208","19-1915208")</f>
        <v>0</v>
      </c>
      <c r="B195" t="s">
        <v>57</v>
      </c>
      <c r="C195" t="s">
        <v>87</v>
      </c>
      <c r="D195" t="s">
        <v>214</v>
      </c>
      <c r="E195" t="s">
        <v>217</v>
      </c>
      <c r="G195" t="s">
        <v>753</v>
      </c>
      <c r="H195" t="s">
        <v>1332</v>
      </c>
      <c r="J195" t="s">
        <v>2241</v>
      </c>
      <c r="K195">
        <v>1</v>
      </c>
      <c r="L195" t="s">
        <v>3329</v>
      </c>
      <c r="M195" t="s">
        <v>3379</v>
      </c>
      <c r="N195">
        <v>10459</v>
      </c>
      <c r="O195" t="s">
        <v>3380</v>
      </c>
      <c r="P195" t="s">
        <v>3381</v>
      </c>
      <c r="Q195" t="s">
        <v>3384</v>
      </c>
      <c r="R195" t="s">
        <v>3568</v>
      </c>
      <c r="S195">
        <v>5</v>
      </c>
      <c r="T195" t="s">
        <v>4197</v>
      </c>
      <c r="U195" t="s">
        <v>4225</v>
      </c>
      <c r="W195" t="s">
        <v>4239</v>
      </c>
      <c r="X195" t="s">
        <v>3382</v>
      </c>
      <c r="Y195" t="s">
        <v>3382</v>
      </c>
      <c r="AA195" t="s">
        <v>4256</v>
      </c>
      <c r="AB195" t="s">
        <v>4261</v>
      </c>
      <c r="AC195">
        <v>0</v>
      </c>
      <c r="AD195">
        <v>1956</v>
      </c>
      <c r="AE195">
        <v>0</v>
      </c>
      <c r="AG195" t="s">
        <v>4471</v>
      </c>
      <c r="AH195">
        <v>2264412</v>
      </c>
      <c r="AI195" t="s">
        <v>5547</v>
      </c>
      <c r="AJ195">
        <v>2</v>
      </c>
      <c r="AK195" t="s">
        <v>6268</v>
      </c>
      <c r="AL195">
        <v>3</v>
      </c>
      <c r="AM195">
        <v>3</v>
      </c>
      <c r="AN195">
        <v>18.5</v>
      </c>
      <c r="AR195" t="s">
        <v>6291</v>
      </c>
      <c r="AS195" t="s">
        <v>6298</v>
      </c>
      <c r="AT195">
        <v>6398.6</v>
      </c>
      <c r="AX195" t="s">
        <v>6387</v>
      </c>
      <c r="BA195" t="s">
        <v>6478</v>
      </c>
      <c r="BE195" t="s">
        <v>6702</v>
      </c>
    </row>
    <row r="196" spans="1:57">
      <c r="A196" s="1">
        <f>HYPERLINK("https://lsnyc.legalserver.org/matter/dynamic-profile/view/1909506","19-1909506")</f>
        <v>0</v>
      </c>
      <c r="B196" t="s">
        <v>57</v>
      </c>
      <c r="C196" t="s">
        <v>87</v>
      </c>
      <c r="D196" t="s">
        <v>215</v>
      </c>
      <c r="E196" t="s">
        <v>304</v>
      </c>
      <c r="F196" t="s">
        <v>225</v>
      </c>
      <c r="G196" t="s">
        <v>754</v>
      </c>
      <c r="H196" t="s">
        <v>1488</v>
      </c>
      <c r="J196" t="s">
        <v>2242</v>
      </c>
      <c r="K196">
        <v>2</v>
      </c>
      <c r="L196" t="s">
        <v>3329</v>
      </c>
      <c r="M196" t="s">
        <v>3379</v>
      </c>
      <c r="N196">
        <v>10459</v>
      </c>
      <c r="O196" t="s">
        <v>3380</v>
      </c>
      <c r="P196" t="s">
        <v>3381</v>
      </c>
      <c r="Q196" t="s">
        <v>3386</v>
      </c>
      <c r="R196" t="s">
        <v>3569</v>
      </c>
      <c r="S196">
        <v>14</v>
      </c>
      <c r="T196" t="s">
        <v>4199</v>
      </c>
      <c r="U196" t="s">
        <v>4223</v>
      </c>
      <c r="V196" t="s">
        <v>4233</v>
      </c>
      <c r="W196" t="s">
        <v>4239</v>
      </c>
      <c r="X196" t="s">
        <v>3382</v>
      </c>
      <c r="Y196" t="s">
        <v>3382</v>
      </c>
      <c r="AA196" t="s">
        <v>4256</v>
      </c>
      <c r="AB196" t="s">
        <v>4261</v>
      </c>
      <c r="AC196">
        <v>0</v>
      </c>
      <c r="AD196">
        <v>1100</v>
      </c>
      <c r="AE196">
        <v>16.7</v>
      </c>
      <c r="AF196" t="s">
        <v>4272</v>
      </c>
      <c r="AG196" t="s">
        <v>4472</v>
      </c>
      <c r="AI196" t="s">
        <v>5548</v>
      </c>
      <c r="AJ196">
        <v>4</v>
      </c>
      <c r="AK196" t="s">
        <v>6274</v>
      </c>
      <c r="AL196">
        <v>1</v>
      </c>
      <c r="AM196">
        <v>1</v>
      </c>
      <c r="AN196">
        <v>0</v>
      </c>
      <c r="AR196" t="s">
        <v>5312</v>
      </c>
      <c r="AS196" t="s">
        <v>6298</v>
      </c>
      <c r="AT196">
        <v>0</v>
      </c>
      <c r="AX196" t="s">
        <v>6385</v>
      </c>
      <c r="BA196" t="s">
        <v>6479</v>
      </c>
      <c r="BD196" t="s">
        <v>269</v>
      </c>
      <c r="BE196" t="s">
        <v>6702</v>
      </c>
    </row>
    <row r="197" spans="1:57">
      <c r="A197" s="1">
        <f>HYPERLINK("https://lsnyc.legalserver.org/matter/dynamic-profile/view/1907552","19-1907552")</f>
        <v>0</v>
      </c>
      <c r="B197" t="s">
        <v>57</v>
      </c>
      <c r="C197" t="s">
        <v>87</v>
      </c>
      <c r="D197" t="s">
        <v>215</v>
      </c>
      <c r="E197" t="s">
        <v>286</v>
      </c>
      <c r="F197" t="s">
        <v>274</v>
      </c>
      <c r="G197" t="s">
        <v>755</v>
      </c>
      <c r="H197" t="s">
        <v>1335</v>
      </c>
      <c r="J197" t="s">
        <v>2243</v>
      </c>
      <c r="K197" t="s">
        <v>3069</v>
      </c>
      <c r="L197" t="s">
        <v>3329</v>
      </c>
      <c r="M197" t="s">
        <v>3379</v>
      </c>
      <c r="N197">
        <v>10459</v>
      </c>
      <c r="O197" t="s">
        <v>3380</v>
      </c>
      <c r="P197" t="s">
        <v>3381</v>
      </c>
      <c r="Q197" t="s">
        <v>3387</v>
      </c>
      <c r="S197">
        <v>5</v>
      </c>
      <c r="T197" t="s">
        <v>4196</v>
      </c>
      <c r="U197" t="s">
        <v>4225</v>
      </c>
      <c r="V197" t="s">
        <v>4230</v>
      </c>
      <c r="W197" t="s">
        <v>4239</v>
      </c>
      <c r="X197" t="s">
        <v>3382</v>
      </c>
      <c r="Y197" t="s">
        <v>3380</v>
      </c>
      <c r="AA197" t="s">
        <v>4256</v>
      </c>
      <c r="AC197">
        <v>0</v>
      </c>
      <c r="AD197">
        <v>525.67</v>
      </c>
      <c r="AE197">
        <v>0.7</v>
      </c>
      <c r="AF197" t="s">
        <v>4268</v>
      </c>
      <c r="AG197" t="s">
        <v>4473</v>
      </c>
      <c r="AI197" t="s">
        <v>5549</v>
      </c>
      <c r="AJ197">
        <v>0</v>
      </c>
      <c r="AK197" t="s">
        <v>6270</v>
      </c>
      <c r="AL197">
        <v>1</v>
      </c>
      <c r="AM197">
        <v>0</v>
      </c>
      <c r="AN197">
        <v>76.86</v>
      </c>
      <c r="AS197" t="s">
        <v>6299</v>
      </c>
      <c r="AT197">
        <v>9600</v>
      </c>
      <c r="AX197" t="s">
        <v>6393</v>
      </c>
      <c r="BA197" t="s">
        <v>6482</v>
      </c>
      <c r="BD197" t="s">
        <v>274</v>
      </c>
    </row>
    <row r="198" spans="1:57">
      <c r="A198" s="1">
        <f>HYPERLINK("https://lsnyc.legalserver.org/matter/dynamic-profile/view/1915243","19-1915243")</f>
        <v>0</v>
      </c>
      <c r="B198" t="s">
        <v>57</v>
      </c>
      <c r="C198" t="s">
        <v>87</v>
      </c>
      <c r="D198" t="s">
        <v>214</v>
      </c>
      <c r="E198" t="s">
        <v>217</v>
      </c>
      <c r="G198" t="s">
        <v>756</v>
      </c>
      <c r="H198" t="s">
        <v>1489</v>
      </c>
      <c r="J198" t="s">
        <v>2244</v>
      </c>
      <c r="K198" t="s">
        <v>3092</v>
      </c>
      <c r="L198" t="s">
        <v>3329</v>
      </c>
      <c r="M198" t="s">
        <v>3379</v>
      </c>
      <c r="N198">
        <v>10459</v>
      </c>
      <c r="O198" t="s">
        <v>3380</v>
      </c>
      <c r="P198" t="s">
        <v>3381</v>
      </c>
      <c r="Q198" t="s">
        <v>3384</v>
      </c>
      <c r="R198" t="s">
        <v>3570</v>
      </c>
      <c r="S198">
        <v>12</v>
      </c>
      <c r="T198" t="s">
        <v>4196</v>
      </c>
      <c r="U198" t="s">
        <v>4225</v>
      </c>
      <c r="W198" t="s">
        <v>4239</v>
      </c>
      <c r="X198" t="s">
        <v>3382</v>
      </c>
      <c r="Y198" t="s">
        <v>3382</v>
      </c>
      <c r="AA198" t="s">
        <v>4256</v>
      </c>
      <c r="AB198" t="s">
        <v>4261</v>
      </c>
      <c r="AC198">
        <v>0</v>
      </c>
      <c r="AD198">
        <v>48</v>
      </c>
      <c r="AE198">
        <v>0</v>
      </c>
      <c r="AG198" t="s">
        <v>4474</v>
      </c>
      <c r="AI198" t="s">
        <v>5550</v>
      </c>
      <c r="AJ198">
        <v>42</v>
      </c>
      <c r="AL198">
        <v>3</v>
      </c>
      <c r="AM198">
        <v>0</v>
      </c>
      <c r="AN198">
        <v>23.89</v>
      </c>
      <c r="AR198" t="s">
        <v>6290</v>
      </c>
      <c r="AS198" t="s">
        <v>6298</v>
      </c>
      <c r="AT198">
        <v>5096</v>
      </c>
      <c r="AX198" t="s">
        <v>6387</v>
      </c>
      <c r="BA198" t="s">
        <v>6521</v>
      </c>
      <c r="BE198" t="s">
        <v>6702</v>
      </c>
    </row>
    <row r="199" spans="1:57">
      <c r="A199" s="1">
        <f>HYPERLINK("https://lsnyc.legalserver.org/matter/dynamic-profile/view/1908373","19-1908373")</f>
        <v>0</v>
      </c>
      <c r="B199" t="s">
        <v>57</v>
      </c>
      <c r="C199" t="s">
        <v>87</v>
      </c>
      <c r="D199" t="s">
        <v>215</v>
      </c>
      <c r="E199" t="s">
        <v>307</v>
      </c>
      <c r="F199" t="s">
        <v>274</v>
      </c>
      <c r="G199" t="s">
        <v>757</v>
      </c>
      <c r="H199" t="s">
        <v>1403</v>
      </c>
      <c r="J199" t="s">
        <v>2245</v>
      </c>
      <c r="K199" t="s">
        <v>3026</v>
      </c>
      <c r="L199" t="s">
        <v>3329</v>
      </c>
      <c r="M199" t="s">
        <v>3379</v>
      </c>
      <c r="N199">
        <v>10458</v>
      </c>
      <c r="O199" t="s">
        <v>3380</v>
      </c>
      <c r="P199" t="s">
        <v>3381</v>
      </c>
      <c r="Q199" t="s">
        <v>3384</v>
      </c>
      <c r="R199" t="s">
        <v>3571</v>
      </c>
      <c r="S199">
        <v>12</v>
      </c>
      <c r="T199" t="s">
        <v>4197</v>
      </c>
      <c r="U199" t="s">
        <v>4225</v>
      </c>
      <c r="V199" t="s">
        <v>4230</v>
      </c>
      <c r="W199" t="s">
        <v>4239</v>
      </c>
      <c r="X199" t="s">
        <v>3382</v>
      </c>
      <c r="Y199" t="s">
        <v>3382</v>
      </c>
      <c r="AA199" t="s">
        <v>4256</v>
      </c>
      <c r="AC199">
        <v>0</v>
      </c>
      <c r="AD199">
        <v>910.27</v>
      </c>
      <c r="AE199">
        <v>2.1</v>
      </c>
      <c r="AF199" t="s">
        <v>4268</v>
      </c>
      <c r="AG199" t="s">
        <v>4475</v>
      </c>
      <c r="AJ199">
        <v>6</v>
      </c>
      <c r="AK199" t="s">
        <v>6267</v>
      </c>
      <c r="AL199">
        <v>1</v>
      </c>
      <c r="AM199">
        <v>0</v>
      </c>
      <c r="AN199">
        <v>0</v>
      </c>
      <c r="AR199" t="s">
        <v>5312</v>
      </c>
      <c r="AS199" t="s">
        <v>6298</v>
      </c>
      <c r="AT199">
        <v>0</v>
      </c>
      <c r="AX199" t="s">
        <v>6385</v>
      </c>
      <c r="BA199" t="s">
        <v>6479</v>
      </c>
      <c r="BD199" t="s">
        <v>305</v>
      </c>
      <c r="BE199" t="s">
        <v>5312</v>
      </c>
    </row>
    <row r="200" spans="1:57">
      <c r="A200" s="1">
        <f>HYPERLINK("https://lsnyc.legalserver.org/matter/dynamic-profile/view/1908987","19-1908987")</f>
        <v>0</v>
      </c>
      <c r="B200" t="s">
        <v>57</v>
      </c>
      <c r="C200" t="s">
        <v>87</v>
      </c>
      <c r="D200" t="s">
        <v>215</v>
      </c>
      <c r="E200" t="s">
        <v>235</v>
      </c>
      <c r="F200" t="s">
        <v>223</v>
      </c>
      <c r="G200" t="s">
        <v>758</v>
      </c>
      <c r="H200" t="s">
        <v>1490</v>
      </c>
      <c r="J200" t="s">
        <v>2246</v>
      </c>
      <c r="K200" t="s">
        <v>3093</v>
      </c>
      <c r="L200" t="s">
        <v>3329</v>
      </c>
      <c r="M200" t="s">
        <v>3379</v>
      </c>
      <c r="N200">
        <v>10458</v>
      </c>
      <c r="O200" t="s">
        <v>3381</v>
      </c>
      <c r="P200" t="s">
        <v>3381</v>
      </c>
      <c r="Q200" t="s">
        <v>3387</v>
      </c>
      <c r="S200">
        <v>2</v>
      </c>
      <c r="T200" t="s">
        <v>4196</v>
      </c>
      <c r="U200" t="s">
        <v>4225</v>
      </c>
      <c r="V200" t="s">
        <v>4230</v>
      </c>
      <c r="W200" t="s">
        <v>4239</v>
      </c>
      <c r="X200" t="s">
        <v>3382</v>
      </c>
      <c r="AA200" t="s">
        <v>4256</v>
      </c>
      <c r="AC200">
        <v>0</v>
      </c>
      <c r="AD200">
        <v>1200</v>
      </c>
      <c r="AE200">
        <v>0.5</v>
      </c>
      <c r="AF200" t="s">
        <v>4268</v>
      </c>
      <c r="AG200" t="s">
        <v>4476</v>
      </c>
      <c r="AJ200">
        <v>0</v>
      </c>
      <c r="AL200">
        <v>1</v>
      </c>
      <c r="AM200">
        <v>3</v>
      </c>
      <c r="AN200">
        <v>0</v>
      </c>
      <c r="AP200" t="s">
        <v>6283</v>
      </c>
      <c r="AR200" t="s">
        <v>6289</v>
      </c>
      <c r="AS200" t="s">
        <v>6299</v>
      </c>
      <c r="AT200">
        <v>0</v>
      </c>
      <c r="AX200" t="s">
        <v>6393</v>
      </c>
      <c r="BA200" t="s">
        <v>6486</v>
      </c>
      <c r="BD200" t="s">
        <v>223</v>
      </c>
      <c r="BE200" t="s">
        <v>6702</v>
      </c>
    </row>
    <row r="201" spans="1:57">
      <c r="A201" s="1">
        <f>HYPERLINK("https://lsnyc.legalserver.org/matter/dynamic-profile/view/1909334","19-1909334")</f>
        <v>0</v>
      </c>
      <c r="B201" t="s">
        <v>57</v>
      </c>
      <c r="C201" t="s">
        <v>87</v>
      </c>
      <c r="D201" t="s">
        <v>215</v>
      </c>
      <c r="E201" t="s">
        <v>236</v>
      </c>
      <c r="F201" t="s">
        <v>250</v>
      </c>
      <c r="G201" t="s">
        <v>759</v>
      </c>
      <c r="H201" t="s">
        <v>1331</v>
      </c>
      <c r="J201" t="s">
        <v>2247</v>
      </c>
      <c r="K201" t="s">
        <v>3094</v>
      </c>
      <c r="L201" t="s">
        <v>3329</v>
      </c>
      <c r="M201" t="s">
        <v>3379</v>
      </c>
      <c r="N201">
        <v>10458</v>
      </c>
      <c r="O201" t="s">
        <v>3380</v>
      </c>
      <c r="P201" t="s">
        <v>3381</v>
      </c>
      <c r="Q201" t="s">
        <v>3384</v>
      </c>
      <c r="R201" t="s">
        <v>3572</v>
      </c>
      <c r="S201">
        <v>6</v>
      </c>
      <c r="T201" t="s">
        <v>4196</v>
      </c>
      <c r="U201" t="s">
        <v>4225</v>
      </c>
      <c r="V201" t="s">
        <v>4230</v>
      </c>
      <c r="W201" t="s">
        <v>4239</v>
      </c>
      <c r="X201" t="s">
        <v>3382</v>
      </c>
      <c r="Y201" t="s">
        <v>3382</v>
      </c>
      <c r="AA201" t="s">
        <v>4256</v>
      </c>
      <c r="AB201" t="s">
        <v>4261</v>
      </c>
      <c r="AC201">
        <v>0</v>
      </c>
      <c r="AD201">
        <v>1359.15</v>
      </c>
      <c r="AE201">
        <v>0.5</v>
      </c>
      <c r="AF201" t="s">
        <v>4268</v>
      </c>
      <c r="AG201" t="s">
        <v>4477</v>
      </c>
      <c r="AI201" t="s">
        <v>5551</v>
      </c>
      <c r="AJ201">
        <v>6</v>
      </c>
      <c r="AK201" t="s">
        <v>6267</v>
      </c>
      <c r="AL201">
        <v>3</v>
      </c>
      <c r="AM201">
        <v>3</v>
      </c>
      <c r="AN201">
        <v>86.73</v>
      </c>
      <c r="AS201" t="s">
        <v>6299</v>
      </c>
      <c r="AT201">
        <v>30000</v>
      </c>
      <c r="AX201" t="s">
        <v>6387</v>
      </c>
      <c r="BA201" t="s">
        <v>6477</v>
      </c>
      <c r="BD201" t="s">
        <v>250</v>
      </c>
      <c r="BE201" t="s">
        <v>6702</v>
      </c>
    </row>
    <row r="202" spans="1:57">
      <c r="A202" s="1">
        <f>HYPERLINK("https://lsnyc.legalserver.org/matter/dynamic-profile/view/1912461","19-1912461")</f>
        <v>0</v>
      </c>
      <c r="B202" t="s">
        <v>57</v>
      </c>
      <c r="C202" t="s">
        <v>87</v>
      </c>
      <c r="D202" t="s">
        <v>215</v>
      </c>
      <c r="E202" t="s">
        <v>269</v>
      </c>
      <c r="F202" t="s">
        <v>230</v>
      </c>
      <c r="G202" t="s">
        <v>760</v>
      </c>
      <c r="H202" t="s">
        <v>1491</v>
      </c>
      <c r="J202" t="s">
        <v>2248</v>
      </c>
      <c r="K202" t="s">
        <v>3040</v>
      </c>
      <c r="L202" t="s">
        <v>3329</v>
      </c>
      <c r="M202" t="s">
        <v>3379</v>
      </c>
      <c r="N202">
        <v>10458</v>
      </c>
      <c r="O202" t="s">
        <v>3380</v>
      </c>
      <c r="P202" t="s">
        <v>3381</v>
      </c>
      <c r="Q202" t="s">
        <v>3384</v>
      </c>
      <c r="R202" t="s">
        <v>3573</v>
      </c>
      <c r="S202">
        <v>28</v>
      </c>
      <c r="T202" t="s">
        <v>4196</v>
      </c>
      <c r="U202" t="s">
        <v>4225</v>
      </c>
      <c r="V202" t="s">
        <v>4230</v>
      </c>
      <c r="W202" t="s">
        <v>4239</v>
      </c>
      <c r="X202" t="s">
        <v>3382</v>
      </c>
      <c r="Y202" t="s">
        <v>3382</v>
      </c>
      <c r="AA202" t="s">
        <v>4256</v>
      </c>
      <c r="AB202" t="s">
        <v>4261</v>
      </c>
      <c r="AC202">
        <v>0</v>
      </c>
      <c r="AD202">
        <v>869.86</v>
      </c>
      <c r="AE202">
        <v>1</v>
      </c>
      <c r="AF202" t="s">
        <v>4268</v>
      </c>
      <c r="AG202" t="s">
        <v>4478</v>
      </c>
      <c r="AI202" t="s">
        <v>5552</v>
      </c>
      <c r="AJ202">
        <v>28</v>
      </c>
      <c r="AK202" t="s">
        <v>6267</v>
      </c>
      <c r="AL202">
        <v>2</v>
      </c>
      <c r="AM202">
        <v>0</v>
      </c>
      <c r="AN202">
        <v>0</v>
      </c>
      <c r="AS202" t="s">
        <v>6298</v>
      </c>
      <c r="AT202">
        <v>0</v>
      </c>
      <c r="AX202" t="s">
        <v>6387</v>
      </c>
      <c r="BA202" t="s">
        <v>6479</v>
      </c>
      <c r="BD202" t="s">
        <v>230</v>
      </c>
      <c r="BE202" t="s">
        <v>6702</v>
      </c>
    </row>
    <row r="203" spans="1:57">
      <c r="A203" s="1">
        <f>HYPERLINK("https://lsnyc.legalserver.org/matter/dynamic-profile/view/1898153","19-1898153")</f>
        <v>0</v>
      </c>
      <c r="B203" t="s">
        <v>57</v>
      </c>
      <c r="C203" t="s">
        <v>87</v>
      </c>
      <c r="D203" t="s">
        <v>214</v>
      </c>
      <c r="E203" t="s">
        <v>308</v>
      </c>
      <c r="G203" t="s">
        <v>761</v>
      </c>
      <c r="H203" t="s">
        <v>1492</v>
      </c>
      <c r="J203" t="s">
        <v>2249</v>
      </c>
      <c r="K203" t="s">
        <v>3026</v>
      </c>
      <c r="L203" t="s">
        <v>3329</v>
      </c>
      <c r="M203" t="s">
        <v>3379</v>
      </c>
      <c r="N203">
        <v>10457</v>
      </c>
      <c r="O203" t="s">
        <v>3380</v>
      </c>
      <c r="P203" t="s">
        <v>3382</v>
      </c>
      <c r="Q203" t="s">
        <v>3383</v>
      </c>
      <c r="S203">
        <v>45</v>
      </c>
      <c r="U203" t="s">
        <v>4228</v>
      </c>
      <c r="W203" t="s">
        <v>4238</v>
      </c>
      <c r="X203" t="s">
        <v>3382</v>
      </c>
      <c r="AA203" t="s">
        <v>4256</v>
      </c>
      <c r="AC203">
        <v>0</v>
      </c>
      <c r="AD203">
        <v>1351.7</v>
      </c>
      <c r="AE203">
        <v>3.45</v>
      </c>
      <c r="AG203" t="s">
        <v>4479</v>
      </c>
      <c r="AH203" t="s">
        <v>5259</v>
      </c>
      <c r="AI203" t="s">
        <v>5553</v>
      </c>
      <c r="AJ203">
        <v>0</v>
      </c>
      <c r="AL203">
        <v>1</v>
      </c>
      <c r="AM203">
        <v>0</v>
      </c>
      <c r="AN203">
        <v>86.47</v>
      </c>
      <c r="AR203" t="s">
        <v>6290</v>
      </c>
      <c r="AS203" t="s">
        <v>6299</v>
      </c>
      <c r="AT203">
        <v>10800</v>
      </c>
      <c r="AX203" t="s">
        <v>6385</v>
      </c>
      <c r="BA203" t="s">
        <v>6511</v>
      </c>
      <c r="BD203" t="s">
        <v>266</v>
      </c>
      <c r="BE203" t="s">
        <v>6702</v>
      </c>
    </row>
    <row r="204" spans="1:57">
      <c r="A204" s="1">
        <f>HYPERLINK("https://lsnyc.legalserver.org/matter/dynamic-profile/view/1905513","19-1905513")</f>
        <v>0</v>
      </c>
      <c r="B204" t="s">
        <v>57</v>
      </c>
      <c r="C204" t="s">
        <v>87</v>
      </c>
      <c r="D204" t="s">
        <v>215</v>
      </c>
      <c r="E204" t="s">
        <v>306</v>
      </c>
      <c r="F204" t="s">
        <v>252</v>
      </c>
      <c r="G204" t="s">
        <v>762</v>
      </c>
      <c r="H204" t="s">
        <v>1493</v>
      </c>
      <c r="J204" t="s">
        <v>2250</v>
      </c>
      <c r="K204" t="s">
        <v>3095</v>
      </c>
      <c r="L204" t="s">
        <v>3329</v>
      </c>
      <c r="M204" t="s">
        <v>3379</v>
      </c>
      <c r="N204">
        <v>10457</v>
      </c>
      <c r="O204" t="s">
        <v>3380</v>
      </c>
      <c r="P204" t="s">
        <v>3381</v>
      </c>
      <c r="Q204" t="s">
        <v>3384</v>
      </c>
      <c r="S204">
        <v>10</v>
      </c>
      <c r="U204" t="s">
        <v>4225</v>
      </c>
      <c r="V204" t="s">
        <v>4230</v>
      </c>
      <c r="W204" t="s">
        <v>4238</v>
      </c>
      <c r="X204" t="s">
        <v>3382</v>
      </c>
      <c r="AA204" t="s">
        <v>4256</v>
      </c>
      <c r="AC204">
        <v>0</v>
      </c>
      <c r="AD204">
        <v>712.42</v>
      </c>
      <c r="AE204">
        <v>0.3</v>
      </c>
      <c r="AF204" t="s">
        <v>4268</v>
      </c>
      <c r="AG204" t="s">
        <v>4480</v>
      </c>
      <c r="AI204" t="s">
        <v>5554</v>
      </c>
      <c r="AJ204">
        <v>40</v>
      </c>
      <c r="AL204">
        <v>1</v>
      </c>
      <c r="AM204">
        <v>0</v>
      </c>
      <c r="AN204">
        <v>304.24</v>
      </c>
      <c r="AT204">
        <v>38000</v>
      </c>
      <c r="AX204" t="s">
        <v>6387</v>
      </c>
      <c r="BA204" t="s">
        <v>6477</v>
      </c>
      <c r="BD204" t="s">
        <v>252</v>
      </c>
      <c r="BE204" t="s">
        <v>6702</v>
      </c>
    </row>
    <row r="205" spans="1:57">
      <c r="A205" s="1">
        <f>HYPERLINK("https://lsnyc.legalserver.org/matter/dynamic-profile/view/1909567","19-1909567")</f>
        <v>0</v>
      </c>
      <c r="B205" t="s">
        <v>57</v>
      </c>
      <c r="C205" t="s">
        <v>87</v>
      </c>
      <c r="D205" t="s">
        <v>215</v>
      </c>
      <c r="E205" t="s">
        <v>304</v>
      </c>
      <c r="F205" t="s">
        <v>233</v>
      </c>
      <c r="G205" t="s">
        <v>678</v>
      </c>
      <c r="H205" t="s">
        <v>1334</v>
      </c>
      <c r="J205" t="s">
        <v>2251</v>
      </c>
      <c r="K205" t="s">
        <v>3076</v>
      </c>
      <c r="L205" t="s">
        <v>3329</v>
      </c>
      <c r="M205" t="s">
        <v>3379</v>
      </c>
      <c r="N205">
        <v>10456</v>
      </c>
      <c r="O205" t="s">
        <v>3380</v>
      </c>
      <c r="P205" t="s">
        <v>3381</v>
      </c>
      <c r="Q205" t="s">
        <v>3384</v>
      </c>
      <c r="R205" t="s">
        <v>3574</v>
      </c>
      <c r="S205">
        <v>0</v>
      </c>
      <c r="T205" t="s">
        <v>4197</v>
      </c>
      <c r="U205" t="s">
        <v>4225</v>
      </c>
      <c r="V205" t="s">
        <v>4230</v>
      </c>
      <c r="W205" t="s">
        <v>4239</v>
      </c>
      <c r="X205" t="s">
        <v>3382</v>
      </c>
      <c r="Y205" t="s">
        <v>3382</v>
      </c>
      <c r="AA205" t="s">
        <v>4256</v>
      </c>
      <c r="AC205">
        <v>0</v>
      </c>
      <c r="AD205">
        <v>0</v>
      </c>
      <c r="AE205">
        <v>0.5</v>
      </c>
      <c r="AF205" t="s">
        <v>4268</v>
      </c>
      <c r="AG205" t="s">
        <v>4481</v>
      </c>
      <c r="AI205" t="s">
        <v>5555</v>
      </c>
      <c r="AJ205">
        <v>35</v>
      </c>
      <c r="AK205" t="s">
        <v>6267</v>
      </c>
      <c r="AL205">
        <v>1</v>
      </c>
      <c r="AM205">
        <v>1</v>
      </c>
      <c r="AN205">
        <v>165.29</v>
      </c>
      <c r="AS205" t="s">
        <v>6298</v>
      </c>
      <c r="AT205">
        <v>27950</v>
      </c>
      <c r="AX205" t="s">
        <v>6387</v>
      </c>
      <c r="BA205" t="s">
        <v>6477</v>
      </c>
      <c r="BD205" t="s">
        <v>284</v>
      </c>
      <c r="BE205" t="s">
        <v>6702</v>
      </c>
    </row>
    <row r="206" spans="1:57">
      <c r="A206" s="1">
        <f>HYPERLINK("https://lsnyc.legalserver.org/matter/dynamic-profile/view/1907403","19-1907403")</f>
        <v>0</v>
      </c>
      <c r="B206" t="s">
        <v>57</v>
      </c>
      <c r="C206" t="s">
        <v>87</v>
      </c>
      <c r="D206" t="s">
        <v>215</v>
      </c>
      <c r="E206" t="s">
        <v>292</v>
      </c>
      <c r="F206" t="s">
        <v>500</v>
      </c>
      <c r="G206" t="s">
        <v>763</v>
      </c>
      <c r="H206" t="s">
        <v>1494</v>
      </c>
      <c r="J206" t="s">
        <v>2252</v>
      </c>
      <c r="K206" t="s">
        <v>3052</v>
      </c>
      <c r="L206" t="s">
        <v>3329</v>
      </c>
      <c r="M206" t="s">
        <v>3379</v>
      </c>
      <c r="N206">
        <v>10456</v>
      </c>
      <c r="O206" t="s">
        <v>3382</v>
      </c>
      <c r="P206" t="s">
        <v>3381</v>
      </c>
      <c r="Q206" t="s">
        <v>3388</v>
      </c>
      <c r="S206">
        <v>0</v>
      </c>
      <c r="T206" t="s">
        <v>4203</v>
      </c>
      <c r="U206" t="s">
        <v>4225</v>
      </c>
      <c r="V206" t="s">
        <v>4230</v>
      </c>
      <c r="W206" t="s">
        <v>4239</v>
      </c>
      <c r="X206" t="s">
        <v>3382</v>
      </c>
      <c r="AA206" t="s">
        <v>4256</v>
      </c>
      <c r="AC206">
        <v>0</v>
      </c>
      <c r="AD206">
        <v>0</v>
      </c>
      <c r="AE206">
        <v>1</v>
      </c>
      <c r="AF206" t="s">
        <v>4268</v>
      </c>
      <c r="AG206" t="s">
        <v>4482</v>
      </c>
      <c r="AI206" t="s">
        <v>5556</v>
      </c>
      <c r="AJ206">
        <v>0</v>
      </c>
      <c r="AL206">
        <v>1</v>
      </c>
      <c r="AM206">
        <v>2</v>
      </c>
      <c r="AN206">
        <v>60.95</v>
      </c>
      <c r="AS206" t="s">
        <v>6298</v>
      </c>
      <c r="AT206">
        <v>13000</v>
      </c>
      <c r="AX206" t="s">
        <v>6385</v>
      </c>
      <c r="BA206" t="s">
        <v>6503</v>
      </c>
      <c r="BD206" t="s">
        <v>500</v>
      </c>
    </row>
    <row r="207" spans="1:57">
      <c r="A207" s="1">
        <f>HYPERLINK("https://lsnyc.legalserver.org/matter/dynamic-profile/view/1908075","19-1908075")</f>
        <v>0</v>
      </c>
      <c r="B207" t="s">
        <v>57</v>
      </c>
      <c r="C207" t="s">
        <v>87</v>
      </c>
      <c r="D207" t="s">
        <v>215</v>
      </c>
      <c r="E207" t="s">
        <v>309</v>
      </c>
      <c r="F207" t="s">
        <v>274</v>
      </c>
      <c r="G207" t="s">
        <v>764</v>
      </c>
      <c r="H207" t="s">
        <v>1495</v>
      </c>
      <c r="J207" t="s">
        <v>2253</v>
      </c>
      <c r="K207" t="s">
        <v>3096</v>
      </c>
      <c r="L207" t="s">
        <v>3329</v>
      </c>
      <c r="M207" t="s">
        <v>3379</v>
      </c>
      <c r="N207">
        <v>10456</v>
      </c>
      <c r="O207" t="s">
        <v>3380</v>
      </c>
      <c r="P207" t="s">
        <v>3381</v>
      </c>
      <c r="Q207" t="s">
        <v>3384</v>
      </c>
      <c r="R207" t="s">
        <v>3575</v>
      </c>
      <c r="S207">
        <v>0</v>
      </c>
      <c r="T207" t="s">
        <v>4196</v>
      </c>
      <c r="U207" t="s">
        <v>4225</v>
      </c>
      <c r="V207" t="s">
        <v>4230</v>
      </c>
      <c r="W207" t="s">
        <v>4239</v>
      </c>
      <c r="X207" t="s">
        <v>3382</v>
      </c>
      <c r="Y207" t="s">
        <v>3382</v>
      </c>
      <c r="AA207" t="s">
        <v>4256</v>
      </c>
      <c r="AB207" t="s">
        <v>4265</v>
      </c>
      <c r="AC207">
        <v>0</v>
      </c>
      <c r="AD207">
        <v>0</v>
      </c>
      <c r="AE207">
        <v>0.7</v>
      </c>
      <c r="AF207" t="s">
        <v>4268</v>
      </c>
      <c r="AG207" t="s">
        <v>4483</v>
      </c>
      <c r="AJ207">
        <v>0</v>
      </c>
      <c r="AL207">
        <v>1</v>
      </c>
      <c r="AM207">
        <v>0</v>
      </c>
      <c r="AN207">
        <v>0</v>
      </c>
      <c r="AS207" t="s">
        <v>6300</v>
      </c>
      <c r="AT207">
        <v>0</v>
      </c>
      <c r="AX207" t="s">
        <v>6387</v>
      </c>
      <c r="BA207" t="s">
        <v>6479</v>
      </c>
      <c r="BD207" t="s">
        <v>274</v>
      </c>
      <c r="BE207" t="s">
        <v>5312</v>
      </c>
    </row>
    <row r="208" spans="1:57">
      <c r="A208" s="1">
        <f>HYPERLINK("https://lsnyc.legalserver.org/matter/dynamic-profile/view/1915104","19-1915104")</f>
        <v>0</v>
      </c>
      <c r="B208" t="s">
        <v>57</v>
      </c>
      <c r="C208" t="s">
        <v>87</v>
      </c>
      <c r="D208" t="s">
        <v>214</v>
      </c>
      <c r="E208" t="s">
        <v>275</v>
      </c>
      <c r="G208" t="s">
        <v>765</v>
      </c>
      <c r="H208" t="s">
        <v>1496</v>
      </c>
      <c r="J208" t="s">
        <v>2254</v>
      </c>
      <c r="K208" t="s">
        <v>3017</v>
      </c>
      <c r="L208" t="s">
        <v>3329</v>
      </c>
      <c r="M208" t="s">
        <v>3379</v>
      </c>
      <c r="N208">
        <v>10456</v>
      </c>
      <c r="O208" t="s">
        <v>3380</v>
      </c>
      <c r="P208" t="s">
        <v>3381</v>
      </c>
      <c r="Q208" t="s">
        <v>3384</v>
      </c>
      <c r="R208" t="s">
        <v>3576</v>
      </c>
      <c r="S208">
        <v>24</v>
      </c>
      <c r="T208" t="s">
        <v>4196</v>
      </c>
      <c r="U208" t="s">
        <v>4225</v>
      </c>
      <c r="W208" t="s">
        <v>4239</v>
      </c>
      <c r="X208" t="s">
        <v>3382</v>
      </c>
      <c r="Y208" t="s">
        <v>3382</v>
      </c>
      <c r="AA208" t="s">
        <v>4256</v>
      </c>
      <c r="AB208" t="s">
        <v>4262</v>
      </c>
      <c r="AC208">
        <v>0</v>
      </c>
      <c r="AD208">
        <v>574</v>
      </c>
      <c r="AE208">
        <v>0</v>
      </c>
      <c r="AG208" t="s">
        <v>4484</v>
      </c>
      <c r="AI208" t="s">
        <v>5557</v>
      </c>
      <c r="AJ208">
        <v>43</v>
      </c>
      <c r="AK208" t="s">
        <v>6273</v>
      </c>
      <c r="AL208">
        <v>2</v>
      </c>
      <c r="AM208">
        <v>0</v>
      </c>
      <c r="AN208">
        <v>58.55</v>
      </c>
      <c r="AS208" t="s">
        <v>6298</v>
      </c>
      <c r="AT208">
        <v>9900</v>
      </c>
      <c r="AX208" t="s">
        <v>6387</v>
      </c>
      <c r="BA208" t="s">
        <v>6475</v>
      </c>
      <c r="BE208" t="s">
        <v>6702</v>
      </c>
    </row>
    <row r="209" spans="1:57">
      <c r="A209" s="1">
        <f>HYPERLINK("https://lsnyc.legalserver.org/matter/dynamic-profile/view/1915145","19-1915145")</f>
        <v>0</v>
      </c>
      <c r="B209" t="s">
        <v>57</v>
      </c>
      <c r="C209" t="s">
        <v>87</v>
      </c>
      <c r="D209" t="s">
        <v>214</v>
      </c>
      <c r="E209" t="s">
        <v>275</v>
      </c>
      <c r="G209" t="s">
        <v>766</v>
      </c>
      <c r="H209" t="s">
        <v>1497</v>
      </c>
      <c r="J209" t="s">
        <v>2255</v>
      </c>
      <c r="K209">
        <v>4</v>
      </c>
      <c r="L209" t="s">
        <v>3329</v>
      </c>
      <c r="M209" t="s">
        <v>3379</v>
      </c>
      <c r="N209">
        <v>10456</v>
      </c>
      <c r="O209" t="s">
        <v>3380</v>
      </c>
      <c r="P209" t="s">
        <v>3381</v>
      </c>
      <c r="Q209" t="s">
        <v>3384</v>
      </c>
      <c r="R209" t="s">
        <v>3577</v>
      </c>
      <c r="S209">
        <v>2</v>
      </c>
      <c r="T209" t="s">
        <v>4196</v>
      </c>
      <c r="U209" t="s">
        <v>4225</v>
      </c>
      <c r="W209" t="s">
        <v>4239</v>
      </c>
      <c r="X209" t="s">
        <v>3382</v>
      </c>
      <c r="Y209" t="s">
        <v>3382</v>
      </c>
      <c r="AA209" t="s">
        <v>4256</v>
      </c>
      <c r="AB209" t="s">
        <v>4261</v>
      </c>
      <c r="AC209">
        <v>0</v>
      </c>
      <c r="AD209">
        <v>1196</v>
      </c>
      <c r="AE209">
        <v>0</v>
      </c>
      <c r="AG209" t="s">
        <v>4485</v>
      </c>
      <c r="AI209" t="s">
        <v>5558</v>
      </c>
      <c r="AJ209">
        <v>9</v>
      </c>
      <c r="AK209" t="s">
        <v>6267</v>
      </c>
      <c r="AL209">
        <v>2</v>
      </c>
      <c r="AM209">
        <v>1</v>
      </c>
      <c r="AN209">
        <v>56.26</v>
      </c>
      <c r="AS209" t="s">
        <v>6298</v>
      </c>
      <c r="AT209">
        <v>12000</v>
      </c>
      <c r="AX209" t="s">
        <v>6387</v>
      </c>
      <c r="BA209" t="s">
        <v>6477</v>
      </c>
      <c r="BE209" t="s">
        <v>6702</v>
      </c>
    </row>
    <row r="210" spans="1:57">
      <c r="A210" s="1">
        <f>HYPERLINK("https://lsnyc.legalserver.org/matter/dynamic-profile/view/1906405","19-1906405")</f>
        <v>0</v>
      </c>
      <c r="B210" t="s">
        <v>57</v>
      </c>
      <c r="C210" t="s">
        <v>87</v>
      </c>
      <c r="D210" t="s">
        <v>215</v>
      </c>
      <c r="E210" t="s">
        <v>310</v>
      </c>
      <c r="F210" t="s">
        <v>366</v>
      </c>
      <c r="G210" t="s">
        <v>767</v>
      </c>
      <c r="H210" t="s">
        <v>1498</v>
      </c>
      <c r="J210" t="s">
        <v>2256</v>
      </c>
      <c r="K210" t="s">
        <v>3015</v>
      </c>
      <c r="L210" t="s">
        <v>3329</v>
      </c>
      <c r="M210" t="s">
        <v>3379</v>
      </c>
      <c r="N210">
        <v>10455</v>
      </c>
      <c r="O210" t="s">
        <v>3380</v>
      </c>
      <c r="P210" t="s">
        <v>3381</v>
      </c>
      <c r="Q210" t="s">
        <v>3384</v>
      </c>
      <c r="R210" t="s">
        <v>3578</v>
      </c>
      <c r="S210">
        <v>3</v>
      </c>
      <c r="T210" t="s">
        <v>4197</v>
      </c>
      <c r="U210" t="s">
        <v>4225</v>
      </c>
      <c r="V210" t="s">
        <v>4230</v>
      </c>
      <c r="W210" t="s">
        <v>4239</v>
      </c>
      <c r="X210" t="s">
        <v>3382</v>
      </c>
      <c r="AA210" t="s">
        <v>4256</v>
      </c>
      <c r="AB210" t="s">
        <v>4261</v>
      </c>
      <c r="AC210">
        <v>0</v>
      </c>
      <c r="AD210">
        <v>178</v>
      </c>
      <c r="AE210">
        <v>0.5</v>
      </c>
      <c r="AF210" t="s">
        <v>4268</v>
      </c>
      <c r="AG210" t="s">
        <v>4486</v>
      </c>
      <c r="AI210" t="s">
        <v>5559</v>
      </c>
      <c r="AJ210">
        <v>50</v>
      </c>
      <c r="AK210" t="s">
        <v>6273</v>
      </c>
      <c r="AL210">
        <v>2</v>
      </c>
      <c r="AM210">
        <v>0</v>
      </c>
      <c r="AN210">
        <v>60.75</v>
      </c>
      <c r="AR210" t="s">
        <v>3391</v>
      </c>
      <c r="AS210" t="s">
        <v>6298</v>
      </c>
      <c r="AT210">
        <v>10272</v>
      </c>
      <c r="AX210" t="s">
        <v>6387</v>
      </c>
      <c r="BA210" t="s">
        <v>6477</v>
      </c>
      <c r="BD210" t="s">
        <v>366</v>
      </c>
      <c r="BE210" t="s">
        <v>6702</v>
      </c>
    </row>
    <row r="211" spans="1:57">
      <c r="A211" s="1">
        <f>HYPERLINK("https://lsnyc.legalserver.org/matter/dynamic-profile/view/1912845","19-1912845")</f>
        <v>0</v>
      </c>
      <c r="B211" t="s">
        <v>57</v>
      </c>
      <c r="C211" t="s">
        <v>87</v>
      </c>
      <c r="D211" t="s">
        <v>215</v>
      </c>
      <c r="E211" t="s">
        <v>272</v>
      </c>
      <c r="F211" t="s">
        <v>270</v>
      </c>
      <c r="G211" t="s">
        <v>682</v>
      </c>
      <c r="H211" t="s">
        <v>1499</v>
      </c>
      <c r="J211" t="s">
        <v>2257</v>
      </c>
      <c r="K211">
        <v>13</v>
      </c>
      <c r="L211" t="s">
        <v>3329</v>
      </c>
      <c r="M211" t="s">
        <v>3379</v>
      </c>
      <c r="N211">
        <v>10455</v>
      </c>
      <c r="O211" t="s">
        <v>3380</v>
      </c>
      <c r="P211" t="s">
        <v>3381</v>
      </c>
      <c r="Q211" t="s">
        <v>3384</v>
      </c>
      <c r="R211" t="s">
        <v>3579</v>
      </c>
      <c r="S211">
        <v>4</v>
      </c>
      <c r="T211" t="s">
        <v>4196</v>
      </c>
      <c r="U211" t="s">
        <v>4225</v>
      </c>
      <c r="V211" t="s">
        <v>4230</v>
      </c>
      <c r="W211" t="s">
        <v>4239</v>
      </c>
      <c r="X211" t="s">
        <v>3382</v>
      </c>
      <c r="Y211" t="s">
        <v>3382</v>
      </c>
      <c r="AA211" t="s">
        <v>4256</v>
      </c>
      <c r="AB211" t="s">
        <v>4261</v>
      </c>
      <c r="AC211">
        <v>0</v>
      </c>
      <c r="AD211">
        <v>1515</v>
      </c>
      <c r="AE211">
        <v>0.7</v>
      </c>
      <c r="AF211" t="s">
        <v>4268</v>
      </c>
      <c r="AG211" t="s">
        <v>4487</v>
      </c>
      <c r="AI211" t="s">
        <v>5560</v>
      </c>
      <c r="AJ211">
        <v>27</v>
      </c>
      <c r="AK211" t="s">
        <v>6267</v>
      </c>
      <c r="AL211">
        <v>1</v>
      </c>
      <c r="AM211">
        <v>2</v>
      </c>
      <c r="AN211">
        <v>85.33</v>
      </c>
      <c r="AR211" t="s">
        <v>6291</v>
      </c>
      <c r="AS211" t="s">
        <v>6298</v>
      </c>
      <c r="AT211">
        <v>18200</v>
      </c>
      <c r="AX211" t="s">
        <v>6387</v>
      </c>
      <c r="BA211" t="s">
        <v>6477</v>
      </c>
      <c r="BD211" t="s">
        <v>270</v>
      </c>
      <c r="BE211" t="s">
        <v>6702</v>
      </c>
    </row>
    <row r="212" spans="1:57">
      <c r="A212" s="1">
        <f>HYPERLINK("https://lsnyc.legalserver.org/matter/dynamic-profile/view/1908054","19-1908054")</f>
        <v>0</v>
      </c>
      <c r="B212" t="s">
        <v>57</v>
      </c>
      <c r="C212" t="s">
        <v>87</v>
      </c>
      <c r="D212" t="s">
        <v>214</v>
      </c>
      <c r="E212" t="s">
        <v>309</v>
      </c>
      <c r="G212" t="s">
        <v>768</v>
      </c>
      <c r="H212" t="s">
        <v>1500</v>
      </c>
      <c r="J212" t="s">
        <v>2258</v>
      </c>
      <c r="K212" t="s">
        <v>3030</v>
      </c>
      <c r="L212" t="s">
        <v>3329</v>
      </c>
      <c r="M212" t="s">
        <v>3379</v>
      </c>
      <c r="N212">
        <v>10454</v>
      </c>
      <c r="O212" t="s">
        <v>3382</v>
      </c>
      <c r="P212" t="s">
        <v>3381</v>
      </c>
      <c r="Q212" t="s">
        <v>3386</v>
      </c>
      <c r="R212" t="s">
        <v>3580</v>
      </c>
      <c r="S212">
        <v>4</v>
      </c>
      <c r="T212" t="s">
        <v>4197</v>
      </c>
      <c r="U212" t="s">
        <v>4223</v>
      </c>
      <c r="W212" t="s">
        <v>4239</v>
      </c>
      <c r="X212" t="s">
        <v>3382</v>
      </c>
      <c r="Y212" t="s">
        <v>3382</v>
      </c>
      <c r="AA212" t="s">
        <v>4256</v>
      </c>
      <c r="AB212" t="s">
        <v>4262</v>
      </c>
      <c r="AC212">
        <v>0</v>
      </c>
      <c r="AD212">
        <v>2097</v>
      </c>
      <c r="AE212">
        <v>14.5</v>
      </c>
      <c r="AG212" t="s">
        <v>4488</v>
      </c>
      <c r="AH212" t="s">
        <v>5260</v>
      </c>
      <c r="AI212" t="s">
        <v>5561</v>
      </c>
      <c r="AJ212">
        <v>0</v>
      </c>
      <c r="AK212" t="s">
        <v>6267</v>
      </c>
      <c r="AL212">
        <v>2</v>
      </c>
      <c r="AM212">
        <v>2</v>
      </c>
      <c r="AN212">
        <v>70.61</v>
      </c>
      <c r="AR212" t="s">
        <v>6290</v>
      </c>
      <c r="AS212" t="s">
        <v>6298</v>
      </c>
      <c r="AT212">
        <v>18181</v>
      </c>
      <c r="AW212" t="s">
        <v>6360</v>
      </c>
      <c r="AX212" t="s">
        <v>6385</v>
      </c>
      <c r="BA212" t="s">
        <v>6522</v>
      </c>
      <c r="BD212" t="s">
        <v>275</v>
      </c>
    </row>
    <row r="213" spans="1:57">
      <c r="A213" s="1">
        <f>HYPERLINK("https://lsnyc.legalserver.org/matter/dynamic-profile/view/1913834","19-1913834")</f>
        <v>0</v>
      </c>
      <c r="B213" t="s">
        <v>57</v>
      </c>
      <c r="C213" t="s">
        <v>87</v>
      </c>
      <c r="D213" t="s">
        <v>215</v>
      </c>
      <c r="E213" t="s">
        <v>222</v>
      </c>
      <c r="F213" t="s">
        <v>230</v>
      </c>
      <c r="G213" t="s">
        <v>769</v>
      </c>
      <c r="H213" t="s">
        <v>1501</v>
      </c>
      <c r="J213" t="s">
        <v>2259</v>
      </c>
      <c r="K213" t="s">
        <v>3097</v>
      </c>
      <c r="L213" t="s">
        <v>3329</v>
      </c>
      <c r="M213" t="s">
        <v>3379</v>
      </c>
      <c r="N213">
        <v>10454</v>
      </c>
      <c r="O213" t="s">
        <v>3380</v>
      </c>
      <c r="P213" t="s">
        <v>3381</v>
      </c>
      <c r="Q213" t="s">
        <v>3384</v>
      </c>
      <c r="R213" t="s">
        <v>3581</v>
      </c>
      <c r="S213">
        <v>20</v>
      </c>
      <c r="T213" t="s">
        <v>4196</v>
      </c>
      <c r="U213" t="s">
        <v>4225</v>
      </c>
      <c r="V213" t="s">
        <v>4230</v>
      </c>
      <c r="W213" t="s">
        <v>4239</v>
      </c>
      <c r="X213" t="s">
        <v>3382</v>
      </c>
      <c r="Y213" t="s">
        <v>3382</v>
      </c>
      <c r="AA213" t="s">
        <v>4256</v>
      </c>
      <c r="AB213" t="s">
        <v>4265</v>
      </c>
      <c r="AC213">
        <v>0</v>
      </c>
      <c r="AD213">
        <v>941</v>
      </c>
      <c r="AE213">
        <v>0.5</v>
      </c>
      <c r="AF213" t="s">
        <v>4268</v>
      </c>
      <c r="AG213" t="s">
        <v>4489</v>
      </c>
      <c r="AI213" t="s">
        <v>5562</v>
      </c>
      <c r="AJ213">
        <v>172</v>
      </c>
      <c r="AK213" t="s">
        <v>6270</v>
      </c>
      <c r="AL213">
        <v>1</v>
      </c>
      <c r="AM213">
        <v>0</v>
      </c>
      <c r="AN213">
        <v>72.06</v>
      </c>
      <c r="AS213" t="s">
        <v>6298</v>
      </c>
      <c r="AT213">
        <v>9000</v>
      </c>
      <c r="AX213" t="s">
        <v>6387</v>
      </c>
      <c r="BA213" t="s">
        <v>6482</v>
      </c>
      <c r="BD213" t="s">
        <v>230</v>
      </c>
      <c r="BE213" t="s">
        <v>6702</v>
      </c>
    </row>
    <row r="214" spans="1:57">
      <c r="A214" s="1">
        <f>HYPERLINK("https://lsnyc.legalserver.org/matter/dynamic-profile/view/1910975","19-1910975")</f>
        <v>0</v>
      </c>
      <c r="B214" t="s">
        <v>57</v>
      </c>
      <c r="C214" t="s">
        <v>87</v>
      </c>
      <c r="D214" t="s">
        <v>215</v>
      </c>
      <c r="E214" t="s">
        <v>250</v>
      </c>
      <c r="F214" t="s">
        <v>253</v>
      </c>
      <c r="G214" t="s">
        <v>770</v>
      </c>
      <c r="H214" t="s">
        <v>1502</v>
      </c>
      <c r="J214" t="s">
        <v>2260</v>
      </c>
      <c r="K214" t="s">
        <v>3098</v>
      </c>
      <c r="L214" t="s">
        <v>3329</v>
      </c>
      <c r="M214" t="s">
        <v>3379</v>
      </c>
      <c r="N214">
        <v>10453</v>
      </c>
      <c r="O214" t="s">
        <v>3380</v>
      </c>
      <c r="P214" t="s">
        <v>3381</v>
      </c>
      <c r="Q214" t="s">
        <v>3389</v>
      </c>
      <c r="R214" t="s">
        <v>3582</v>
      </c>
      <c r="S214">
        <v>2</v>
      </c>
      <c r="T214" t="s">
        <v>4197</v>
      </c>
      <c r="U214" t="s">
        <v>4225</v>
      </c>
      <c r="V214" t="s">
        <v>4230</v>
      </c>
      <c r="W214" t="s">
        <v>4239</v>
      </c>
      <c r="X214" t="s">
        <v>3382</v>
      </c>
      <c r="Y214" t="s">
        <v>3382</v>
      </c>
      <c r="AA214" t="s">
        <v>4256</v>
      </c>
      <c r="AB214" t="s">
        <v>4265</v>
      </c>
      <c r="AC214">
        <v>0</v>
      </c>
      <c r="AD214">
        <v>1029</v>
      </c>
      <c r="AE214">
        <v>1.5</v>
      </c>
      <c r="AF214" t="s">
        <v>4268</v>
      </c>
      <c r="AG214" t="s">
        <v>4490</v>
      </c>
      <c r="AI214" t="s">
        <v>5563</v>
      </c>
      <c r="AJ214">
        <v>434</v>
      </c>
      <c r="AK214" t="s">
        <v>6271</v>
      </c>
      <c r="AL214">
        <v>1</v>
      </c>
      <c r="AM214">
        <v>1</v>
      </c>
      <c r="AN214">
        <v>0</v>
      </c>
      <c r="AS214" t="s">
        <v>6298</v>
      </c>
      <c r="AT214">
        <v>0</v>
      </c>
      <c r="AX214" t="s">
        <v>6387</v>
      </c>
      <c r="BA214" t="s">
        <v>6479</v>
      </c>
      <c r="BD214" t="s">
        <v>253</v>
      </c>
      <c r="BE214" t="s">
        <v>6702</v>
      </c>
    </row>
    <row r="215" spans="1:57">
      <c r="A215" s="1">
        <f>HYPERLINK("https://lsnyc.legalserver.org/matter/dynamic-profile/view/1913875","19-1913875")</f>
        <v>0</v>
      </c>
      <c r="B215" t="s">
        <v>57</v>
      </c>
      <c r="C215" t="s">
        <v>87</v>
      </c>
      <c r="D215" t="s">
        <v>215</v>
      </c>
      <c r="E215" t="s">
        <v>222</v>
      </c>
      <c r="F215" t="s">
        <v>230</v>
      </c>
      <c r="G215" t="s">
        <v>771</v>
      </c>
      <c r="H215" t="s">
        <v>1503</v>
      </c>
      <c r="J215" t="s">
        <v>2261</v>
      </c>
      <c r="L215" t="s">
        <v>3329</v>
      </c>
      <c r="M215" t="s">
        <v>3379</v>
      </c>
      <c r="N215">
        <v>10453</v>
      </c>
      <c r="O215" t="s">
        <v>3380</v>
      </c>
      <c r="P215" t="s">
        <v>3381</v>
      </c>
      <c r="R215" t="s">
        <v>3583</v>
      </c>
      <c r="S215">
        <v>0</v>
      </c>
      <c r="T215" t="s">
        <v>4197</v>
      </c>
      <c r="U215" t="s">
        <v>4225</v>
      </c>
      <c r="V215" t="s">
        <v>4230</v>
      </c>
      <c r="W215" t="s">
        <v>4239</v>
      </c>
      <c r="X215" t="s">
        <v>3382</v>
      </c>
      <c r="Y215" t="s">
        <v>3382</v>
      </c>
      <c r="AA215" t="s">
        <v>4256</v>
      </c>
      <c r="AC215">
        <v>0</v>
      </c>
      <c r="AD215">
        <v>0</v>
      </c>
      <c r="AE215">
        <v>0.5</v>
      </c>
      <c r="AF215" t="s">
        <v>4268</v>
      </c>
      <c r="AG215" t="s">
        <v>4491</v>
      </c>
      <c r="AI215" t="s">
        <v>5564</v>
      </c>
      <c r="AJ215">
        <v>67</v>
      </c>
      <c r="AK215" t="s">
        <v>6267</v>
      </c>
      <c r="AL215">
        <v>3</v>
      </c>
      <c r="AM215">
        <v>0</v>
      </c>
      <c r="AN215">
        <v>29.25</v>
      </c>
      <c r="AS215" t="s">
        <v>6298</v>
      </c>
      <c r="AT215">
        <v>6240</v>
      </c>
      <c r="AW215" t="s">
        <v>6361</v>
      </c>
      <c r="AX215" t="s">
        <v>6387</v>
      </c>
      <c r="BA215" t="s">
        <v>6478</v>
      </c>
      <c r="BD215" t="s">
        <v>230</v>
      </c>
      <c r="BE215" t="s">
        <v>6702</v>
      </c>
    </row>
    <row r="216" spans="1:57">
      <c r="A216" s="1">
        <f>HYPERLINK("https://lsnyc.legalserver.org/matter/dynamic-profile/view/1909293","19-1909293")</f>
        <v>0</v>
      </c>
      <c r="B216" t="s">
        <v>57</v>
      </c>
      <c r="C216" t="s">
        <v>87</v>
      </c>
      <c r="D216" t="s">
        <v>215</v>
      </c>
      <c r="E216" t="s">
        <v>236</v>
      </c>
      <c r="F216" t="s">
        <v>220</v>
      </c>
      <c r="G216" t="s">
        <v>682</v>
      </c>
      <c r="H216" t="s">
        <v>1378</v>
      </c>
      <c r="J216" t="s">
        <v>2262</v>
      </c>
      <c r="L216" t="s">
        <v>3329</v>
      </c>
      <c r="M216" t="s">
        <v>3379</v>
      </c>
      <c r="N216">
        <v>10453</v>
      </c>
      <c r="O216" t="s">
        <v>3380</v>
      </c>
      <c r="P216" t="s">
        <v>3381</v>
      </c>
      <c r="Q216" t="s">
        <v>3387</v>
      </c>
      <c r="R216" t="s">
        <v>3584</v>
      </c>
      <c r="S216">
        <v>3</v>
      </c>
      <c r="T216" t="s">
        <v>4196</v>
      </c>
      <c r="U216" t="s">
        <v>4225</v>
      </c>
      <c r="V216" t="s">
        <v>4230</v>
      </c>
      <c r="W216" t="s">
        <v>4239</v>
      </c>
      <c r="X216" t="s">
        <v>3382</v>
      </c>
      <c r="Y216" t="s">
        <v>3382</v>
      </c>
      <c r="AA216" t="s">
        <v>4256</v>
      </c>
      <c r="AB216" t="s">
        <v>4261</v>
      </c>
      <c r="AC216">
        <v>0</v>
      </c>
      <c r="AD216">
        <v>1428</v>
      </c>
      <c r="AE216">
        <v>0.5</v>
      </c>
      <c r="AF216" t="s">
        <v>4268</v>
      </c>
      <c r="AG216" t="s">
        <v>4492</v>
      </c>
      <c r="AI216" t="s">
        <v>5565</v>
      </c>
      <c r="AJ216">
        <v>70</v>
      </c>
      <c r="AK216" t="s">
        <v>6267</v>
      </c>
      <c r="AL216">
        <v>1</v>
      </c>
      <c r="AM216">
        <v>2</v>
      </c>
      <c r="AN216">
        <v>0</v>
      </c>
      <c r="AS216" t="s">
        <v>6299</v>
      </c>
      <c r="AT216">
        <v>0</v>
      </c>
      <c r="AX216" t="s">
        <v>6387</v>
      </c>
      <c r="BA216" t="s">
        <v>6479</v>
      </c>
      <c r="BD216" t="s">
        <v>220</v>
      </c>
      <c r="BE216" t="s">
        <v>6702</v>
      </c>
    </row>
    <row r="217" spans="1:57">
      <c r="A217" s="1">
        <f>HYPERLINK("https://lsnyc.legalserver.org/matter/dynamic-profile/view/1914492","19-1914492")</f>
        <v>0</v>
      </c>
      <c r="B217" t="s">
        <v>57</v>
      </c>
      <c r="C217" t="s">
        <v>87</v>
      </c>
      <c r="D217" t="s">
        <v>215</v>
      </c>
      <c r="E217" t="s">
        <v>227</v>
      </c>
      <c r="F217" t="s">
        <v>237</v>
      </c>
      <c r="G217" t="s">
        <v>772</v>
      </c>
      <c r="H217" t="s">
        <v>1504</v>
      </c>
      <c r="J217" t="s">
        <v>2260</v>
      </c>
      <c r="K217" t="s">
        <v>3099</v>
      </c>
      <c r="L217" t="s">
        <v>3329</v>
      </c>
      <c r="M217" t="s">
        <v>3379</v>
      </c>
      <c r="N217">
        <v>10453</v>
      </c>
      <c r="O217" t="s">
        <v>3380</v>
      </c>
      <c r="P217" t="s">
        <v>3381</v>
      </c>
      <c r="Q217" t="s">
        <v>3384</v>
      </c>
      <c r="R217" t="s">
        <v>3585</v>
      </c>
      <c r="S217">
        <v>0</v>
      </c>
      <c r="T217" t="s">
        <v>4196</v>
      </c>
      <c r="U217" t="s">
        <v>4225</v>
      </c>
      <c r="V217" t="s">
        <v>4230</v>
      </c>
      <c r="W217" t="s">
        <v>4239</v>
      </c>
      <c r="X217" t="s">
        <v>3382</v>
      </c>
      <c r="Y217" t="s">
        <v>3382</v>
      </c>
      <c r="AA217" t="s">
        <v>4256</v>
      </c>
      <c r="AB217" t="s">
        <v>4261</v>
      </c>
      <c r="AC217">
        <v>0</v>
      </c>
      <c r="AD217">
        <v>0</v>
      </c>
      <c r="AE217">
        <v>0.5</v>
      </c>
      <c r="AF217" t="s">
        <v>4268</v>
      </c>
      <c r="AG217" t="s">
        <v>4493</v>
      </c>
      <c r="AJ217">
        <v>0</v>
      </c>
      <c r="AK217" t="s">
        <v>6273</v>
      </c>
      <c r="AL217">
        <v>2</v>
      </c>
      <c r="AM217">
        <v>1</v>
      </c>
      <c r="AN217">
        <v>80.20999999999999</v>
      </c>
      <c r="AS217" t="s">
        <v>6298</v>
      </c>
      <c r="AT217">
        <v>17108</v>
      </c>
      <c r="AX217" t="s">
        <v>6387</v>
      </c>
      <c r="BA217" t="s">
        <v>6477</v>
      </c>
      <c r="BD217" t="s">
        <v>237</v>
      </c>
      <c r="BE217" t="s">
        <v>6702</v>
      </c>
    </row>
    <row r="218" spans="1:57">
      <c r="A218" s="1">
        <f>HYPERLINK("https://lsnyc.legalserver.org/matter/dynamic-profile/view/1915120","19-1915120")</f>
        <v>0</v>
      </c>
      <c r="B218" t="s">
        <v>57</v>
      </c>
      <c r="C218" t="s">
        <v>87</v>
      </c>
      <c r="D218" t="s">
        <v>214</v>
      </c>
      <c r="E218" t="s">
        <v>275</v>
      </c>
      <c r="G218" t="s">
        <v>604</v>
      </c>
      <c r="H218" t="s">
        <v>1505</v>
      </c>
      <c r="J218" t="s">
        <v>2263</v>
      </c>
      <c r="K218" t="s">
        <v>3100</v>
      </c>
      <c r="L218" t="s">
        <v>3329</v>
      </c>
      <c r="M218" t="s">
        <v>3379</v>
      </c>
      <c r="N218">
        <v>10453</v>
      </c>
      <c r="O218" t="s">
        <v>3380</v>
      </c>
      <c r="P218" t="s">
        <v>3381</v>
      </c>
      <c r="Q218" t="s">
        <v>3384</v>
      </c>
      <c r="R218" t="s">
        <v>3586</v>
      </c>
      <c r="S218">
        <v>6</v>
      </c>
      <c r="T218" t="s">
        <v>4196</v>
      </c>
      <c r="U218" t="s">
        <v>4225</v>
      </c>
      <c r="W218" t="s">
        <v>4239</v>
      </c>
      <c r="X218" t="s">
        <v>3382</v>
      </c>
      <c r="Y218" t="s">
        <v>3382</v>
      </c>
      <c r="AA218" t="s">
        <v>4256</v>
      </c>
      <c r="AB218" t="s">
        <v>4265</v>
      </c>
      <c r="AC218">
        <v>0</v>
      </c>
      <c r="AD218">
        <v>1166</v>
      </c>
      <c r="AE218">
        <v>0</v>
      </c>
      <c r="AG218" t="s">
        <v>4494</v>
      </c>
      <c r="AJ218">
        <v>66</v>
      </c>
      <c r="AK218" t="s">
        <v>6267</v>
      </c>
      <c r="AL218">
        <v>2</v>
      </c>
      <c r="AM218">
        <v>2</v>
      </c>
      <c r="AN218">
        <v>175.16</v>
      </c>
      <c r="AS218" t="s">
        <v>6298</v>
      </c>
      <c r="AT218">
        <v>45104</v>
      </c>
      <c r="AX218" t="s">
        <v>6387</v>
      </c>
      <c r="BA218" t="s">
        <v>6477</v>
      </c>
      <c r="BE218" t="s">
        <v>6702</v>
      </c>
    </row>
    <row r="219" spans="1:57">
      <c r="A219" s="1">
        <f>HYPERLINK("https://lsnyc.legalserver.org/matter/dynamic-profile/view/1906557","19-1906557")</f>
        <v>0</v>
      </c>
      <c r="B219" t="s">
        <v>57</v>
      </c>
      <c r="C219" t="s">
        <v>87</v>
      </c>
      <c r="D219" t="s">
        <v>215</v>
      </c>
      <c r="E219" t="s">
        <v>281</v>
      </c>
      <c r="F219" t="s">
        <v>247</v>
      </c>
      <c r="G219" t="s">
        <v>773</v>
      </c>
      <c r="H219" t="s">
        <v>1506</v>
      </c>
      <c r="J219" t="s">
        <v>2264</v>
      </c>
      <c r="K219" t="s">
        <v>3000</v>
      </c>
      <c r="L219" t="s">
        <v>3329</v>
      </c>
      <c r="M219" t="s">
        <v>3379</v>
      </c>
      <c r="N219">
        <v>10452</v>
      </c>
      <c r="O219" t="s">
        <v>3380</v>
      </c>
      <c r="P219" t="s">
        <v>3381</v>
      </c>
      <c r="Q219" t="s">
        <v>3394</v>
      </c>
      <c r="R219" t="s">
        <v>3406</v>
      </c>
      <c r="S219">
        <v>51</v>
      </c>
      <c r="T219" t="s">
        <v>4203</v>
      </c>
      <c r="U219" t="s">
        <v>4225</v>
      </c>
      <c r="V219" t="s">
        <v>4230</v>
      </c>
      <c r="W219" t="s">
        <v>4239</v>
      </c>
      <c r="X219" t="s">
        <v>3382</v>
      </c>
      <c r="AA219" t="s">
        <v>4256</v>
      </c>
      <c r="AC219">
        <v>0</v>
      </c>
      <c r="AD219">
        <v>400</v>
      </c>
      <c r="AE219">
        <v>0.5</v>
      </c>
      <c r="AF219" t="s">
        <v>4268</v>
      </c>
      <c r="AG219" t="s">
        <v>4495</v>
      </c>
      <c r="AJ219">
        <v>36</v>
      </c>
      <c r="AK219" t="s">
        <v>6269</v>
      </c>
      <c r="AL219">
        <v>1</v>
      </c>
      <c r="AM219">
        <v>0</v>
      </c>
      <c r="AN219">
        <v>0</v>
      </c>
      <c r="AS219" t="s">
        <v>6298</v>
      </c>
      <c r="AT219">
        <v>0</v>
      </c>
      <c r="AX219" t="s">
        <v>6387</v>
      </c>
      <c r="BA219" t="s">
        <v>6518</v>
      </c>
      <c r="BD219" t="s">
        <v>247</v>
      </c>
      <c r="BE219" t="s">
        <v>5312</v>
      </c>
    </row>
    <row r="220" spans="1:57">
      <c r="A220" s="1">
        <f>HYPERLINK("https://lsnyc.legalserver.org/matter/dynamic-profile/view/1909350","19-1909350")</f>
        <v>0</v>
      </c>
      <c r="B220" t="s">
        <v>57</v>
      </c>
      <c r="C220" t="s">
        <v>87</v>
      </c>
      <c r="D220" t="s">
        <v>215</v>
      </c>
      <c r="E220" t="s">
        <v>236</v>
      </c>
      <c r="F220" t="s">
        <v>221</v>
      </c>
      <c r="G220" t="s">
        <v>774</v>
      </c>
      <c r="H220" t="s">
        <v>1507</v>
      </c>
      <c r="J220" t="s">
        <v>2265</v>
      </c>
      <c r="K220" t="s">
        <v>3101</v>
      </c>
      <c r="L220" t="s">
        <v>3329</v>
      </c>
      <c r="M220" t="s">
        <v>3379</v>
      </c>
      <c r="N220">
        <v>10452</v>
      </c>
      <c r="O220" t="s">
        <v>3380</v>
      </c>
      <c r="P220" t="s">
        <v>3381</v>
      </c>
      <c r="Q220" t="s">
        <v>3384</v>
      </c>
      <c r="R220" t="s">
        <v>3587</v>
      </c>
      <c r="S220">
        <v>6</v>
      </c>
      <c r="T220" t="s">
        <v>4196</v>
      </c>
      <c r="U220" t="s">
        <v>4225</v>
      </c>
      <c r="V220" t="s">
        <v>4230</v>
      </c>
      <c r="W220" t="s">
        <v>4239</v>
      </c>
      <c r="X220" t="s">
        <v>3382</v>
      </c>
      <c r="Y220" t="s">
        <v>3382</v>
      </c>
      <c r="AA220" t="s">
        <v>4256</v>
      </c>
      <c r="AC220">
        <v>0</v>
      </c>
      <c r="AD220">
        <v>1530</v>
      </c>
      <c r="AE220">
        <v>0.9</v>
      </c>
      <c r="AF220" t="s">
        <v>4268</v>
      </c>
      <c r="AG220" t="s">
        <v>4496</v>
      </c>
      <c r="AI220" t="s">
        <v>5566</v>
      </c>
      <c r="AJ220">
        <v>9</v>
      </c>
      <c r="AK220" t="s">
        <v>6267</v>
      </c>
      <c r="AL220">
        <v>1</v>
      </c>
      <c r="AM220">
        <v>5</v>
      </c>
      <c r="AN220">
        <v>95.34999999999999</v>
      </c>
      <c r="AR220" t="s">
        <v>6289</v>
      </c>
      <c r="AS220" t="s">
        <v>6298</v>
      </c>
      <c r="AT220">
        <v>32981</v>
      </c>
      <c r="AX220" t="s">
        <v>6387</v>
      </c>
      <c r="BA220" t="s">
        <v>6523</v>
      </c>
      <c r="BD220" t="s">
        <v>221</v>
      </c>
      <c r="BE220" t="s">
        <v>6702</v>
      </c>
    </row>
    <row r="221" spans="1:57">
      <c r="A221" s="1">
        <f>HYPERLINK("https://lsnyc.legalserver.org/matter/dynamic-profile/view/1909570","19-1909570")</f>
        <v>0</v>
      </c>
      <c r="B221" t="s">
        <v>57</v>
      </c>
      <c r="C221" t="s">
        <v>87</v>
      </c>
      <c r="D221" t="s">
        <v>215</v>
      </c>
      <c r="E221" t="s">
        <v>304</v>
      </c>
      <c r="F221" t="s">
        <v>220</v>
      </c>
      <c r="G221" t="s">
        <v>775</v>
      </c>
      <c r="H221" t="s">
        <v>1508</v>
      </c>
      <c r="J221" t="s">
        <v>2266</v>
      </c>
      <c r="K221" t="s">
        <v>3102</v>
      </c>
      <c r="L221" t="s">
        <v>3329</v>
      </c>
      <c r="M221" t="s">
        <v>3379</v>
      </c>
      <c r="N221">
        <v>10451</v>
      </c>
      <c r="O221" t="s">
        <v>3380</v>
      </c>
      <c r="P221" t="s">
        <v>3381</v>
      </c>
      <c r="Q221" t="s">
        <v>3383</v>
      </c>
      <c r="R221" t="s">
        <v>3588</v>
      </c>
      <c r="S221">
        <v>9</v>
      </c>
      <c r="T221" t="s">
        <v>4197</v>
      </c>
      <c r="U221" t="s">
        <v>4225</v>
      </c>
      <c r="V221" t="s">
        <v>4230</v>
      </c>
      <c r="W221" t="s">
        <v>4239</v>
      </c>
      <c r="X221" t="s">
        <v>3382</v>
      </c>
      <c r="Y221" t="s">
        <v>3382</v>
      </c>
      <c r="AA221" t="s">
        <v>4256</v>
      </c>
      <c r="AC221">
        <v>0</v>
      </c>
      <c r="AD221">
        <v>215</v>
      </c>
      <c r="AE221">
        <v>0.3</v>
      </c>
      <c r="AF221" t="s">
        <v>4268</v>
      </c>
      <c r="AG221" t="s">
        <v>4497</v>
      </c>
      <c r="AI221" t="s">
        <v>5567</v>
      </c>
      <c r="AJ221">
        <v>0</v>
      </c>
      <c r="AK221" t="s">
        <v>6270</v>
      </c>
      <c r="AL221">
        <v>1</v>
      </c>
      <c r="AM221">
        <v>0</v>
      </c>
      <c r="AN221">
        <v>83.27</v>
      </c>
      <c r="AS221" t="s">
        <v>6299</v>
      </c>
      <c r="AT221">
        <v>10400</v>
      </c>
      <c r="AX221" t="s">
        <v>6387</v>
      </c>
      <c r="BA221" t="s">
        <v>6477</v>
      </c>
      <c r="BD221" t="s">
        <v>220</v>
      </c>
      <c r="BE221" t="s">
        <v>6702</v>
      </c>
    </row>
    <row r="222" spans="1:57">
      <c r="A222" s="1">
        <f>HYPERLINK("https://lsnyc.legalserver.org/matter/dynamic-profile/view/1913115","19-1913115")</f>
        <v>0</v>
      </c>
      <c r="B222" t="s">
        <v>57</v>
      </c>
      <c r="C222" t="s">
        <v>87</v>
      </c>
      <c r="D222" t="s">
        <v>215</v>
      </c>
      <c r="E222" t="s">
        <v>259</v>
      </c>
      <c r="F222" t="s">
        <v>230</v>
      </c>
      <c r="G222" t="s">
        <v>776</v>
      </c>
      <c r="H222" t="s">
        <v>1509</v>
      </c>
      <c r="J222" t="s">
        <v>2267</v>
      </c>
      <c r="K222" t="s">
        <v>3103</v>
      </c>
      <c r="L222" t="s">
        <v>3329</v>
      </c>
      <c r="M222" t="s">
        <v>3379</v>
      </c>
      <c r="N222">
        <v>10451</v>
      </c>
      <c r="O222" t="s">
        <v>3380</v>
      </c>
      <c r="P222" t="s">
        <v>3381</v>
      </c>
      <c r="Q222" t="s">
        <v>3384</v>
      </c>
      <c r="R222" t="s">
        <v>3589</v>
      </c>
      <c r="S222">
        <v>13</v>
      </c>
      <c r="T222" t="s">
        <v>4197</v>
      </c>
      <c r="U222" t="s">
        <v>4225</v>
      </c>
      <c r="V222" t="s">
        <v>4230</v>
      </c>
      <c r="W222" t="s">
        <v>4239</v>
      </c>
      <c r="X222" t="s">
        <v>3382</v>
      </c>
      <c r="Y222" t="s">
        <v>3382</v>
      </c>
      <c r="AA222" t="s">
        <v>4256</v>
      </c>
      <c r="AB222" t="s">
        <v>4265</v>
      </c>
      <c r="AC222">
        <v>0</v>
      </c>
      <c r="AD222">
        <v>522</v>
      </c>
      <c r="AE222">
        <v>1</v>
      </c>
      <c r="AF222" t="s">
        <v>4268</v>
      </c>
      <c r="AG222" t="s">
        <v>4498</v>
      </c>
      <c r="AI222" t="s">
        <v>5568</v>
      </c>
      <c r="AJ222">
        <v>208</v>
      </c>
      <c r="AK222" t="s">
        <v>6270</v>
      </c>
      <c r="AL222">
        <v>2</v>
      </c>
      <c r="AM222">
        <v>0</v>
      </c>
      <c r="AN222">
        <v>92.25</v>
      </c>
      <c r="AS222" t="s">
        <v>6298</v>
      </c>
      <c r="AT222">
        <v>15600</v>
      </c>
      <c r="AX222" t="s">
        <v>6387</v>
      </c>
      <c r="BA222" t="s">
        <v>6477</v>
      </c>
      <c r="BD222" t="s">
        <v>230</v>
      </c>
      <c r="BE222" t="s">
        <v>6702</v>
      </c>
    </row>
    <row r="223" spans="1:57">
      <c r="A223" s="1">
        <f>HYPERLINK("https://lsnyc.legalserver.org/matter/dynamic-profile/view/1915113","19-1915113")</f>
        <v>0</v>
      </c>
      <c r="B223" t="s">
        <v>57</v>
      </c>
      <c r="C223" t="s">
        <v>87</v>
      </c>
      <c r="D223" t="s">
        <v>214</v>
      </c>
      <c r="E223" t="s">
        <v>275</v>
      </c>
      <c r="G223" t="s">
        <v>706</v>
      </c>
      <c r="H223" t="s">
        <v>1379</v>
      </c>
      <c r="J223" t="s">
        <v>2268</v>
      </c>
      <c r="K223" t="s">
        <v>3022</v>
      </c>
      <c r="L223" t="s">
        <v>3329</v>
      </c>
      <c r="M223" t="s">
        <v>3379</v>
      </c>
      <c r="N223">
        <v>10451</v>
      </c>
      <c r="O223" t="s">
        <v>3380</v>
      </c>
      <c r="P223" t="s">
        <v>3381</v>
      </c>
      <c r="Q223" t="s">
        <v>3384</v>
      </c>
      <c r="R223" t="s">
        <v>3590</v>
      </c>
      <c r="S223">
        <v>8</v>
      </c>
      <c r="T223" t="s">
        <v>4197</v>
      </c>
      <c r="U223" t="s">
        <v>4225</v>
      </c>
      <c r="W223" t="s">
        <v>4239</v>
      </c>
      <c r="X223" t="s">
        <v>3382</v>
      </c>
      <c r="Y223" t="s">
        <v>3382</v>
      </c>
      <c r="AA223" t="s">
        <v>4256</v>
      </c>
      <c r="AC223">
        <v>0</v>
      </c>
      <c r="AD223">
        <v>1101</v>
      </c>
      <c r="AE223">
        <v>0</v>
      </c>
      <c r="AG223" t="s">
        <v>4499</v>
      </c>
      <c r="AJ223">
        <v>98</v>
      </c>
      <c r="AK223" t="s">
        <v>6267</v>
      </c>
      <c r="AL223">
        <v>1</v>
      </c>
      <c r="AM223">
        <v>4</v>
      </c>
      <c r="AN223">
        <v>51.71</v>
      </c>
      <c r="AS223" t="s">
        <v>6299</v>
      </c>
      <c r="AT223">
        <v>15600</v>
      </c>
      <c r="AX223" t="s">
        <v>6387</v>
      </c>
      <c r="BA223" t="s">
        <v>6477</v>
      </c>
      <c r="BE223" t="s">
        <v>6702</v>
      </c>
    </row>
    <row r="224" spans="1:57">
      <c r="A224" s="1">
        <f>HYPERLINK("https://lsnyc.legalserver.org/matter/dynamic-profile/view/1915203","19-1915203")</f>
        <v>0</v>
      </c>
      <c r="B224" t="s">
        <v>57</v>
      </c>
      <c r="C224" t="s">
        <v>87</v>
      </c>
      <c r="D224" t="s">
        <v>214</v>
      </c>
      <c r="E224" t="s">
        <v>217</v>
      </c>
      <c r="G224" t="s">
        <v>777</v>
      </c>
      <c r="H224" t="s">
        <v>1510</v>
      </c>
      <c r="J224" t="s">
        <v>2269</v>
      </c>
      <c r="K224" t="s">
        <v>3104</v>
      </c>
      <c r="L224" t="s">
        <v>3329</v>
      </c>
      <c r="M224" t="s">
        <v>3379</v>
      </c>
      <c r="N224">
        <v>10451</v>
      </c>
      <c r="O224" t="s">
        <v>3380</v>
      </c>
      <c r="P224" t="s">
        <v>3381</v>
      </c>
      <c r="Q224" t="s">
        <v>3384</v>
      </c>
      <c r="R224" t="s">
        <v>3591</v>
      </c>
      <c r="S224">
        <v>14</v>
      </c>
      <c r="T224" t="s">
        <v>4196</v>
      </c>
      <c r="U224" t="s">
        <v>4225</v>
      </c>
      <c r="W224" t="s">
        <v>4239</v>
      </c>
      <c r="X224" t="s">
        <v>3382</v>
      </c>
      <c r="Y224" t="s">
        <v>3382</v>
      </c>
      <c r="AA224" t="s">
        <v>4256</v>
      </c>
      <c r="AB224" t="s">
        <v>4261</v>
      </c>
      <c r="AC224">
        <v>0</v>
      </c>
      <c r="AD224">
        <v>231</v>
      </c>
      <c r="AE224">
        <v>0</v>
      </c>
      <c r="AG224" t="s">
        <v>4500</v>
      </c>
      <c r="AI224" t="s">
        <v>5569</v>
      </c>
      <c r="AJ224">
        <v>92</v>
      </c>
      <c r="AK224" t="s">
        <v>6270</v>
      </c>
      <c r="AL224">
        <v>2</v>
      </c>
      <c r="AM224">
        <v>2</v>
      </c>
      <c r="AN224">
        <v>125.41</v>
      </c>
      <c r="AR224" t="s">
        <v>6290</v>
      </c>
      <c r="AS224" t="s">
        <v>6298</v>
      </c>
      <c r="AT224">
        <v>32292</v>
      </c>
      <c r="AX224" t="s">
        <v>6387</v>
      </c>
      <c r="BA224" t="s">
        <v>6477</v>
      </c>
      <c r="BE224" t="s">
        <v>6702</v>
      </c>
    </row>
    <row r="225" spans="1:57">
      <c r="A225" s="1">
        <f>HYPERLINK("https://lsnyc.legalserver.org/matter/dynamic-profile/view/1890882","19-1890882")</f>
        <v>0</v>
      </c>
      <c r="B225" t="s">
        <v>57</v>
      </c>
      <c r="C225" t="s">
        <v>88</v>
      </c>
      <c r="D225" t="s">
        <v>215</v>
      </c>
      <c r="E225" t="s">
        <v>311</v>
      </c>
      <c r="F225" t="s">
        <v>281</v>
      </c>
      <c r="G225" t="s">
        <v>778</v>
      </c>
      <c r="H225" t="s">
        <v>1511</v>
      </c>
      <c r="J225" t="s">
        <v>2198</v>
      </c>
      <c r="K225" t="s">
        <v>2998</v>
      </c>
      <c r="L225" t="s">
        <v>3329</v>
      </c>
      <c r="M225" t="s">
        <v>3379</v>
      </c>
      <c r="N225">
        <v>10468</v>
      </c>
      <c r="O225" t="s">
        <v>3380</v>
      </c>
      <c r="P225" t="s">
        <v>3380</v>
      </c>
      <c r="Q225" t="s">
        <v>3386</v>
      </c>
      <c r="S225">
        <v>20</v>
      </c>
      <c r="T225" t="s">
        <v>4199</v>
      </c>
      <c r="U225" t="s">
        <v>4225</v>
      </c>
      <c r="V225" t="s">
        <v>4234</v>
      </c>
      <c r="W225" t="s">
        <v>4239</v>
      </c>
      <c r="X225" t="s">
        <v>3382</v>
      </c>
      <c r="Y225" t="s">
        <v>3382</v>
      </c>
      <c r="AA225" t="s">
        <v>4256</v>
      </c>
      <c r="AC225">
        <v>0</v>
      </c>
      <c r="AD225">
        <v>1508</v>
      </c>
      <c r="AE225">
        <v>1</v>
      </c>
      <c r="AF225" t="s">
        <v>4272</v>
      </c>
      <c r="AG225" t="s">
        <v>4501</v>
      </c>
      <c r="AH225" t="s">
        <v>5261</v>
      </c>
      <c r="AI225" t="s">
        <v>5570</v>
      </c>
      <c r="AJ225">
        <v>46</v>
      </c>
      <c r="AK225" t="s">
        <v>6267</v>
      </c>
      <c r="AL225">
        <v>3</v>
      </c>
      <c r="AM225">
        <v>0</v>
      </c>
      <c r="AN225">
        <v>39.83</v>
      </c>
      <c r="AQ225" t="s">
        <v>6287</v>
      </c>
      <c r="AR225" t="s">
        <v>5312</v>
      </c>
      <c r="AS225" t="s">
        <v>6298</v>
      </c>
      <c r="AT225">
        <v>8496</v>
      </c>
      <c r="AW225" t="s">
        <v>6362</v>
      </c>
      <c r="AX225" t="s">
        <v>6385</v>
      </c>
      <c r="BA225" t="s">
        <v>6522</v>
      </c>
      <c r="BD225" t="s">
        <v>508</v>
      </c>
    </row>
    <row r="226" spans="1:57">
      <c r="A226" s="1">
        <f>HYPERLINK("https://lsnyc.legalserver.org/matter/dynamic-profile/view/1915262","19-1915262")</f>
        <v>0</v>
      </c>
      <c r="B226" t="s">
        <v>57</v>
      </c>
      <c r="C226" t="s">
        <v>88</v>
      </c>
      <c r="D226" t="s">
        <v>214</v>
      </c>
      <c r="E226" t="s">
        <v>217</v>
      </c>
      <c r="G226" t="s">
        <v>779</v>
      </c>
      <c r="H226" t="s">
        <v>1512</v>
      </c>
      <c r="J226" t="s">
        <v>2270</v>
      </c>
      <c r="K226" t="s">
        <v>3105</v>
      </c>
      <c r="L226" t="s">
        <v>3329</v>
      </c>
      <c r="M226" t="s">
        <v>3379</v>
      </c>
      <c r="N226">
        <v>10468</v>
      </c>
      <c r="O226" t="s">
        <v>3380</v>
      </c>
      <c r="P226" t="s">
        <v>3381</v>
      </c>
      <c r="Q226" t="s">
        <v>3383</v>
      </c>
      <c r="R226" t="s">
        <v>3592</v>
      </c>
      <c r="S226">
        <v>0</v>
      </c>
      <c r="T226" t="s">
        <v>4196</v>
      </c>
      <c r="W226" t="s">
        <v>4238</v>
      </c>
      <c r="X226" t="s">
        <v>3382</v>
      </c>
      <c r="Y226" t="s">
        <v>3382</v>
      </c>
      <c r="AA226" t="s">
        <v>4256</v>
      </c>
      <c r="AC226">
        <v>0</v>
      </c>
      <c r="AD226">
        <v>930</v>
      </c>
      <c r="AE226">
        <v>0.5</v>
      </c>
      <c r="AG226" t="s">
        <v>4502</v>
      </c>
      <c r="AI226" t="s">
        <v>5571</v>
      </c>
      <c r="AJ226">
        <v>0</v>
      </c>
      <c r="AK226" t="s">
        <v>6266</v>
      </c>
      <c r="AL226">
        <v>2</v>
      </c>
      <c r="AM226">
        <v>2</v>
      </c>
      <c r="AN226">
        <v>58.56</v>
      </c>
      <c r="AR226" t="s">
        <v>6289</v>
      </c>
      <c r="AS226" t="s">
        <v>6298</v>
      </c>
      <c r="AT226">
        <v>15080</v>
      </c>
      <c r="AX226" t="s">
        <v>6385</v>
      </c>
      <c r="BA226" t="s">
        <v>6483</v>
      </c>
      <c r="BD226" t="s">
        <v>217</v>
      </c>
      <c r="BE226" t="s">
        <v>6702</v>
      </c>
    </row>
    <row r="227" spans="1:57">
      <c r="A227" s="1">
        <f>HYPERLINK("https://lsnyc.legalserver.org/matter/dynamic-profile/view/1914364","19-1914364")</f>
        <v>0</v>
      </c>
      <c r="B227" t="s">
        <v>57</v>
      </c>
      <c r="C227" t="s">
        <v>88</v>
      </c>
      <c r="D227" t="s">
        <v>214</v>
      </c>
      <c r="E227" t="s">
        <v>224</v>
      </c>
      <c r="G227" t="s">
        <v>780</v>
      </c>
      <c r="H227" t="s">
        <v>1349</v>
      </c>
      <c r="J227" t="s">
        <v>2271</v>
      </c>
      <c r="K227">
        <v>17</v>
      </c>
      <c r="L227" t="s">
        <v>3329</v>
      </c>
      <c r="M227" t="s">
        <v>3379</v>
      </c>
      <c r="N227">
        <v>10467</v>
      </c>
      <c r="O227" t="s">
        <v>3380</v>
      </c>
      <c r="P227" t="s">
        <v>3381</v>
      </c>
      <c r="Q227" t="s">
        <v>3383</v>
      </c>
      <c r="R227" t="s">
        <v>3593</v>
      </c>
      <c r="S227">
        <v>6</v>
      </c>
      <c r="T227" t="s">
        <v>4196</v>
      </c>
      <c r="U227" t="s">
        <v>4223</v>
      </c>
      <c r="W227" t="s">
        <v>4238</v>
      </c>
      <c r="X227" t="s">
        <v>3382</v>
      </c>
      <c r="Y227" t="s">
        <v>3382</v>
      </c>
      <c r="AA227" t="s">
        <v>4256</v>
      </c>
      <c r="AB227" t="s">
        <v>4261</v>
      </c>
      <c r="AC227">
        <v>0</v>
      </c>
      <c r="AD227">
        <v>1152</v>
      </c>
      <c r="AE227">
        <v>1.75</v>
      </c>
      <c r="AG227" t="s">
        <v>4503</v>
      </c>
      <c r="AH227" t="s">
        <v>5262</v>
      </c>
      <c r="AI227" t="s">
        <v>5572</v>
      </c>
      <c r="AJ227">
        <v>21</v>
      </c>
      <c r="AK227" t="s">
        <v>6267</v>
      </c>
      <c r="AL227">
        <v>1</v>
      </c>
      <c r="AM227">
        <v>3</v>
      </c>
      <c r="AN227">
        <v>63.61</v>
      </c>
      <c r="AR227" t="s">
        <v>5312</v>
      </c>
      <c r="AS227" t="s">
        <v>6299</v>
      </c>
      <c r="AT227">
        <v>16380</v>
      </c>
      <c r="AX227" t="s">
        <v>6385</v>
      </c>
      <c r="BA227" t="s">
        <v>6489</v>
      </c>
      <c r="BD227" t="s">
        <v>227</v>
      </c>
      <c r="BE227" t="s">
        <v>6702</v>
      </c>
    </row>
    <row r="228" spans="1:57">
      <c r="A228" s="1">
        <f>HYPERLINK("https://lsnyc.legalserver.org/matter/dynamic-profile/view/1915337","19-1915337")</f>
        <v>0</v>
      </c>
      <c r="B228" t="s">
        <v>57</v>
      </c>
      <c r="C228" t="s">
        <v>88</v>
      </c>
      <c r="D228" t="s">
        <v>214</v>
      </c>
      <c r="E228" t="s">
        <v>217</v>
      </c>
      <c r="G228" t="s">
        <v>614</v>
      </c>
      <c r="H228" t="s">
        <v>1401</v>
      </c>
      <c r="J228" t="s">
        <v>2272</v>
      </c>
      <c r="K228">
        <v>22</v>
      </c>
      <c r="L228" t="s">
        <v>3329</v>
      </c>
      <c r="M228" t="s">
        <v>3379</v>
      </c>
      <c r="N228">
        <v>10467</v>
      </c>
      <c r="O228" t="s">
        <v>3380</v>
      </c>
      <c r="P228" t="s">
        <v>3381</v>
      </c>
      <c r="Q228" t="s">
        <v>3383</v>
      </c>
      <c r="R228" t="s">
        <v>3594</v>
      </c>
      <c r="S228">
        <v>3</v>
      </c>
      <c r="T228" t="s">
        <v>4196</v>
      </c>
      <c r="U228" t="s">
        <v>4223</v>
      </c>
      <c r="W228" t="s">
        <v>4238</v>
      </c>
      <c r="X228" t="s">
        <v>3382</v>
      </c>
      <c r="Y228" t="s">
        <v>3382</v>
      </c>
      <c r="AA228" t="s">
        <v>4256</v>
      </c>
      <c r="AB228" t="s">
        <v>4261</v>
      </c>
      <c r="AC228">
        <v>0</v>
      </c>
      <c r="AD228">
        <v>1365</v>
      </c>
      <c r="AE228">
        <v>2</v>
      </c>
      <c r="AG228" t="s">
        <v>4504</v>
      </c>
      <c r="AH228" t="s">
        <v>5263</v>
      </c>
      <c r="AI228" t="s">
        <v>5573</v>
      </c>
      <c r="AJ228">
        <v>50</v>
      </c>
      <c r="AK228" t="s">
        <v>6267</v>
      </c>
      <c r="AL228">
        <v>1</v>
      </c>
      <c r="AM228">
        <v>1</v>
      </c>
      <c r="AN228">
        <v>123</v>
      </c>
      <c r="AR228" t="s">
        <v>5312</v>
      </c>
      <c r="AT228">
        <v>20800</v>
      </c>
      <c r="AX228" t="s">
        <v>6385</v>
      </c>
      <c r="BA228" t="s">
        <v>6477</v>
      </c>
      <c r="BD228" t="s">
        <v>218</v>
      </c>
      <c r="BE228" t="s">
        <v>6702</v>
      </c>
    </row>
    <row r="229" spans="1:57">
      <c r="A229" s="1">
        <f>HYPERLINK("https://lsnyc.legalserver.org/matter/dynamic-profile/view/1914927","19-1914927")</f>
        <v>0</v>
      </c>
      <c r="B229" t="s">
        <v>57</v>
      </c>
      <c r="C229" t="s">
        <v>88</v>
      </c>
      <c r="D229" t="s">
        <v>214</v>
      </c>
      <c r="E229" t="s">
        <v>243</v>
      </c>
      <c r="G229" t="s">
        <v>781</v>
      </c>
      <c r="H229" t="s">
        <v>1513</v>
      </c>
      <c r="J229" t="s">
        <v>2273</v>
      </c>
      <c r="K229" t="s">
        <v>3007</v>
      </c>
      <c r="L229" t="s">
        <v>3329</v>
      </c>
      <c r="M229" t="s">
        <v>3379</v>
      </c>
      <c r="N229">
        <v>10466</v>
      </c>
      <c r="O229" t="s">
        <v>3381</v>
      </c>
      <c r="P229" t="s">
        <v>3381</v>
      </c>
      <c r="Q229" t="s">
        <v>3385</v>
      </c>
      <c r="R229" t="s">
        <v>3595</v>
      </c>
      <c r="S229">
        <v>6</v>
      </c>
      <c r="T229" t="s">
        <v>4196</v>
      </c>
      <c r="U229" t="s">
        <v>4223</v>
      </c>
      <c r="W229" t="s">
        <v>4239</v>
      </c>
      <c r="X229" t="s">
        <v>3382</v>
      </c>
      <c r="Y229" t="s">
        <v>3382</v>
      </c>
      <c r="AA229" t="s">
        <v>4256</v>
      </c>
      <c r="AB229" t="s">
        <v>4265</v>
      </c>
      <c r="AC229">
        <v>0</v>
      </c>
      <c r="AD229">
        <v>1120</v>
      </c>
      <c r="AE229">
        <v>1.25</v>
      </c>
      <c r="AG229" t="s">
        <v>4358</v>
      </c>
      <c r="AH229" t="s">
        <v>5264</v>
      </c>
      <c r="AI229" t="s">
        <v>5574</v>
      </c>
      <c r="AJ229">
        <v>0</v>
      </c>
      <c r="AK229" t="s">
        <v>6267</v>
      </c>
      <c r="AL229">
        <v>1</v>
      </c>
      <c r="AM229">
        <v>0</v>
      </c>
      <c r="AN229">
        <v>73.98</v>
      </c>
      <c r="AR229" t="s">
        <v>3391</v>
      </c>
      <c r="AS229" t="s">
        <v>6298</v>
      </c>
      <c r="AT229">
        <v>9240</v>
      </c>
      <c r="AX229" t="s">
        <v>6391</v>
      </c>
      <c r="BA229" t="s">
        <v>6499</v>
      </c>
      <c r="BD229" t="s">
        <v>217</v>
      </c>
    </row>
    <row r="230" spans="1:57">
      <c r="A230" s="1">
        <f>HYPERLINK("https://lsnyc.legalserver.org/matter/dynamic-profile/view/1915006","19-1915006")</f>
        <v>0</v>
      </c>
      <c r="B230" t="s">
        <v>57</v>
      </c>
      <c r="C230" t="s">
        <v>88</v>
      </c>
      <c r="D230" t="s">
        <v>214</v>
      </c>
      <c r="E230" t="s">
        <v>237</v>
      </c>
      <c r="G230" t="s">
        <v>782</v>
      </c>
      <c r="H230" t="s">
        <v>1514</v>
      </c>
      <c r="J230" t="s">
        <v>2274</v>
      </c>
      <c r="K230" t="s">
        <v>3007</v>
      </c>
      <c r="L230" t="s">
        <v>3329</v>
      </c>
      <c r="M230" t="s">
        <v>3379</v>
      </c>
      <c r="N230">
        <v>10466</v>
      </c>
      <c r="O230" t="s">
        <v>3380</v>
      </c>
      <c r="P230" t="s">
        <v>3381</v>
      </c>
      <c r="Q230" t="s">
        <v>3385</v>
      </c>
      <c r="R230" t="s">
        <v>3596</v>
      </c>
      <c r="S230">
        <v>6</v>
      </c>
      <c r="T230" t="s">
        <v>4196</v>
      </c>
      <c r="U230" t="s">
        <v>4223</v>
      </c>
      <c r="W230" t="s">
        <v>4239</v>
      </c>
      <c r="X230" t="s">
        <v>3382</v>
      </c>
      <c r="Y230" t="s">
        <v>3382</v>
      </c>
      <c r="AA230" t="s">
        <v>4256</v>
      </c>
      <c r="AC230">
        <v>0</v>
      </c>
      <c r="AD230">
        <v>1121</v>
      </c>
      <c r="AE230">
        <v>2.5</v>
      </c>
      <c r="AG230" t="s">
        <v>4358</v>
      </c>
      <c r="AI230" t="s">
        <v>5575</v>
      </c>
      <c r="AJ230">
        <v>10</v>
      </c>
      <c r="AK230" t="s">
        <v>6267</v>
      </c>
      <c r="AL230">
        <v>1</v>
      </c>
      <c r="AM230">
        <v>0</v>
      </c>
      <c r="AN230">
        <v>73.02</v>
      </c>
      <c r="AR230" t="s">
        <v>6292</v>
      </c>
      <c r="AS230" t="s">
        <v>6298</v>
      </c>
      <c r="AT230">
        <v>9120</v>
      </c>
      <c r="AX230" t="s">
        <v>6386</v>
      </c>
      <c r="BA230" t="s">
        <v>6499</v>
      </c>
      <c r="BD230" t="s">
        <v>275</v>
      </c>
      <c r="BE230" t="s">
        <v>6702</v>
      </c>
    </row>
    <row r="231" spans="1:57">
      <c r="A231" s="1">
        <f>HYPERLINK("https://lsnyc.legalserver.org/matter/dynamic-profile/view/1914418","19-1914418")</f>
        <v>0</v>
      </c>
      <c r="B231" t="s">
        <v>57</v>
      </c>
      <c r="C231" t="s">
        <v>88</v>
      </c>
      <c r="D231" t="s">
        <v>214</v>
      </c>
      <c r="E231" t="s">
        <v>224</v>
      </c>
      <c r="G231" t="s">
        <v>783</v>
      </c>
      <c r="H231" t="s">
        <v>1340</v>
      </c>
      <c r="J231" t="s">
        <v>2275</v>
      </c>
      <c r="K231" t="s">
        <v>3033</v>
      </c>
      <c r="L231" t="s">
        <v>3329</v>
      </c>
      <c r="M231" t="s">
        <v>3379</v>
      </c>
      <c r="N231">
        <v>10457</v>
      </c>
      <c r="O231" t="s">
        <v>3380</v>
      </c>
      <c r="P231" t="s">
        <v>3381</v>
      </c>
      <c r="Q231" t="s">
        <v>3383</v>
      </c>
      <c r="R231" t="s">
        <v>3597</v>
      </c>
      <c r="S231">
        <v>25</v>
      </c>
      <c r="T231" t="s">
        <v>4197</v>
      </c>
      <c r="U231" t="s">
        <v>4223</v>
      </c>
      <c r="W231" t="s">
        <v>4238</v>
      </c>
      <c r="X231" t="s">
        <v>3382</v>
      </c>
      <c r="Y231" t="s">
        <v>3382</v>
      </c>
      <c r="AA231" t="s">
        <v>4256</v>
      </c>
      <c r="AB231" t="s">
        <v>4261</v>
      </c>
      <c r="AC231">
        <v>0</v>
      </c>
      <c r="AD231">
        <v>924.22</v>
      </c>
      <c r="AE231">
        <v>5</v>
      </c>
      <c r="AG231" t="s">
        <v>4505</v>
      </c>
      <c r="AI231" t="s">
        <v>5576</v>
      </c>
      <c r="AJ231">
        <v>43</v>
      </c>
      <c r="AK231" t="s">
        <v>6269</v>
      </c>
      <c r="AL231">
        <v>1</v>
      </c>
      <c r="AM231">
        <v>0</v>
      </c>
      <c r="AN231">
        <v>138.76</v>
      </c>
      <c r="AR231" t="s">
        <v>5312</v>
      </c>
      <c r="AS231" t="s">
        <v>6299</v>
      </c>
      <c r="AT231">
        <v>17331.6</v>
      </c>
      <c r="AX231" t="s">
        <v>6385</v>
      </c>
      <c r="BA231" t="s">
        <v>6477</v>
      </c>
      <c r="BD231" t="s">
        <v>227</v>
      </c>
      <c r="BE231" t="s">
        <v>6702</v>
      </c>
    </row>
    <row r="232" spans="1:57">
      <c r="A232" s="1">
        <f>HYPERLINK("https://lsnyc.legalserver.org/matter/dynamic-profile/view/1893583","19-1893583")</f>
        <v>0</v>
      </c>
      <c r="B232" t="s">
        <v>57</v>
      </c>
      <c r="C232" t="s">
        <v>88</v>
      </c>
      <c r="D232" t="s">
        <v>215</v>
      </c>
      <c r="E232" t="s">
        <v>312</v>
      </c>
      <c r="F232" t="s">
        <v>307</v>
      </c>
      <c r="G232" t="s">
        <v>685</v>
      </c>
      <c r="H232" t="s">
        <v>1515</v>
      </c>
      <c r="J232" t="s">
        <v>2276</v>
      </c>
      <c r="K232" t="s">
        <v>3082</v>
      </c>
      <c r="L232" t="s">
        <v>3329</v>
      </c>
      <c r="M232" t="s">
        <v>3379</v>
      </c>
      <c r="N232">
        <v>10456</v>
      </c>
      <c r="O232" t="s">
        <v>3380</v>
      </c>
      <c r="P232" t="s">
        <v>3380</v>
      </c>
      <c r="Q232" t="s">
        <v>3383</v>
      </c>
      <c r="S232">
        <v>29</v>
      </c>
      <c r="T232" t="s">
        <v>4199</v>
      </c>
      <c r="U232" t="s">
        <v>4223</v>
      </c>
      <c r="V232" t="s">
        <v>4230</v>
      </c>
      <c r="W232" t="s">
        <v>4239</v>
      </c>
      <c r="X232" t="s">
        <v>3382</v>
      </c>
      <c r="AA232" t="s">
        <v>4256</v>
      </c>
      <c r="AC232">
        <v>0</v>
      </c>
      <c r="AD232">
        <v>1004.69</v>
      </c>
      <c r="AE232">
        <v>4.75</v>
      </c>
      <c r="AF232" t="s">
        <v>4268</v>
      </c>
      <c r="AG232" t="s">
        <v>4506</v>
      </c>
      <c r="AH232" t="s">
        <v>5265</v>
      </c>
      <c r="AI232" t="s">
        <v>5577</v>
      </c>
      <c r="AJ232">
        <v>0</v>
      </c>
      <c r="AK232" t="s">
        <v>6267</v>
      </c>
      <c r="AL232">
        <v>2</v>
      </c>
      <c r="AM232">
        <v>0</v>
      </c>
      <c r="AN232">
        <v>156.18</v>
      </c>
      <c r="AQ232" t="s">
        <v>6287</v>
      </c>
      <c r="AR232" t="s">
        <v>6294</v>
      </c>
      <c r="AS232" t="s">
        <v>6298</v>
      </c>
      <c r="AT232">
        <v>26410</v>
      </c>
      <c r="AW232" t="s">
        <v>6363</v>
      </c>
      <c r="AX232" t="s">
        <v>6385</v>
      </c>
      <c r="BA232" t="s">
        <v>6524</v>
      </c>
      <c r="BD232" t="s">
        <v>281</v>
      </c>
    </row>
    <row r="233" spans="1:57">
      <c r="A233" s="1">
        <f>HYPERLINK("https://lsnyc.legalserver.org/matter/dynamic-profile/view/1915331","19-1915331")</f>
        <v>0</v>
      </c>
      <c r="B233" t="s">
        <v>57</v>
      </c>
      <c r="C233" t="s">
        <v>88</v>
      </c>
      <c r="D233" t="s">
        <v>214</v>
      </c>
      <c r="E233" t="s">
        <v>217</v>
      </c>
      <c r="G233" t="s">
        <v>617</v>
      </c>
      <c r="H233" t="s">
        <v>1516</v>
      </c>
      <c r="J233" t="s">
        <v>2153</v>
      </c>
      <c r="K233" t="s">
        <v>3106</v>
      </c>
      <c r="L233" t="s">
        <v>3329</v>
      </c>
      <c r="M233" t="s">
        <v>3379</v>
      </c>
      <c r="N233">
        <v>10451</v>
      </c>
      <c r="O233" t="s">
        <v>3380</v>
      </c>
      <c r="P233" t="s">
        <v>3381</v>
      </c>
      <c r="Q233" t="s">
        <v>3384</v>
      </c>
      <c r="R233" t="s">
        <v>3598</v>
      </c>
      <c r="S233">
        <v>43</v>
      </c>
      <c r="T233" t="s">
        <v>4196</v>
      </c>
      <c r="U233" t="s">
        <v>4224</v>
      </c>
      <c r="W233" t="s">
        <v>4238</v>
      </c>
      <c r="X233" t="s">
        <v>3382</v>
      </c>
      <c r="Y233" t="s">
        <v>3382</v>
      </c>
      <c r="Z233" t="s">
        <v>4239</v>
      </c>
      <c r="AA233" t="s">
        <v>4256</v>
      </c>
      <c r="AB233" t="s">
        <v>4265</v>
      </c>
      <c r="AC233">
        <v>0</v>
      </c>
      <c r="AD233">
        <v>1265</v>
      </c>
      <c r="AE233">
        <v>2.5</v>
      </c>
      <c r="AG233" t="s">
        <v>4507</v>
      </c>
      <c r="AI233" t="s">
        <v>5578</v>
      </c>
      <c r="AJ233">
        <v>100</v>
      </c>
      <c r="AK233" t="s">
        <v>6267</v>
      </c>
      <c r="AL233">
        <v>3</v>
      </c>
      <c r="AM233">
        <v>0</v>
      </c>
      <c r="AN233">
        <v>86.64</v>
      </c>
      <c r="AS233" t="s">
        <v>6298</v>
      </c>
      <c r="AT233">
        <v>18480</v>
      </c>
      <c r="AX233" t="s">
        <v>6385</v>
      </c>
      <c r="BA233" t="s">
        <v>6499</v>
      </c>
      <c r="BD233" t="s">
        <v>218</v>
      </c>
      <c r="BE233" t="s">
        <v>6702</v>
      </c>
    </row>
    <row r="234" spans="1:57">
      <c r="A234" s="1">
        <f>HYPERLINK("https://lsnyc.legalserver.org/matter/dynamic-profile/view/1910401","19-1910401")</f>
        <v>0</v>
      </c>
      <c r="B234" t="s">
        <v>57</v>
      </c>
      <c r="C234" t="s">
        <v>89</v>
      </c>
      <c r="D234" t="s">
        <v>214</v>
      </c>
      <c r="E234" t="s">
        <v>223</v>
      </c>
      <c r="G234" t="s">
        <v>784</v>
      </c>
      <c r="H234" t="s">
        <v>1517</v>
      </c>
      <c r="J234" t="s">
        <v>2277</v>
      </c>
      <c r="K234" t="s">
        <v>3107</v>
      </c>
      <c r="L234" t="s">
        <v>3329</v>
      </c>
      <c r="M234" t="s">
        <v>3379</v>
      </c>
      <c r="N234">
        <v>10469</v>
      </c>
      <c r="O234" t="s">
        <v>3380</v>
      </c>
      <c r="P234" t="s">
        <v>3381</v>
      </c>
      <c r="Q234" t="s">
        <v>3383</v>
      </c>
      <c r="R234" t="s">
        <v>3599</v>
      </c>
      <c r="S234">
        <v>13</v>
      </c>
      <c r="T234" t="s">
        <v>4197</v>
      </c>
      <c r="U234" t="s">
        <v>4223</v>
      </c>
      <c r="W234" t="s">
        <v>4239</v>
      </c>
      <c r="X234" t="s">
        <v>3382</v>
      </c>
      <c r="Y234" t="s">
        <v>3382</v>
      </c>
      <c r="AA234" t="s">
        <v>4256</v>
      </c>
      <c r="AC234">
        <v>0</v>
      </c>
      <c r="AD234">
        <v>0</v>
      </c>
      <c r="AE234">
        <v>21</v>
      </c>
      <c r="AG234" t="s">
        <v>4508</v>
      </c>
      <c r="AJ234">
        <v>2</v>
      </c>
      <c r="AK234" t="s">
        <v>6268</v>
      </c>
      <c r="AL234">
        <v>1</v>
      </c>
      <c r="AM234">
        <v>2</v>
      </c>
      <c r="AN234">
        <v>28.13</v>
      </c>
      <c r="AS234" t="s">
        <v>6298</v>
      </c>
      <c r="AT234">
        <v>6000</v>
      </c>
      <c r="AX234" t="s">
        <v>6387</v>
      </c>
      <c r="BA234" t="s">
        <v>6482</v>
      </c>
      <c r="BD234" t="s">
        <v>237</v>
      </c>
      <c r="BE234" t="s">
        <v>6702</v>
      </c>
    </row>
    <row r="235" spans="1:57">
      <c r="A235" s="1">
        <f>HYPERLINK("https://lsnyc.legalserver.org/matter/dynamic-profile/view/1913152","19-1913152")</f>
        <v>0</v>
      </c>
      <c r="B235" t="s">
        <v>57</v>
      </c>
      <c r="C235" t="s">
        <v>89</v>
      </c>
      <c r="D235" t="s">
        <v>214</v>
      </c>
      <c r="E235" t="s">
        <v>259</v>
      </c>
      <c r="G235" t="s">
        <v>785</v>
      </c>
      <c r="H235" t="s">
        <v>1518</v>
      </c>
      <c r="J235" t="s">
        <v>2278</v>
      </c>
      <c r="K235" t="s">
        <v>3026</v>
      </c>
      <c r="L235" t="s">
        <v>3329</v>
      </c>
      <c r="M235" t="s">
        <v>3379</v>
      </c>
      <c r="N235">
        <v>10468</v>
      </c>
      <c r="O235" t="s">
        <v>3381</v>
      </c>
      <c r="P235" t="s">
        <v>3381</v>
      </c>
      <c r="S235">
        <v>0</v>
      </c>
      <c r="T235" t="s">
        <v>4202</v>
      </c>
      <c r="U235" t="s">
        <v>4228</v>
      </c>
      <c r="W235" t="s">
        <v>4239</v>
      </c>
      <c r="X235" t="s">
        <v>3382</v>
      </c>
      <c r="Y235" t="s">
        <v>3382</v>
      </c>
      <c r="AA235" t="s">
        <v>4259</v>
      </c>
      <c r="AC235">
        <v>0</v>
      </c>
      <c r="AD235">
        <v>0</v>
      </c>
      <c r="AE235">
        <v>4</v>
      </c>
      <c r="AG235" t="s">
        <v>4509</v>
      </c>
      <c r="AI235" t="s">
        <v>5579</v>
      </c>
      <c r="AJ235">
        <v>0</v>
      </c>
      <c r="AL235">
        <v>1</v>
      </c>
      <c r="AM235">
        <v>0</v>
      </c>
      <c r="AN235">
        <v>74.08</v>
      </c>
      <c r="AS235" t="s">
        <v>6299</v>
      </c>
      <c r="AT235">
        <v>9252</v>
      </c>
      <c r="AX235" t="s">
        <v>82</v>
      </c>
      <c r="BA235" t="s">
        <v>6499</v>
      </c>
      <c r="BD235" t="s">
        <v>219</v>
      </c>
    </row>
    <row r="236" spans="1:57">
      <c r="A236" s="1">
        <f>HYPERLINK("https://lsnyc.legalserver.org/matter/dynamic-profile/view/1913011","19-1913011")</f>
        <v>0</v>
      </c>
      <c r="B236" t="s">
        <v>57</v>
      </c>
      <c r="C236" t="s">
        <v>89</v>
      </c>
      <c r="D236" t="s">
        <v>214</v>
      </c>
      <c r="E236" t="s">
        <v>293</v>
      </c>
      <c r="G236" t="s">
        <v>786</v>
      </c>
      <c r="H236" t="s">
        <v>1279</v>
      </c>
      <c r="J236" t="s">
        <v>2279</v>
      </c>
      <c r="K236" t="s">
        <v>3009</v>
      </c>
      <c r="L236" t="s">
        <v>3329</v>
      </c>
      <c r="M236" t="s">
        <v>3379</v>
      </c>
      <c r="N236">
        <v>10462</v>
      </c>
      <c r="O236" t="s">
        <v>3380</v>
      </c>
      <c r="P236" t="s">
        <v>3381</v>
      </c>
      <c r="Q236" t="s">
        <v>3387</v>
      </c>
      <c r="R236" t="s">
        <v>3600</v>
      </c>
      <c r="S236">
        <v>5</v>
      </c>
      <c r="T236" t="s">
        <v>4196</v>
      </c>
      <c r="U236" t="s">
        <v>4224</v>
      </c>
      <c r="W236" t="s">
        <v>4238</v>
      </c>
      <c r="X236" t="s">
        <v>3382</v>
      </c>
      <c r="Y236" t="s">
        <v>3382</v>
      </c>
      <c r="AA236" t="s">
        <v>4256</v>
      </c>
      <c r="AC236">
        <v>0</v>
      </c>
      <c r="AD236">
        <v>1268</v>
      </c>
      <c r="AE236">
        <v>0.5</v>
      </c>
      <c r="AG236" t="s">
        <v>4510</v>
      </c>
      <c r="AI236" t="s">
        <v>5580</v>
      </c>
      <c r="AJ236">
        <v>2719</v>
      </c>
      <c r="AK236" t="s">
        <v>6266</v>
      </c>
      <c r="AL236">
        <v>1</v>
      </c>
      <c r="AM236">
        <v>0</v>
      </c>
      <c r="AN236">
        <v>400.32</v>
      </c>
      <c r="AR236" t="s">
        <v>5312</v>
      </c>
      <c r="AS236" t="s">
        <v>6298</v>
      </c>
      <c r="AT236">
        <v>50000</v>
      </c>
      <c r="AX236" t="s">
        <v>6390</v>
      </c>
      <c r="BA236" t="s">
        <v>6477</v>
      </c>
      <c r="BD236" t="s">
        <v>243</v>
      </c>
      <c r="BE236" t="s">
        <v>6702</v>
      </c>
    </row>
    <row r="237" spans="1:57">
      <c r="A237" s="1">
        <f>HYPERLINK("https://lsnyc.legalserver.org/matter/dynamic-profile/view/1911765","19-1911765")</f>
        <v>0</v>
      </c>
      <c r="B237" t="s">
        <v>57</v>
      </c>
      <c r="C237" t="s">
        <v>89</v>
      </c>
      <c r="D237" t="s">
        <v>214</v>
      </c>
      <c r="E237" t="s">
        <v>313</v>
      </c>
      <c r="G237" t="s">
        <v>777</v>
      </c>
      <c r="H237" t="s">
        <v>1464</v>
      </c>
      <c r="J237" t="s">
        <v>2166</v>
      </c>
      <c r="K237" t="s">
        <v>3108</v>
      </c>
      <c r="L237" t="s">
        <v>3329</v>
      </c>
      <c r="M237" t="s">
        <v>3379</v>
      </c>
      <c r="N237">
        <v>10457</v>
      </c>
      <c r="O237" t="s">
        <v>3380</v>
      </c>
      <c r="P237" t="s">
        <v>3381</v>
      </c>
      <c r="Q237" t="s">
        <v>3384</v>
      </c>
      <c r="R237" t="s">
        <v>3601</v>
      </c>
      <c r="S237">
        <v>5</v>
      </c>
      <c r="T237" t="s">
        <v>4196</v>
      </c>
      <c r="U237" t="s">
        <v>4223</v>
      </c>
      <c r="W237" t="s">
        <v>4238</v>
      </c>
      <c r="X237" t="s">
        <v>3382</v>
      </c>
      <c r="Y237" t="s">
        <v>3382</v>
      </c>
      <c r="AA237" t="s">
        <v>4256</v>
      </c>
      <c r="AC237">
        <v>0</v>
      </c>
      <c r="AD237">
        <v>457</v>
      </c>
      <c r="AE237">
        <v>20.1</v>
      </c>
      <c r="AG237" t="s">
        <v>4511</v>
      </c>
      <c r="AH237" t="s">
        <v>5266</v>
      </c>
      <c r="AJ237">
        <v>281</v>
      </c>
      <c r="AK237" t="s">
        <v>6267</v>
      </c>
      <c r="AL237">
        <v>2</v>
      </c>
      <c r="AM237">
        <v>1</v>
      </c>
      <c r="AN237">
        <v>70.31999999999999</v>
      </c>
      <c r="AR237" t="s">
        <v>6290</v>
      </c>
      <c r="AS237" t="s">
        <v>6298</v>
      </c>
      <c r="AT237">
        <v>15000</v>
      </c>
      <c r="AX237" t="s">
        <v>6390</v>
      </c>
      <c r="BA237" t="s">
        <v>6477</v>
      </c>
      <c r="BD237" t="s">
        <v>218</v>
      </c>
      <c r="BE237" t="s">
        <v>6702</v>
      </c>
    </row>
    <row r="238" spans="1:57">
      <c r="A238" s="1">
        <f>HYPERLINK("https://lsnyc.legalserver.org/matter/dynamic-profile/view/1913869","19-1913869")</f>
        <v>0</v>
      </c>
      <c r="B238" t="s">
        <v>57</v>
      </c>
      <c r="C238" t="s">
        <v>89</v>
      </c>
      <c r="D238" t="s">
        <v>214</v>
      </c>
      <c r="E238" t="s">
        <v>222</v>
      </c>
      <c r="G238" t="s">
        <v>787</v>
      </c>
      <c r="H238" t="s">
        <v>1475</v>
      </c>
      <c r="J238" t="s">
        <v>2280</v>
      </c>
      <c r="K238" t="s">
        <v>3050</v>
      </c>
      <c r="L238" t="s">
        <v>3329</v>
      </c>
      <c r="M238" t="s">
        <v>3379</v>
      </c>
      <c r="N238">
        <v>10457</v>
      </c>
      <c r="O238" t="s">
        <v>3380</v>
      </c>
      <c r="P238" t="s">
        <v>3381</v>
      </c>
      <c r="Q238" t="s">
        <v>3387</v>
      </c>
      <c r="R238" t="s">
        <v>3602</v>
      </c>
      <c r="S238">
        <v>25</v>
      </c>
      <c r="T238" t="s">
        <v>4196</v>
      </c>
      <c r="W238" t="s">
        <v>4238</v>
      </c>
      <c r="X238" t="s">
        <v>3382</v>
      </c>
      <c r="Y238" t="s">
        <v>3382</v>
      </c>
      <c r="AA238" t="s">
        <v>4256</v>
      </c>
      <c r="AC238">
        <v>0</v>
      </c>
      <c r="AD238">
        <v>600</v>
      </c>
      <c r="AE238">
        <v>4.5</v>
      </c>
      <c r="AG238" t="s">
        <v>4512</v>
      </c>
      <c r="AI238" t="s">
        <v>5581</v>
      </c>
      <c r="AJ238">
        <v>60</v>
      </c>
      <c r="AK238" t="s">
        <v>6266</v>
      </c>
      <c r="AL238">
        <v>3</v>
      </c>
      <c r="AM238">
        <v>0</v>
      </c>
      <c r="AN238">
        <v>362.78</v>
      </c>
      <c r="AR238" t="s">
        <v>5312</v>
      </c>
      <c r="AS238" t="s">
        <v>6298</v>
      </c>
      <c r="AT238">
        <v>77380</v>
      </c>
      <c r="AW238" t="s">
        <v>6346</v>
      </c>
      <c r="AX238" t="s">
        <v>6390</v>
      </c>
      <c r="BA238" t="s">
        <v>6525</v>
      </c>
      <c r="BD238" t="s">
        <v>231</v>
      </c>
      <c r="BE238" t="s">
        <v>6702</v>
      </c>
    </row>
    <row r="239" spans="1:57">
      <c r="A239" s="1">
        <f>HYPERLINK("https://lsnyc.legalserver.org/matter/dynamic-profile/view/1915340","19-1915340")</f>
        <v>0</v>
      </c>
      <c r="B239" t="s">
        <v>57</v>
      </c>
      <c r="C239" t="s">
        <v>89</v>
      </c>
      <c r="D239" t="s">
        <v>214</v>
      </c>
      <c r="E239" t="s">
        <v>218</v>
      </c>
      <c r="G239" t="s">
        <v>788</v>
      </c>
      <c r="H239" t="s">
        <v>1519</v>
      </c>
      <c r="J239" t="s">
        <v>2281</v>
      </c>
      <c r="K239">
        <v>304</v>
      </c>
      <c r="L239" t="s">
        <v>3329</v>
      </c>
      <c r="M239" t="s">
        <v>3379</v>
      </c>
      <c r="N239">
        <v>10457</v>
      </c>
      <c r="O239" t="s">
        <v>3380</v>
      </c>
      <c r="P239" t="s">
        <v>3381</v>
      </c>
      <c r="Q239" t="s">
        <v>3387</v>
      </c>
      <c r="R239" t="s">
        <v>3603</v>
      </c>
      <c r="S239">
        <v>2</v>
      </c>
      <c r="T239" t="s">
        <v>4196</v>
      </c>
      <c r="W239" t="s">
        <v>4238</v>
      </c>
      <c r="X239" t="s">
        <v>3382</v>
      </c>
      <c r="Y239" t="s">
        <v>3382</v>
      </c>
      <c r="AA239" t="s">
        <v>4256</v>
      </c>
      <c r="AC239">
        <v>0</v>
      </c>
      <c r="AD239">
        <v>853</v>
      </c>
      <c r="AE239">
        <v>0.3</v>
      </c>
      <c r="AG239" t="s">
        <v>4513</v>
      </c>
      <c r="AH239" t="s">
        <v>5267</v>
      </c>
      <c r="AI239" t="s">
        <v>5582</v>
      </c>
      <c r="AJ239">
        <v>40</v>
      </c>
      <c r="AK239" t="s">
        <v>6267</v>
      </c>
      <c r="AL239">
        <v>1</v>
      </c>
      <c r="AM239">
        <v>0</v>
      </c>
      <c r="AN239">
        <v>54.61</v>
      </c>
      <c r="AS239" t="s">
        <v>6300</v>
      </c>
      <c r="AT239">
        <v>6820.2</v>
      </c>
      <c r="AX239" t="s">
        <v>6390</v>
      </c>
      <c r="BA239" t="s">
        <v>6478</v>
      </c>
      <c r="BD239" t="s">
        <v>218</v>
      </c>
      <c r="BE239" t="s">
        <v>6702</v>
      </c>
    </row>
    <row r="240" spans="1:57">
      <c r="A240" s="1">
        <f>HYPERLINK("https://lsnyc.legalserver.org/matter/dynamic-profile/view/1915353","19-1915353")</f>
        <v>0</v>
      </c>
      <c r="B240" t="s">
        <v>57</v>
      </c>
      <c r="C240" t="s">
        <v>89</v>
      </c>
      <c r="D240" t="s">
        <v>214</v>
      </c>
      <c r="E240" t="s">
        <v>218</v>
      </c>
      <c r="G240" t="s">
        <v>593</v>
      </c>
      <c r="H240" t="s">
        <v>1520</v>
      </c>
      <c r="J240" t="s">
        <v>2282</v>
      </c>
      <c r="K240" t="s">
        <v>2993</v>
      </c>
      <c r="L240" t="s">
        <v>3329</v>
      </c>
      <c r="M240" t="s">
        <v>3379</v>
      </c>
      <c r="N240">
        <v>10457</v>
      </c>
      <c r="O240" t="s">
        <v>3380</v>
      </c>
      <c r="P240" t="s">
        <v>3381</v>
      </c>
      <c r="Q240" t="s">
        <v>3386</v>
      </c>
      <c r="R240" t="s">
        <v>3604</v>
      </c>
      <c r="S240">
        <v>20</v>
      </c>
      <c r="T240" t="s">
        <v>4196</v>
      </c>
      <c r="W240" t="s">
        <v>4238</v>
      </c>
      <c r="X240" t="s">
        <v>3382</v>
      </c>
      <c r="Y240" t="s">
        <v>3382</v>
      </c>
      <c r="AA240" t="s">
        <v>4256</v>
      </c>
      <c r="AC240">
        <v>0</v>
      </c>
      <c r="AD240">
        <v>1188</v>
      </c>
      <c r="AE240">
        <v>0.3</v>
      </c>
      <c r="AG240" t="s">
        <v>4514</v>
      </c>
      <c r="AH240">
        <v>3011205</v>
      </c>
      <c r="AI240" t="s">
        <v>5583</v>
      </c>
      <c r="AJ240">
        <v>108</v>
      </c>
      <c r="AK240" t="s">
        <v>6266</v>
      </c>
      <c r="AL240">
        <v>2</v>
      </c>
      <c r="AM240">
        <v>0</v>
      </c>
      <c r="AN240">
        <v>12.92</v>
      </c>
      <c r="AS240" t="s">
        <v>6299</v>
      </c>
      <c r="AT240">
        <v>2184</v>
      </c>
      <c r="AX240" t="s">
        <v>6390</v>
      </c>
      <c r="BA240" t="s">
        <v>6526</v>
      </c>
      <c r="BD240" t="s">
        <v>218</v>
      </c>
      <c r="BE240" t="s">
        <v>6702</v>
      </c>
    </row>
    <row r="241" spans="1:57">
      <c r="A241" s="1">
        <f>HYPERLINK("https://lsnyc.legalserver.org/matter/dynamic-profile/view/1914487","19-1914487")</f>
        <v>0</v>
      </c>
      <c r="B241" t="s">
        <v>57</v>
      </c>
      <c r="C241" t="s">
        <v>89</v>
      </c>
      <c r="D241" t="s">
        <v>214</v>
      </c>
      <c r="E241" t="s">
        <v>227</v>
      </c>
      <c r="G241" t="s">
        <v>789</v>
      </c>
      <c r="H241" t="s">
        <v>1521</v>
      </c>
      <c r="J241" t="s">
        <v>2283</v>
      </c>
      <c r="K241" t="s">
        <v>3018</v>
      </c>
      <c r="L241" t="s">
        <v>3329</v>
      </c>
      <c r="M241" t="s">
        <v>3379</v>
      </c>
      <c r="N241">
        <v>10454</v>
      </c>
      <c r="O241" t="s">
        <v>3380</v>
      </c>
      <c r="P241" t="s">
        <v>3381</v>
      </c>
      <c r="Q241" t="s">
        <v>3384</v>
      </c>
      <c r="R241" t="s">
        <v>3605</v>
      </c>
      <c r="S241">
        <v>18</v>
      </c>
      <c r="T241" t="s">
        <v>4196</v>
      </c>
      <c r="U241" t="s">
        <v>4224</v>
      </c>
      <c r="W241" t="s">
        <v>4239</v>
      </c>
      <c r="X241" t="s">
        <v>3382</v>
      </c>
      <c r="Y241" t="s">
        <v>3382</v>
      </c>
      <c r="AA241" t="s">
        <v>4256</v>
      </c>
      <c r="AB241" t="s">
        <v>4264</v>
      </c>
      <c r="AC241">
        <v>0</v>
      </c>
      <c r="AD241">
        <v>1650</v>
      </c>
      <c r="AE241">
        <v>1.5</v>
      </c>
      <c r="AG241" t="s">
        <v>4515</v>
      </c>
      <c r="AJ241">
        <v>53</v>
      </c>
      <c r="AK241" t="s">
        <v>6272</v>
      </c>
      <c r="AL241">
        <v>1</v>
      </c>
      <c r="AM241">
        <v>0</v>
      </c>
      <c r="AN241">
        <v>164.04</v>
      </c>
      <c r="AR241" t="s">
        <v>6290</v>
      </c>
      <c r="AS241" t="s">
        <v>6298</v>
      </c>
      <c r="AT241">
        <v>20488</v>
      </c>
      <c r="AX241" t="s">
        <v>6387</v>
      </c>
      <c r="BA241" t="s">
        <v>6477</v>
      </c>
      <c r="BD241" t="s">
        <v>237</v>
      </c>
      <c r="BE241" t="s">
        <v>6702</v>
      </c>
    </row>
    <row r="242" spans="1:57">
      <c r="A242" s="1">
        <f>HYPERLINK("https://lsnyc.legalserver.org/matter/dynamic-profile/view/1912445","19-1912445")</f>
        <v>0</v>
      </c>
      <c r="B242" t="s">
        <v>57</v>
      </c>
      <c r="C242" t="s">
        <v>89</v>
      </c>
      <c r="D242" t="s">
        <v>214</v>
      </c>
      <c r="E242" t="s">
        <v>269</v>
      </c>
      <c r="G242" t="s">
        <v>790</v>
      </c>
      <c r="H242" t="s">
        <v>1522</v>
      </c>
      <c r="J242" t="s">
        <v>2284</v>
      </c>
      <c r="K242" t="s">
        <v>3005</v>
      </c>
      <c r="L242" t="s">
        <v>3329</v>
      </c>
      <c r="M242" t="s">
        <v>3379</v>
      </c>
      <c r="N242">
        <v>10453</v>
      </c>
      <c r="O242" t="s">
        <v>3380</v>
      </c>
      <c r="P242" t="s">
        <v>3381</v>
      </c>
      <c r="Q242" t="s">
        <v>3384</v>
      </c>
      <c r="R242" t="s">
        <v>3606</v>
      </c>
      <c r="S242">
        <v>0</v>
      </c>
      <c r="T242" t="s">
        <v>4196</v>
      </c>
      <c r="U242" t="s">
        <v>4225</v>
      </c>
      <c r="W242" t="s">
        <v>4239</v>
      </c>
      <c r="X242" t="s">
        <v>3382</v>
      </c>
      <c r="Y242" t="s">
        <v>3382</v>
      </c>
      <c r="AA242" t="s">
        <v>4256</v>
      </c>
      <c r="AB242" t="s">
        <v>4261</v>
      </c>
      <c r="AC242">
        <v>0</v>
      </c>
      <c r="AD242">
        <v>1300</v>
      </c>
      <c r="AE242">
        <v>14.4</v>
      </c>
      <c r="AG242" t="s">
        <v>4516</v>
      </c>
      <c r="AI242" t="s">
        <v>5584</v>
      </c>
      <c r="AJ242">
        <v>0</v>
      </c>
      <c r="AL242">
        <v>1</v>
      </c>
      <c r="AM242">
        <v>0</v>
      </c>
      <c r="AN242">
        <v>179.02</v>
      </c>
      <c r="AS242" t="s">
        <v>6299</v>
      </c>
      <c r="AT242">
        <v>22360</v>
      </c>
      <c r="AX242" t="s">
        <v>6387</v>
      </c>
      <c r="BA242" t="s">
        <v>6477</v>
      </c>
      <c r="BD242" t="s">
        <v>217</v>
      </c>
      <c r="BE242" t="s">
        <v>6702</v>
      </c>
    </row>
    <row r="243" spans="1:57">
      <c r="A243" s="1">
        <f>HYPERLINK("https://lsnyc.legalserver.org/matter/dynamic-profile/view/1910464","19-1910464")</f>
        <v>0</v>
      </c>
      <c r="B243" t="s">
        <v>57</v>
      </c>
      <c r="C243" t="s">
        <v>89</v>
      </c>
      <c r="D243" t="s">
        <v>214</v>
      </c>
      <c r="E243" t="s">
        <v>223</v>
      </c>
      <c r="G243" t="s">
        <v>791</v>
      </c>
      <c r="H243" t="s">
        <v>1340</v>
      </c>
      <c r="J243" t="s">
        <v>2153</v>
      </c>
      <c r="K243" t="s">
        <v>3015</v>
      </c>
      <c r="L243" t="s">
        <v>3329</v>
      </c>
      <c r="M243" t="s">
        <v>3379</v>
      </c>
      <c r="N243">
        <v>10451</v>
      </c>
      <c r="O243" t="s">
        <v>3382</v>
      </c>
      <c r="P243" t="s">
        <v>3381</v>
      </c>
      <c r="Q243" t="s">
        <v>3394</v>
      </c>
      <c r="R243" t="s">
        <v>3607</v>
      </c>
      <c r="S243">
        <v>0</v>
      </c>
      <c r="T243" t="s">
        <v>4196</v>
      </c>
      <c r="U243" t="s">
        <v>4223</v>
      </c>
      <c r="W243" t="s">
        <v>4239</v>
      </c>
      <c r="X243" t="s">
        <v>3382</v>
      </c>
      <c r="Y243" t="s">
        <v>3382</v>
      </c>
      <c r="AA243" t="s">
        <v>4256</v>
      </c>
      <c r="AC243">
        <v>0</v>
      </c>
      <c r="AD243">
        <v>0</v>
      </c>
      <c r="AE243">
        <v>27.1</v>
      </c>
      <c r="AG243" t="s">
        <v>4517</v>
      </c>
      <c r="AH243" t="s">
        <v>5268</v>
      </c>
      <c r="AI243" t="s">
        <v>5585</v>
      </c>
      <c r="AJ243">
        <v>0</v>
      </c>
      <c r="AL243">
        <v>2</v>
      </c>
      <c r="AM243">
        <v>0</v>
      </c>
      <c r="AN243">
        <v>92.25</v>
      </c>
      <c r="AR243" t="s">
        <v>6290</v>
      </c>
      <c r="AS243" t="s">
        <v>6299</v>
      </c>
      <c r="AT243">
        <v>15600</v>
      </c>
      <c r="AX243" t="s">
        <v>6387</v>
      </c>
      <c r="BA243" t="s">
        <v>6477</v>
      </c>
      <c r="BD243" t="s">
        <v>275</v>
      </c>
      <c r="BE243" t="s">
        <v>6703</v>
      </c>
    </row>
    <row r="244" spans="1:57">
      <c r="A244" s="1">
        <f>HYPERLINK("https://lsnyc.legalserver.org/matter/dynamic-profile/view/1897674","19-1897674")</f>
        <v>0</v>
      </c>
      <c r="B244" t="s">
        <v>57</v>
      </c>
      <c r="C244" t="s">
        <v>90</v>
      </c>
      <c r="D244" t="s">
        <v>214</v>
      </c>
      <c r="E244" t="s">
        <v>285</v>
      </c>
      <c r="G244" t="s">
        <v>792</v>
      </c>
      <c r="H244" t="s">
        <v>1523</v>
      </c>
      <c r="J244" t="s">
        <v>2285</v>
      </c>
      <c r="K244">
        <v>2</v>
      </c>
      <c r="L244" t="s">
        <v>3329</v>
      </c>
      <c r="M244" t="s">
        <v>3379</v>
      </c>
      <c r="N244">
        <v>10472</v>
      </c>
      <c r="O244" t="s">
        <v>3380</v>
      </c>
      <c r="P244" t="s">
        <v>3380</v>
      </c>
      <c r="Q244" t="s">
        <v>3384</v>
      </c>
      <c r="R244" t="s">
        <v>3608</v>
      </c>
      <c r="S244">
        <v>2</v>
      </c>
      <c r="T244" t="s">
        <v>4197</v>
      </c>
      <c r="W244" t="s">
        <v>4239</v>
      </c>
      <c r="X244" t="s">
        <v>3382</v>
      </c>
      <c r="Y244" t="s">
        <v>3382</v>
      </c>
      <c r="AA244" t="s">
        <v>4256</v>
      </c>
      <c r="AC244">
        <v>0</v>
      </c>
      <c r="AD244">
        <v>0</v>
      </c>
      <c r="AE244">
        <v>0</v>
      </c>
      <c r="AG244" t="s">
        <v>4518</v>
      </c>
      <c r="AI244" t="s">
        <v>5586</v>
      </c>
      <c r="AJ244">
        <v>2</v>
      </c>
      <c r="AK244" t="s">
        <v>6266</v>
      </c>
      <c r="AL244">
        <v>2</v>
      </c>
      <c r="AM244">
        <v>2</v>
      </c>
      <c r="AN244">
        <v>77.67</v>
      </c>
      <c r="AR244" t="s">
        <v>6291</v>
      </c>
      <c r="AS244" t="s">
        <v>6298</v>
      </c>
      <c r="AT244">
        <v>20000</v>
      </c>
      <c r="AX244" t="s">
        <v>6395</v>
      </c>
      <c r="BA244" t="s">
        <v>6473</v>
      </c>
    </row>
    <row r="245" spans="1:57">
      <c r="A245" s="1">
        <f>HYPERLINK("https://lsnyc.legalserver.org/matter/dynamic-profile/view/1901903","19-1901903")</f>
        <v>0</v>
      </c>
      <c r="B245" t="s">
        <v>57</v>
      </c>
      <c r="C245" t="s">
        <v>91</v>
      </c>
      <c r="D245" t="s">
        <v>214</v>
      </c>
      <c r="E245" t="s">
        <v>290</v>
      </c>
      <c r="G245" t="s">
        <v>793</v>
      </c>
      <c r="H245" t="s">
        <v>1524</v>
      </c>
      <c r="J245" t="s">
        <v>2286</v>
      </c>
      <c r="K245">
        <v>614</v>
      </c>
      <c r="L245" t="s">
        <v>3329</v>
      </c>
      <c r="M245" t="s">
        <v>3379</v>
      </c>
      <c r="N245">
        <v>10473</v>
      </c>
      <c r="O245" t="s">
        <v>3380</v>
      </c>
      <c r="P245" t="s">
        <v>3381</v>
      </c>
      <c r="S245">
        <v>3</v>
      </c>
      <c r="U245" t="s">
        <v>4225</v>
      </c>
      <c r="W245" t="s">
        <v>4239</v>
      </c>
      <c r="X245" t="s">
        <v>3382</v>
      </c>
      <c r="AA245" t="s">
        <v>4256</v>
      </c>
      <c r="AC245">
        <v>0</v>
      </c>
      <c r="AD245">
        <v>12000</v>
      </c>
      <c r="AE245">
        <v>0.3</v>
      </c>
      <c r="AG245" t="s">
        <v>4519</v>
      </c>
      <c r="AJ245">
        <v>0</v>
      </c>
      <c r="AL245">
        <v>1</v>
      </c>
      <c r="AM245">
        <v>2</v>
      </c>
      <c r="AN245">
        <v>150.02</v>
      </c>
      <c r="AS245" t="s">
        <v>6298</v>
      </c>
      <c r="AT245">
        <v>32000</v>
      </c>
      <c r="AW245" t="s">
        <v>6351</v>
      </c>
      <c r="AX245" t="s">
        <v>6387</v>
      </c>
      <c r="BA245" t="s">
        <v>6477</v>
      </c>
      <c r="BD245" t="s">
        <v>6636</v>
      </c>
      <c r="BE245" t="s">
        <v>6702</v>
      </c>
    </row>
    <row r="246" spans="1:57">
      <c r="A246" s="1">
        <f>HYPERLINK("https://lsnyc.legalserver.org/matter/dynamic-profile/view/1899098","19-1899098")</f>
        <v>0</v>
      </c>
      <c r="B246" t="s">
        <v>57</v>
      </c>
      <c r="C246" t="s">
        <v>91</v>
      </c>
      <c r="D246" t="s">
        <v>214</v>
      </c>
      <c r="E246" t="s">
        <v>314</v>
      </c>
      <c r="G246" t="s">
        <v>794</v>
      </c>
      <c r="H246" t="s">
        <v>1525</v>
      </c>
      <c r="J246" t="s">
        <v>2287</v>
      </c>
      <c r="K246">
        <v>2</v>
      </c>
      <c r="L246" t="s">
        <v>3329</v>
      </c>
      <c r="M246" t="s">
        <v>3379</v>
      </c>
      <c r="N246">
        <v>10469</v>
      </c>
      <c r="O246" t="s">
        <v>3381</v>
      </c>
      <c r="P246" t="s">
        <v>3381</v>
      </c>
      <c r="R246" t="s">
        <v>3609</v>
      </c>
      <c r="S246">
        <v>0</v>
      </c>
      <c r="U246" t="s">
        <v>4225</v>
      </c>
      <c r="W246" t="s">
        <v>4239</v>
      </c>
      <c r="X246" t="s">
        <v>3382</v>
      </c>
      <c r="AA246" t="s">
        <v>4256</v>
      </c>
      <c r="AC246">
        <v>0</v>
      </c>
      <c r="AD246">
        <v>0</v>
      </c>
      <c r="AE246">
        <v>0.3</v>
      </c>
      <c r="AG246" t="s">
        <v>4520</v>
      </c>
      <c r="AI246" t="s">
        <v>5587</v>
      </c>
      <c r="AJ246">
        <v>0</v>
      </c>
      <c r="AL246">
        <v>1</v>
      </c>
      <c r="AM246">
        <v>3</v>
      </c>
      <c r="AN246">
        <v>53.01</v>
      </c>
      <c r="AS246" t="s">
        <v>6298</v>
      </c>
      <c r="AT246">
        <v>13650</v>
      </c>
      <c r="AX246" t="s">
        <v>6386</v>
      </c>
      <c r="BA246" t="s">
        <v>6477</v>
      </c>
      <c r="BD246" t="s">
        <v>6636</v>
      </c>
    </row>
    <row r="247" spans="1:57">
      <c r="A247" s="1">
        <f>HYPERLINK("https://lsnyc.legalserver.org/matter/dynamic-profile/view/1886478","18-1886478")</f>
        <v>0</v>
      </c>
      <c r="B247" t="s">
        <v>57</v>
      </c>
      <c r="C247" t="s">
        <v>91</v>
      </c>
      <c r="D247" t="s">
        <v>215</v>
      </c>
      <c r="E247" t="s">
        <v>315</v>
      </c>
      <c r="F247" t="s">
        <v>260</v>
      </c>
      <c r="G247" t="s">
        <v>795</v>
      </c>
      <c r="H247" t="s">
        <v>1526</v>
      </c>
      <c r="J247" t="s">
        <v>2288</v>
      </c>
      <c r="K247" t="s">
        <v>3079</v>
      </c>
      <c r="L247" t="s">
        <v>3329</v>
      </c>
      <c r="M247" t="s">
        <v>3379</v>
      </c>
      <c r="N247">
        <v>10466</v>
      </c>
      <c r="O247" t="s">
        <v>3380</v>
      </c>
      <c r="P247" t="s">
        <v>3380</v>
      </c>
      <c r="Q247" t="s">
        <v>3389</v>
      </c>
      <c r="R247" t="s">
        <v>3610</v>
      </c>
      <c r="S247">
        <v>9</v>
      </c>
      <c r="T247" t="s">
        <v>4207</v>
      </c>
      <c r="U247" t="s">
        <v>4223</v>
      </c>
      <c r="V247" t="s">
        <v>4231</v>
      </c>
      <c r="W247" t="s">
        <v>4239</v>
      </c>
      <c r="X247" t="s">
        <v>3382</v>
      </c>
      <c r="Y247" t="s">
        <v>4250</v>
      </c>
      <c r="AA247" t="s">
        <v>4256</v>
      </c>
      <c r="AB247" t="s">
        <v>4265</v>
      </c>
      <c r="AC247">
        <v>0</v>
      </c>
      <c r="AD247">
        <v>1200</v>
      </c>
      <c r="AE247">
        <v>36.4</v>
      </c>
      <c r="AF247" t="s">
        <v>4272</v>
      </c>
      <c r="AG247" t="s">
        <v>4521</v>
      </c>
      <c r="AI247" t="s">
        <v>5588</v>
      </c>
      <c r="AJ247">
        <v>61</v>
      </c>
      <c r="AK247" t="s">
        <v>6267</v>
      </c>
      <c r="AL247">
        <v>2</v>
      </c>
      <c r="AM247">
        <v>0</v>
      </c>
      <c r="AN247">
        <v>115.92</v>
      </c>
      <c r="AQ247" t="s">
        <v>6287</v>
      </c>
      <c r="AR247" t="s">
        <v>5312</v>
      </c>
      <c r="AS247" t="s">
        <v>6298</v>
      </c>
      <c r="AT247">
        <v>19080</v>
      </c>
      <c r="AW247" t="s">
        <v>6364</v>
      </c>
      <c r="AX247" t="s">
        <v>6390</v>
      </c>
      <c r="AY247" t="s">
        <v>6459</v>
      </c>
      <c r="BA247" t="s">
        <v>6527</v>
      </c>
      <c r="BB247" t="s">
        <v>6603</v>
      </c>
      <c r="BC247" t="s">
        <v>6609</v>
      </c>
      <c r="BD247" t="s">
        <v>274</v>
      </c>
    </row>
    <row r="248" spans="1:57">
      <c r="A248" s="1">
        <f>HYPERLINK("https://lsnyc.legalserver.org/matter/dynamic-profile/view/1913373","19-1913373")</f>
        <v>0</v>
      </c>
      <c r="B248" t="s">
        <v>57</v>
      </c>
      <c r="C248" t="s">
        <v>91</v>
      </c>
      <c r="D248" t="s">
        <v>214</v>
      </c>
      <c r="E248" t="s">
        <v>316</v>
      </c>
      <c r="G248" t="s">
        <v>784</v>
      </c>
      <c r="H248" t="s">
        <v>1527</v>
      </c>
      <c r="J248" t="s">
        <v>2289</v>
      </c>
      <c r="K248">
        <v>2</v>
      </c>
      <c r="L248" t="s">
        <v>3329</v>
      </c>
      <c r="M248" t="s">
        <v>3379</v>
      </c>
      <c r="N248">
        <v>10458</v>
      </c>
      <c r="O248" t="s">
        <v>3380</v>
      </c>
      <c r="P248" t="s">
        <v>3381</v>
      </c>
      <c r="Q248" t="s">
        <v>3384</v>
      </c>
      <c r="R248" t="s">
        <v>3611</v>
      </c>
      <c r="S248">
        <v>5</v>
      </c>
      <c r="T248" t="s">
        <v>4197</v>
      </c>
      <c r="U248" t="s">
        <v>4224</v>
      </c>
      <c r="W248" t="s">
        <v>4239</v>
      </c>
      <c r="X248" t="s">
        <v>3382</v>
      </c>
      <c r="Y248" t="s">
        <v>3382</v>
      </c>
      <c r="AA248" t="s">
        <v>4256</v>
      </c>
      <c r="AB248" t="s">
        <v>4261</v>
      </c>
      <c r="AC248">
        <v>0</v>
      </c>
      <c r="AD248">
        <v>1900</v>
      </c>
      <c r="AE248">
        <v>3.6</v>
      </c>
      <c r="AG248" t="s">
        <v>4522</v>
      </c>
      <c r="AI248" t="s">
        <v>5589</v>
      </c>
      <c r="AJ248">
        <v>2</v>
      </c>
      <c r="AK248" t="s">
        <v>6274</v>
      </c>
      <c r="AL248">
        <v>3</v>
      </c>
      <c r="AM248">
        <v>0</v>
      </c>
      <c r="AN248">
        <v>43.38</v>
      </c>
      <c r="AR248" t="s">
        <v>6290</v>
      </c>
      <c r="AS248" t="s">
        <v>6298</v>
      </c>
      <c r="AT248">
        <v>9252</v>
      </c>
      <c r="AX248" t="s">
        <v>6387</v>
      </c>
      <c r="BA248" t="s">
        <v>6482</v>
      </c>
      <c r="BD248" t="s">
        <v>231</v>
      </c>
      <c r="BE248" t="s">
        <v>6702</v>
      </c>
    </row>
    <row r="249" spans="1:57">
      <c r="A249" s="1">
        <f>HYPERLINK("https://lsnyc.legalserver.org/matter/dynamic-profile/view/1910714","19-1910714")</f>
        <v>0</v>
      </c>
      <c r="B249" t="s">
        <v>57</v>
      </c>
      <c r="C249" t="s">
        <v>91</v>
      </c>
      <c r="D249" t="s">
        <v>214</v>
      </c>
      <c r="E249" t="s">
        <v>284</v>
      </c>
      <c r="G249" t="s">
        <v>796</v>
      </c>
      <c r="H249" t="s">
        <v>1528</v>
      </c>
      <c r="J249" t="s">
        <v>2166</v>
      </c>
      <c r="K249" t="s">
        <v>3109</v>
      </c>
      <c r="L249" t="s">
        <v>3329</v>
      </c>
      <c r="M249" t="s">
        <v>3379</v>
      </c>
      <c r="N249">
        <v>10457</v>
      </c>
      <c r="O249" t="s">
        <v>3380</v>
      </c>
      <c r="P249" t="s">
        <v>3381</v>
      </c>
      <c r="Q249" t="s">
        <v>3383</v>
      </c>
      <c r="R249" t="s">
        <v>3612</v>
      </c>
      <c r="S249">
        <v>9</v>
      </c>
      <c r="T249" t="s">
        <v>4196</v>
      </c>
      <c r="U249" t="s">
        <v>4223</v>
      </c>
      <c r="W249" t="s">
        <v>4238</v>
      </c>
      <c r="X249" t="s">
        <v>3382</v>
      </c>
      <c r="Y249" t="s">
        <v>4250</v>
      </c>
      <c r="AA249" t="s">
        <v>4256</v>
      </c>
      <c r="AB249" t="s">
        <v>4261</v>
      </c>
      <c r="AC249">
        <v>0</v>
      </c>
      <c r="AD249">
        <v>1108</v>
      </c>
      <c r="AE249">
        <v>5.5</v>
      </c>
      <c r="AG249" t="s">
        <v>4523</v>
      </c>
      <c r="AI249" t="s">
        <v>5590</v>
      </c>
      <c r="AJ249">
        <v>281</v>
      </c>
      <c r="AK249" t="s">
        <v>6276</v>
      </c>
      <c r="AL249">
        <v>3</v>
      </c>
      <c r="AM249">
        <v>0</v>
      </c>
      <c r="AN249">
        <v>187.4</v>
      </c>
      <c r="AR249" t="s">
        <v>3391</v>
      </c>
      <c r="AT249">
        <v>39972.52</v>
      </c>
      <c r="AX249" t="s">
        <v>91</v>
      </c>
      <c r="BA249" t="s">
        <v>6528</v>
      </c>
      <c r="BD249" t="s">
        <v>231</v>
      </c>
      <c r="BE249" t="s">
        <v>6702</v>
      </c>
    </row>
    <row r="250" spans="1:57">
      <c r="A250" s="1">
        <f>HYPERLINK("https://lsnyc.legalserver.org/matter/dynamic-profile/view/1912511","19-1912511")</f>
        <v>0</v>
      </c>
      <c r="B250" t="s">
        <v>57</v>
      </c>
      <c r="C250" t="s">
        <v>91</v>
      </c>
      <c r="D250" t="s">
        <v>214</v>
      </c>
      <c r="E250" t="s">
        <v>269</v>
      </c>
      <c r="G250" t="s">
        <v>715</v>
      </c>
      <c r="H250" t="s">
        <v>1529</v>
      </c>
      <c r="J250" t="s">
        <v>2290</v>
      </c>
      <c r="K250" t="s">
        <v>3110</v>
      </c>
      <c r="L250" t="s">
        <v>3329</v>
      </c>
      <c r="M250" t="s">
        <v>3379</v>
      </c>
      <c r="N250">
        <v>10457</v>
      </c>
      <c r="O250" t="s">
        <v>3380</v>
      </c>
      <c r="P250" t="s">
        <v>3381</v>
      </c>
      <c r="Q250" t="s">
        <v>3383</v>
      </c>
      <c r="R250" t="s">
        <v>3613</v>
      </c>
      <c r="S250">
        <v>11</v>
      </c>
      <c r="T250" t="s">
        <v>4196</v>
      </c>
      <c r="U250" t="s">
        <v>4223</v>
      </c>
      <c r="W250" t="s">
        <v>4238</v>
      </c>
      <c r="X250" t="s">
        <v>3382</v>
      </c>
      <c r="Y250" t="s">
        <v>3382</v>
      </c>
      <c r="AA250" t="s">
        <v>4256</v>
      </c>
      <c r="AB250" t="s">
        <v>4261</v>
      </c>
      <c r="AC250">
        <v>0</v>
      </c>
      <c r="AD250">
        <v>811</v>
      </c>
      <c r="AE250">
        <v>4.4</v>
      </c>
      <c r="AG250" t="s">
        <v>4524</v>
      </c>
      <c r="AI250" t="s">
        <v>5591</v>
      </c>
      <c r="AJ250">
        <v>97</v>
      </c>
      <c r="AK250" t="s">
        <v>6267</v>
      </c>
      <c r="AL250">
        <v>1</v>
      </c>
      <c r="AM250">
        <v>1</v>
      </c>
      <c r="AN250">
        <v>209.93</v>
      </c>
      <c r="AR250" t="s">
        <v>6290</v>
      </c>
      <c r="AS250" t="s">
        <v>6298</v>
      </c>
      <c r="AT250">
        <v>35500</v>
      </c>
      <c r="AW250" t="s">
        <v>6365</v>
      </c>
      <c r="AX250" t="s">
        <v>6390</v>
      </c>
      <c r="BA250" t="s">
        <v>6477</v>
      </c>
      <c r="BD250" t="s">
        <v>231</v>
      </c>
      <c r="BE250" t="s">
        <v>6702</v>
      </c>
    </row>
    <row r="251" spans="1:57">
      <c r="A251" s="1">
        <f>HYPERLINK("https://lsnyc.legalserver.org/matter/dynamic-profile/view/1914485","19-1914485")</f>
        <v>0</v>
      </c>
      <c r="B251" t="s">
        <v>57</v>
      </c>
      <c r="C251" t="s">
        <v>91</v>
      </c>
      <c r="D251" t="s">
        <v>214</v>
      </c>
      <c r="E251" t="s">
        <v>224</v>
      </c>
      <c r="G251" t="s">
        <v>797</v>
      </c>
      <c r="H251" t="s">
        <v>1530</v>
      </c>
      <c r="J251" t="s">
        <v>2291</v>
      </c>
      <c r="K251" t="s">
        <v>3111</v>
      </c>
      <c r="L251" t="s">
        <v>3329</v>
      </c>
      <c r="M251" t="s">
        <v>3379</v>
      </c>
      <c r="N251">
        <v>10457</v>
      </c>
      <c r="O251" t="s">
        <v>3380</v>
      </c>
      <c r="P251" t="s">
        <v>3381</v>
      </c>
      <c r="Q251" t="s">
        <v>3383</v>
      </c>
      <c r="R251" t="s">
        <v>3614</v>
      </c>
      <c r="S251">
        <v>9</v>
      </c>
      <c r="T251" t="s">
        <v>4196</v>
      </c>
      <c r="U251" t="s">
        <v>4223</v>
      </c>
      <c r="W251" t="s">
        <v>4238</v>
      </c>
      <c r="X251" t="s">
        <v>3382</v>
      </c>
      <c r="Y251" t="s">
        <v>3382</v>
      </c>
      <c r="AA251" t="s">
        <v>4256</v>
      </c>
      <c r="AB251" t="s">
        <v>4262</v>
      </c>
      <c r="AC251">
        <v>0</v>
      </c>
      <c r="AD251">
        <v>1482.12</v>
      </c>
      <c r="AE251">
        <v>1.8</v>
      </c>
      <c r="AG251" t="s">
        <v>4525</v>
      </c>
      <c r="AI251" t="s">
        <v>5592</v>
      </c>
      <c r="AJ251">
        <v>9</v>
      </c>
      <c r="AK251" t="s">
        <v>6267</v>
      </c>
      <c r="AL251">
        <v>2</v>
      </c>
      <c r="AM251">
        <v>0</v>
      </c>
      <c r="AN251">
        <v>124.97</v>
      </c>
      <c r="AR251" t="s">
        <v>5312</v>
      </c>
      <c r="AS251" t="s">
        <v>6299</v>
      </c>
      <c r="AT251">
        <v>21132</v>
      </c>
      <c r="AX251" t="s">
        <v>6390</v>
      </c>
      <c r="BA251" t="s">
        <v>6510</v>
      </c>
      <c r="BD251" t="s">
        <v>267</v>
      </c>
      <c r="BE251" t="s">
        <v>6702</v>
      </c>
    </row>
    <row r="252" spans="1:57">
      <c r="A252" s="1">
        <f>HYPERLINK("https://lsnyc.legalserver.org/matter/dynamic-profile/view/1910879","19-1910879")</f>
        <v>0</v>
      </c>
      <c r="B252" t="s">
        <v>57</v>
      </c>
      <c r="C252" t="s">
        <v>91</v>
      </c>
      <c r="D252" t="s">
        <v>215</v>
      </c>
      <c r="E252" t="s">
        <v>317</v>
      </c>
      <c r="F252" t="s">
        <v>269</v>
      </c>
      <c r="G252" t="s">
        <v>798</v>
      </c>
      <c r="H252" t="s">
        <v>1528</v>
      </c>
      <c r="J252" t="s">
        <v>2292</v>
      </c>
      <c r="K252" t="s">
        <v>3112</v>
      </c>
      <c r="L252" t="s">
        <v>3329</v>
      </c>
      <c r="M252" t="s">
        <v>3379</v>
      </c>
      <c r="N252">
        <v>10456</v>
      </c>
      <c r="O252" t="s">
        <v>3381</v>
      </c>
      <c r="P252" t="s">
        <v>3381</v>
      </c>
      <c r="Q252" t="s">
        <v>3385</v>
      </c>
      <c r="R252" t="s">
        <v>3615</v>
      </c>
      <c r="S252">
        <v>7</v>
      </c>
      <c r="T252" t="s">
        <v>4196</v>
      </c>
      <c r="U252" t="s">
        <v>4223</v>
      </c>
      <c r="V252" t="s">
        <v>4231</v>
      </c>
      <c r="W252" t="s">
        <v>4238</v>
      </c>
      <c r="X252" t="s">
        <v>3382</v>
      </c>
      <c r="Y252" t="s">
        <v>3382</v>
      </c>
      <c r="AA252" t="s">
        <v>4256</v>
      </c>
      <c r="AC252">
        <v>0</v>
      </c>
      <c r="AD252">
        <v>850</v>
      </c>
      <c r="AE252">
        <v>10.6</v>
      </c>
      <c r="AF252" t="s">
        <v>4269</v>
      </c>
      <c r="AG252" t="s">
        <v>4526</v>
      </c>
      <c r="AI252" t="s">
        <v>5593</v>
      </c>
      <c r="AJ252">
        <v>3</v>
      </c>
      <c r="AK252" t="s">
        <v>6274</v>
      </c>
      <c r="AL252">
        <v>1</v>
      </c>
      <c r="AM252">
        <v>0</v>
      </c>
      <c r="AN252">
        <v>62.45</v>
      </c>
      <c r="AR252" t="s">
        <v>5312</v>
      </c>
      <c r="AS252" t="s">
        <v>6298</v>
      </c>
      <c r="AT252">
        <v>7800</v>
      </c>
      <c r="AX252" t="s">
        <v>6390</v>
      </c>
      <c r="AY252" t="s">
        <v>6459</v>
      </c>
      <c r="AZ252" t="s">
        <v>6466</v>
      </c>
      <c r="BA252" t="s">
        <v>6529</v>
      </c>
      <c r="BB252" t="s">
        <v>6602</v>
      </c>
      <c r="BC252" t="s">
        <v>6610</v>
      </c>
      <c r="BD252" t="s">
        <v>269</v>
      </c>
    </row>
    <row r="253" spans="1:57">
      <c r="A253" s="1">
        <f>HYPERLINK("https://lsnyc.legalserver.org/matter/dynamic-profile/view/1909192","19-1909192")</f>
        <v>0</v>
      </c>
      <c r="B253" t="s">
        <v>57</v>
      </c>
      <c r="C253" t="s">
        <v>91</v>
      </c>
      <c r="D253" t="s">
        <v>214</v>
      </c>
      <c r="E253" t="s">
        <v>318</v>
      </c>
      <c r="G253" t="s">
        <v>799</v>
      </c>
      <c r="H253" t="s">
        <v>1531</v>
      </c>
      <c r="J253" t="s">
        <v>2293</v>
      </c>
      <c r="K253" t="s">
        <v>3113</v>
      </c>
      <c r="L253" t="s">
        <v>3329</v>
      </c>
      <c r="M253" t="s">
        <v>3379</v>
      </c>
      <c r="N253">
        <v>10456</v>
      </c>
      <c r="O253" t="s">
        <v>3380</v>
      </c>
      <c r="P253" t="s">
        <v>3381</v>
      </c>
      <c r="Q253" t="s">
        <v>3384</v>
      </c>
      <c r="S253">
        <v>20</v>
      </c>
      <c r="T253" t="s">
        <v>4201</v>
      </c>
      <c r="U253" t="s">
        <v>4227</v>
      </c>
      <c r="W253" t="s">
        <v>4239</v>
      </c>
      <c r="X253" t="s">
        <v>3382</v>
      </c>
      <c r="Y253" t="s">
        <v>3382</v>
      </c>
      <c r="AA253" t="s">
        <v>4258</v>
      </c>
      <c r="AC253">
        <v>0</v>
      </c>
      <c r="AD253">
        <v>408</v>
      </c>
      <c r="AE253">
        <v>3.6</v>
      </c>
      <c r="AG253" t="s">
        <v>4527</v>
      </c>
      <c r="AI253" t="s">
        <v>5594</v>
      </c>
      <c r="AJ253">
        <v>607</v>
      </c>
      <c r="AK253" t="s">
        <v>6270</v>
      </c>
      <c r="AL253">
        <v>1</v>
      </c>
      <c r="AM253">
        <v>0</v>
      </c>
      <c r="AN253">
        <v>119.04</v>
      </c>
      <c r="AS253" t="s">
        <v>6298</v>
      </c>
      <c r="AT253">
        <v>14868</v>
      </c>
      <c r="AX253" t="s">
        <v>6390</v>
      </c>
      <c r="BA253" t="s">
        <v>6475</v>
      </c>
      <c r="BD253" t="s">
        <v>227</v>
      </c>
      <c r="BE253" t="s">
        <v>6702</v>
      </c>
    </row>
    <row r="254" spans="1:57">
      <c r="A254" s="1">
        <f>HYPERLINK("https://lsnyc.legalserver.org/matter/dynamic-profile/view/1879392","18-1879392")</f>
        <v>0</v>
      </c>
      <c r="B254" t="s">
        <v>57</v>
      </c>
      <c r="C254" t="s">
        <v>92</v>
      </c>
      <c r="D254" t="s">
        <v>214</v>
      </c>
      <c r="E254" t="s">
        <v>319</v>
      </c>
      <c r="G254" t="s">
        <v>686</v>
      </c>
      <c r="H254" t="s">
        <v>1532</v>
      </c>
      <c r="J254" t="s">
        <v>2294</v>
      </c>
      <c r="K254">
        <v>7</v>
      </c>
      <c r="L254" t="s">
        <v>3329</v>
      </c>
      <c r="M254" t="s">
        <v>3379</v>
      </c>
      <c r="N254">
        <v>10457</v>
      </c>
      <c r="O254" t="s">
        <v>3380</v>
      </c>
      <c r="P254" t="s">
        <v>3382</v>
      </c>
      <c r="Q254" t="s">
        <v>3386</v>
      </c>
      <c r="R254" t="s">
        <v>3616</v>
      </c>
      <c r="S254">
        <v>4</v>
      </c>
      <c r="T254" t="s">
        <v>4208</v>
      </c>
      <c r="U254" t="s">
        <v>4227</v>
      </c>
      <c r="W254" t="s">
        <v>4239</v>
      </c>
      <c r="X254" t="s">
        <v>3382</v>
      </c>
      <c r="Y254" t="s">
        <v>3382</v>
      </c>
      <c r="AA254" t="s">
        <v>4256</v>
      </c>
      <c r="AC254">
        <v>0</v>
      </c>
      <c r="AD254">
        <v>1956</v>
      </c>
      <c r="AE254">
        <v>5.9</v>
      </c>
      <c r="AG254" t="s">
        <v>4528</v>
      </c>
      <c r="AH254">
        <v>35190006</v>
      </c>
      <c r="AI254" t="s">
        <v>5595</v>
      </c>
      <c r="AJ254">
        <v>8</v>
      </c>
      <c r="AK254" t="s">
        <v>6267</v>
      </c>
      <c r="AL254">
        <v>1</v>
      </c>
      <c r="AM254">
        <v>0</v>
      </c>
      <c r="AN254">
        <v>12.85</v>
      </c>
      <c r="AR254" t="s">
        <v>6290</v>
      </c>
      <c r="AS254" t="s">
        <v>6298</v>
      </c>
      <c r="AT254">
        <v>1560</v>
      </c>
      <c r="AW254" t="s">
        <v>6366</v>
      </c>
      <c r="AX254" t="s">
        <v>6402</v>
      </c>
      <c r="BA254" t="s">
        <v>6478</v>
      </c>
      <c r="BD254" t="s">
        <v>268</v>
      </c>
    </row>
    <row r="255" spans="1:57">
      <c r="A255" s="1">
        <f>HYPERLINK("https://lsnyc.legalserver.org/matter/dynamic-profile/view/1898548","19-1898548")</f>
        <v>0</v>
      </c>
      <c r="B255" t="s">
        <v>57</v>
      </c>
      <c r="C255" t="s">
        <v>93</v>
      </c>
      <c r="D255" t="s">
        <v>214</v>
      </c>
      <c r="E255" t="s">
        <v>320</v>
      </c>
      <c r="G255" t="s">
        <v>800</v>
      </c>
      <c r="H255" t="s">
        <v>1478</v>
      </c>
      <c r="J255" t="s">
        <v>2295</v>
      </c>
      <c r="K255" t="s">
        <v>3114</v>
      </c>
      <c r="L255" t="s">
        <v>3329</v>
      </c>
      <c r="M255" t="s">
        <v>3379</v>
      </c>
      <c r="N255">
        <v>10473</v>
      </c>
      <c r="O255" t="s">
        <v>3380</v>
      </c>
      <c r="P255" t="s">
        <v>3382</v>
      </c>
      <c r="Q255" t="s">
        <v>3391</v>
      </c>
      <c r="S255">
        <v>7</v>
      </c>
      <c r="T255" t="s">
        <v>4203</v>
      </c>
      <c r="U255" t="s">
        <v>4226</v>
      </c>
      <c r="W255" t="s">
        <v>4239</v>
      </c>
      <c r="X255" t="s">
        <v>3382</v>
      </c>
      <c r="Y255" t="s">
        <v>3382</v>
      </c>
      <c r="AA255" t="s">
        <v>4257</v>
      </c>
      <c r="AC255">
        <v>0</v>
      </c>
      <c r="AD255">
        <v>286</v>
      </c>
      <c r="AE255">
        <v>16.2</v>
      </c>
      <c r="AG255" t="s">
        <v>4529</v>
      </c>
      <c r="AI255" t="s">
        <v>5596</v>
      </c>
      <c r="AJ255">
        <v>0</v>
      </c>
      <c r="AK255" t="s">
        <v>6270</v>
      </c>
      <c r="AL255">
        <v>1</v>
      </c>
      <c r="AM255">
        <v>0</v>
      </c>
      <c r="AN255">
        <v>98.95999999999999</v>
      </c>
      <c r="AS255" t="s">
        <v>6299</v>
      </c>
      <c r="AT255">
        <v>12360</v>
      </c>
      <c r="AW255" t="s">
        <v>6367</v>
      </c>
      <c r="AX255" t="s">
        <v>93</v>
      </c>
      <c r="BA255" t="s">
        <v>6487</v>
      </c>
      <c r="BD255" t="s">
        <v>218</v>
      </c>
    </row>
    <row r="256" spans="1:57">
      <c r="A256" s="1">
        <f>HYPERLINK("https://lsnyc.legalserver.org/matter/dynamic-profile/view/1901335","19-1901335")</f>
        <v>0</v>
      </c>
      <c r="B256" t="s">
        <v>57</v>
      </c>
      <c r="C256" t="s">
        <v>94</v>
      </c>
      <c r="D256" t="s">
        <v>215</v>
      </c>
      <c r="E256" t="s">
        <v>262</v>
      </c>
      <c r="F256" t="s">
        <v>233</v>
      </c>
      <c r="G256" t="s">
        <v>801</v>
      </c>
      <c r="H256" t="s">
        <v>1533</v>
      </c>
      <c r="J256" t="s">
        <v>2296</v>
      </c>
      <c r="K256" t="s">
        <v>3115</v>
      </c>
      <c r="L256" t="s">
        <v>3329</v>
      </c>
      <c r="M256" t="s">
        <v>3379</v>
      </c>
      <c r="N256">
        <v>10473</v>
      </c>
      <c r="O256" t="s">
        <v>3380</v>
      </c>
      <c r="P256" t="s">
        <v>3381</v>
      </c>
      <c r="S256">
        <v>30</v>
      </c>
      <c r="T256" t="s">
        <v>4197</v>
      </c>
      <c r="U256" t="s">
        <v>4225</v>
      </c>
      <c r="V256" t="s">
        <v>4230</v>
      </c>
      <c r="W256" t="s">
        <v>4239</v>
      </c>
      <c r="X256" t="s">
        <v>3382</v>
      </c>
      <c r="AA256" t="s">
        <v>4256</v>
      </c>
      <c r="AC256">
        <v>0</v>
      </c>
      <c r="AD256">
        <v>0</v>
      </c>
      <c r="AE256">
        <v>0.1</v>
      </c>
      <c r="AF256" t="s">
        <v>4268</v>
      </c>
      <c r="AG256" t="s">
        <v>4530</v>
      </c>
      <c r="AI256" t="s">
        <v>5597</v>
      </c>
      <c r="AJ256">
        <v>583</v>
      </c>
      <c r="AK256" t="s">
        <v>6270</v>
      </c>
      <c r="AL256">
        <v>4</v>
      </c>
      <c r="AM256">
        <v>3</v>
      </c>
      <c r="AN256">
        <v>0</v>
      </c>
      <c r="AS256" t="s">
        <v>6298</v>
      </c>
      <c r="AT256">
        <v>0</v>
      </c>
      <c r="AW256" t="s">
        <v>6335</v>
      </c>
      <c r="AX256" t="s">
        <v>6400</v>
      </c>
      <c r="BA256" t="s">
        <v>6479</v>
      </c>
      <c r="BC256" t="s">
        <v>6611</v>
      </c>
      <c r="BD256" t="s">
        <v>233</v>
      </c>
      <c r="BE256" t="s">
        <v>6702</v>
      </c>
    </row>
    <row r="257" spans="1:57">
      <c r="A257" s="1">
        <f>HYPERLINK("https://lsnyc.legalserver.org/matter/dynamic-profile/view/1912156","19-1912156")</f>
        <v>0</v>
      </c>
      <c r="B257" t="s">
        <v>57</v>
      </c>
      <c r="C257" t="s">
        <v>94</v>
      </c>
      <c r="D257" t="s">
        <v>214</v>
      </c>
      <c r="E257" t="s">
        <v>268</v>
      </c>
      <c r="G257" t="s">
        <v>802</v>
      </c>
      <c r="H257" t="s">
        <v>1531</v>
      </c>
      <c r="J257" t="s">
        <v>2297</v>
      </c>
      <c r="K257" t="s">
        <v>3048</v>
      </c>
      <c r="L257" t="s">
        <v>3329</v>
      </c>
      <c r="M257" t="s">
        <v>3379</v>
      </c>
      <c r="N257">
        <v>10473</v>
      </c>
      <c r="O257" t="s">
        <v>3380</v>
      </c>
      <c r="P257" t="s">
        <v>3381</v>
      </c>
      <c r="R257" t="s">
        <v>3617</v>
      </c>
      <c r="S257">
        <v>7</v>
      </c>
      <c r="T257" t="s">
        <v>4196</v>
      </c>
      <c r="U257" t="s">
        <v>4223</v>
      </c>
      <c r="W257" t="s">
        <v>4239</v>
      </c>
      <c r="X257" t="s">
        <v>3382</v>
      </c>
      <c r="Y257" t="s">
        <v>3382</v>
      </c>
      <c r="AA257" t="s">
        <v>4256</v>
      </c>
      <c r="AB257" t="s">
        <v>4264</v>
      </c>
      <c r="AC257">
        <v>0</v>
      </c>
      <c r="AD257">
        <v>1016</v>
      </c>
      <c r="AE257">
        <v>8.300000000000001</v>
      </c>
      <c r="AG257" t="s">
        <v>4531</v>
      </c>
      <c r="AI257" t="s">
        <v>5598</v>
      </c>
      <c r="AJ257">
        <v>59</v>
      </c>
      <c r="AK257" t="s">
        <v>6270</v>
      </c>
      <c r="AL257">
        <v>2</v>
      </c>
      <c r="AM257">
        <v>2</v>
      </c>
      <c r="AN257">
        <v>163.11</v>
      </c>
      <c r="AR257" t="s">
        <v>5312</v>
      </c>
      <c r="AT257">
        <v>42000</v>
      </c>
      <c r="AX257" t="s">
        <v>6387</v>
      </c>
      <c r="BA257" t="s">
        <v>6477</v>
      </c>
      <c r="BD257" t="s">
        <v>218</v>
      </c>
      <c r="BE257" t="s">
        <v>6702</v>
      </c>
    </row>
    <row r="258" spans="1:57">
      <c r="A258" s="1">
        <f>HYPERLINK("https://lsnyc.legalserver.org/matter/dynamic-profile/view/1903406","19-1903406")</f>
        <v>0</v>
      </c>
      <c r="B258" t="s">
        <v>57</v>
      </c>
      <c r="C258" t="s">
        <v>94</v>
      </c>
      <c r="D258" t="s">
        <v>214</v>
      </c>
      <c r="E258" t="s">
        <v>321</v>
      </c>
      <c r="G258" t="s">
        <v>803</v>
      </c>
      <c r="H258" t="s">
        <v>1534</v>
      </c>
      <c r="J258" t="s">
        <v>2298</v>
      </c>
      <c r="K258" t="s">
        <v>3116</v>
      </c>
      <c r="L258" t="s">
        <v>3331</v>
      </c>
      <c r="M258" t="s">
        <v>3379</v>
      </c>
      <c r="N258">
        <v>10467</v>
      </c>
      <c r="O258" t="s">
        <v>3380</v>
      </c>
      <c r="P258" t="s">
        <v>3381</v>
      </c>
      <c r="Q258" t="s">
        <v>3384</v>
      </c>
      <c r="R258" t="s">
        <v>3618</v>
      </c>
      <c r="S258">
        <v>1</v>
      </c>
      <c r="T258" t="s">
        <v>4196</v>
      </c>
      <c r="U258" t="s">
        <v>4227</v>
      </c>
      <c r="W258" t="s">
        <v>4238</v>
      </c>
      <c r="X258" t="s">
        <v>3382</v>
      </c>
      <c r="Y258" t="s">
        <v>3382</v>
      </c>
      <c r="AA258" t="s">
        <v>4259</v>
      </c>
      <c r="AB258" t="s">
        <v>4261</v>
      </c>
      <c r="AC258">
        <v>0</v>
      </c>
      <c r="AD258">
        <v>252</v>
      </c>
      <c r="AE258">
        <v>15.9</v>
      </c>
      <c r="AG258" t="s">
        <v>4532</v>
      </c>
      <c r="AH258" t="s">
        <v>5269</v>
      </c>
      <c r="AI258" t="s">
        <v>5599</v>
      </c>
      <c r="AJ258">
        <v>733</v>
      </c>
      <c r="AL258">
        <v>1</v>
      </c>
      <c r="AM258">
        <v>1</v>
      </c>
      <c r="AN258">
        <v>0</v>
      </c>
      <c r="AR258" t="s">
        <v>5312</v>
      </c>
      <c r="AS258" t="s">
        <v>6298</v>
      </c>
      <c r="AT258">
        <v>0</v>
      </c>
      <c r="AX258" t="s">
        <v>6397</v>
      </c>
      <c r="BA258" t="s">
        <v>6479</v>
      </c>
      <c r="BD258" t="s">
        <v>228</v>
      </c>
      <c r="BE258" t="s">
        <v>6703</v>
      </c>
    </row>
    <row r="259" spans="1:57">
      <c r="A259" s="1">
        <f>HYPERLINK("https://lsnyc.legalserver.org/matter/dynamic-profile/view/1913473","19-1913473")</f>
        <v>0</v>
      </c>
      <c r="B259" t="s">
        <v>57</v>
      </c>
      <c r="C259" t="s">
        <v>94</v>
      </c>
      <c r="D259" t="s">
        <v>214</v>
      </c>
      <c r="E259" t="s">
        <v>270</v>
      </c>
      <c r="G259" t="s">
        <v>804</v>
      </c>
      <c r="H259" t="s">
        <v>1535</v>
      </c>
      <c r="J259" t="s">
        <v>2299</v>
      </c>
      <c r="K259" t="s">
        <v>3117</v>
      </c>
      <c r="L259" t="s">
        <v>3329</v>
      </c>
      <c r="M259" t="s">
        <v>3379</v>
      </c>
      <c r="N259">
        <v>10467</v>
      </c>
      <c r="O259" t="s">
        <v>3380</v>
      </c>
      <c r="P259" t="s">
        <v>3381</v>
      </c>
      <c r="Q259" t="s">
        <v>3384</v>
      </c>
      <c r="R259" t="s">
        <v>3619</v>
      </c>
      <c r="S259">
        <v>20</v>
      </c>
      <c r="T259" t="s">
        <v>4196</v>
      </c>
      <c r="U259" t="s">
        <v>4223</v>
      </c>
      <c r="W259" t="s">
        <v>4238</v>
      </c>
      <c r="X259" t="s">
        <v>3382</v>
      </c>
      <c r="Y259" t="s">
        <v>3382</v>
      </c>
      <c r="AA259" t="s">
        <v>4256</v>
      </c>
      <c r="AB259" t="s">
        <v>4261</v>
      </c>
      <c r="AC259">
        <v>0</v>
      </c>
      <c r="AD259">
        <v>1072.71</v>
      </c>
      <c r="AE259">
        <v>1.7</v>
      </c>
      <c r="AG259" t="s">
        <v>4533</v>
      </c>
      <c r="AI259" t="s">
        <v>5600</v>
      </c>
      <c r="AJ259">
        <v>91</v>
      </c>
      <c r="AK259" t="s">
        <v>6267</v>
      </c>
      <c r="AL259">
        <v>2</v>
      </c>
      <c r="AM259">
        <v>0</v>
      </c>
      <c r="AN259">
        <v>212.89</v>
      </c>
      <c r="AR259" t="s">
        <v>5312</v>
      </c>
      <c r="AS259" t="s">
        <v>6298</v>
      </c>
      <c r="AT259">
        <v>36000</v>
      </c>
      <c r="AW259" t="s">
        <v>6368</v>
      </c>
      <c r="AX259" t="s">
        <v>6397</v>
      </c>
      <c r="BA259" t="s">
        <v>6501</v>
      </c>
      <c r="BD259" t="s">
        <v>267</v>
      </c>
      <c r="BE259" t="s">
        <v>6702</v>
      </c>
    </row>
    <row r="260" spans="1:57">
      <c r="A260" s="1">
        <f>HYPERLINK("https://lsnyc.legalserver.org/matter/dynamic-profile/view/1902297","19-1902297")</f>
        <v>0</v>
      </c>
      <c r="B260" t="s">
        <v>57</v>
      </c>
      <c r="C260" t="s">
        <v>94</v>
      </c>
      <c r="D260" t="s">
        <v>214</v>
      </c>
      <c r="E260" t="s">
        <v>263</v>
      </c>
      <c r="G260" t="s">
        <v>805</v>
      </c>
      <c r="H260" t="s">
        <v>1536</v>
      </c>
      <c r="J260" t="s">
        <v>2300</v>
      </c>
      <c r="K260" t="s">
        <v>3117</v>
      </c>
      <c r="L260" t="s">
        <v>3329</v>
      </c>
      <c r="M260" t="s">
        <v>3379</v>
      </c>
      <c r="N260">
        <v>10461</v>
      </c>
      <c r="O260" t="s">
        <v>3382</v>
      </c>
      <c r="P260" t="s">
        <v>3381</v>
      </c>
      <c r="Q260" t="s">
        <v>3388</v>
      </c>
      <c r="S260">
        <v>10</v>
      </c>
      <c r="U260" t="s">
        <v>4227</v>
      </c>
      <c r="W260" t="s">
        <v>4239</v>
      </c>
      <c r="X260" t="s">
        <v>3382</v>
      </c>
      <c r="Y260" t="s">
        <v>3382</v>
      </c>
      <c r="AA260" t="s">
        <v>4256</v>
      </c>
      <c r="AC260">
        <v>0</v>
      </c>
      <c r="AD260">
        <v>1500</v>
      </c>
      <c r="AE260">
        <v>1</v>
      </c>
      <c r="AG260" t="s">
        <v>4534</v>
      </c>
      <c r="AH260" t="s">
        <v>5270</v>
      </c>
      <c r="AI260" t="s">
        <v>5601</v>
      </c>
      <c r="AJ260">
        <v>125</v>
      </c>
      <c r="AK260" t="s">
        <v>6267</v>
      </c>
      <c r="AL260">
        <v>2</v>
      </c>
      <c r="AM260">
        <v>1</v>
      </c>
      <c r="AN260">
        <v>210.97</v>
      </c>
      <c r="AR260" t="s">
        <v>5312</v>
      </c>
      <c r="AS260" t="s">
        <v>6298</v>
      </c>
      <c r="AT260">
        <v>45000</v>
      </c>
      <c r="AW260" t="s">
        <v>6369</v>
      </c>
      <c r="AX260" t="s">
        <v>6395</v>
      </c>
      <c r="BA260" t="s">
        <v>6477</v>
      </c>
      <c r="BD260" t="s">
        <v>269</v>
      </c>
      <c r="BE260" t="s">
        <v>6703</v>
      </c>
    </row>
    <row r="261" spans="1:57">
      <c r="A261" s="1">
        <f>HYPERLINK("https://lsnyc.legalserver.org/matter/dynamic-profile/view/1914021","19-1914021")</f>
        <v>0</v>
      </c>
      <c r="B261" t="s">
        <v>57</v>
      </c>
      <c r="C261" t="s">
        <v>94</v>
      </c>
      <c r="D261" t="s">
        <v>214</v>
      </c>
      <c r="E261" t="s">
        <v>228</v>
      </c>
      <c r="G261" t="s">
        <v>806</v>
      </c>
      <c r="H261" t="s">
        <v>1345</v>
      </c>
      <c r="J261" t="s">
        <v>2301</v>
      </c>
      <c r="K261">
        <v>7</v>
      </c>
      <c r="L261" t="s">
        <v>3329</v>
      </c>
      <c r="M261" t="s">
        <v>3379</v>
      </c>
      <c r="N261">
        <v>10457</v>
      </c>
      <c r="O261" t="s">
        <v>3380</v>
      </c>
      <c r="P261" t="s">
        <v>3381</v>
      </c>
      <c r="Q261" t="s">
        <v>3384</v>
      </c>
      <c r="R261" t="s">
        <v>3620</v>
      </c>
      <c r="S261">
        <v>3</v>
      </c>
      <c r="T261" t="s">
        <v>4196</v>
      </c>
      <c r="U261" t="s">
        <v>4224</v>
      </c>
      <c r="W261" t="s">
        <v>4238</v>
      </c>
      <c r="X261" t="s">
        <v>3382</v>
      </c>
      <c r="Y261" t="s">
        <v>3382</v>
      </c>
      <c r="AA261" t="s">
        <v>4256</v>
      </c>
      <c r="AB261" t="s">
        <v>4261</v>
      </c>
      <c r="AC261">
        <v>0</v>
      </c>
      <c r="AD261">
        <v>446.1</v>
      </c>
      <c r="AE261">
        <v>1.7</v>
      </c>
      <c r="AG261" t="s">
        <v>4535</v>
      </c>
      <c r="AI261" t="s">
        <v>5602</v>
      </c>
      <c r="AJ261">
        <v>0</v>
      </c>
      <c r="AK261" t="s">
        <v>6267</v>
      </c>
      <c r="AL261">
        <v>1</v>
      </c>
      <c r="AM261">
        <v>0</v>
      </c>
      <c r="AN261">
        <v>112.09</v>
      </c>
      <c r="AR261" t="s">
        <v>5312</v>
      </c>
      <c r="AS261" t="s">
        <v>6298</v>
      </c>
      <c r="AT261">
        <v>14000</v>
      </c>
      <c r="AX261" t="s">
        <v>6395</v>
      </c>
      <c r="BA261" t="s">
        <v>6477</v>
      </c>
      <c r="BD261" t="s">
        <v>230</v>
      </c>
      <c r="BE261" t="s">
        <v>6702</v>
      </c>
    </row>
    <row r="262" spans="1:57">
      <c r="A262" s="1">
        <f>HYPERLINK("https://lsnyc.legalserver.org/matter/dynamic-profile/view/1914547","19-1914547")</f>
        <v>0</v>
      </c>
      <c r="B262" t="s">
        <v>57</v>
      </c>
      <c r="C262" t="s">
        <v>94</v>
      </c>
      <c r="D262" t="s">
        <v>214</v>
      </c>
      <c r="E262" t="s">
        <v>230</v>
      </c>
      <c r="G262" t="s">
        <v>807</v>
      </c>
      <c r="H262" t="s">
        <v>1537</v>
      </c>
      <c r="J262" t="s">
        <v>2302</v>
      </c>
      <c r="K262" t="s">
        <v>3118</v>
      </c>
      <c r="L262" t="s">
        <v>3329</v>
      </c>
      <c r="M262" t="s">
        <v>3379</v>
      </c>
      <c r="N262">
        <v>10457</v>
      </c>
      <c r="O262" t="s">
        <v>3380</v>
      </c>
      <c r="P262" t="s">
        <v>3381</v>
      </c>
      <c r="Q262" t="s">
        <v>3384</v>
      </c>
      <c r="R262" t="s">
        <v>3621</v>
      </c>
      <c r="S262">
        <v>29</v>
      </c>
      <c r="T262" t="s">
        <v>4196</v>
      </c>
      <c r="U262" t="s">
        <v>4223</v>
      </c>
      <c r="W262" t="s">
        <v>4238</v>
      </c>
      <c r="X262" t="s">
        <v>3382</v>
      </c>
      <c r="Y262" t="s">
        <v>3382</v>
      </c>
      <c r="AA262" t="s">
        <v>4256</v>
      </c>
      <c r="AC262">
        <v>0</v>
      </c>
      <c r="AD262">
        <v>1476.59</v>
      </c>
      <c r="AE262">
        <v>1</v>
      </c>
      <c r="AG262" t="s">
        <v>4536</v>
      </c>
      <c r="AI262" t="s">
        <v>5603</v>
      </c>
      <c r="AJ262">
        <v>0</v>
      </c>
      <c r="AK262" t="s">
        <v>6276</v>
      </c>
      <c r="AL262">
        <v>2</v>
      </c>
      <c r="AM262">
        <v>1</v>
      </c>
      <c r="AN262">
        <v>0</v>
      </c>
      <c r="AR262" t="s">
        <v>6290</v>
      </c>
      <c r="AS262" t="s">
        <v>6298</v>
      </c>
      <c r="AT262">
        <v>0</v>
      </c>
      <c r="AX262" t="s">
        <v>6395</v>
      </c>
      <c r="BA262" t="s">
        <v>6486</v>
      </c>
      <c r="BD262" t="s">
        <v>237</v>
      </c>
      <c r="BE262" t="s">
        <v>6702</v>
      </c>
    </row>
    <row r="263" spans="1:57">
      <c r="A263" s="1">
        <f>HYPERLINK("https://lsnyc.legalserver.org/matter/dynamic-profile/view/1910160","19-1910160")</f>
        <v>0</v>
      </c>
      <c r="B263" t="s">
        <v>57</v>
      </c>
      <c r="C263" t="s">
        <v>94</v>
      </c>
      <c r="D263" t="s">
        <v>214</v>
      </c>
      <c r="E263" t="s">
        <v>300</v>
      </c>
      <c r="G263" t="s">
        <v>638</v>
      </c>
      <c r="H263" t="s">
        <v>1538</v>
      </c>
      <c r="J263" t="s">
        <v>2303</v>
      </c>
      <c r="K263" t="s">
        <v>3069</v>
      </c>
      <c r="L263" t="s">
        <v>3329</v>
      </c>
      <c r="M263" t="s">
        <v>3379</v>
      </c>
      <c r="N263">
        <v>10453</v>
      </c>
      <c r="O263" t="s">
        <v>3380</v>
      </c>
      <c r="P263" t="s">
        <v>3381</v>
      </c>
      <c r="Q263" t="s">
        <v>3387</v>
      </c>
      <c r="R263" t="s">
        <v>3622</v>
      </c>
      <c r="S263">
        <v>11</v>
      </c>
      <c r="T263" t="s">
        <v>4196</v>
      </c>
      <c r="U263" t="s">
        <v>4225</v>
      </c>
      <c r="W263" t="s">
        <v>4239</v>
      </c>
      <c r="X263" t="s">
        <v>3382</v>
      </c>
      <c r="Y263" t="s">
        <v>3382</v>
      </c>
      <c r="AA263" t="s">
        <v>4256</v>
      </c>
      <c r="AB263" t="s">
        <v>4262</v>
      </c>
      <c r="AC263">
        <v>0</v>
      </c>
      <c r="AD263">
        <v>1293.97</v>
      </c>
      <c r="AE263">
        <v>1.7</v>
      </c>
      <c r="AG263" t="s">
        <v>4537</v>
      </c>
      <c r="AI263" t="s">
        <v>5604</v>
      </c>
      <c r="AJ263">
        <v>180</v>
      </c>
      <c r="AK263" t="s">
        <v>6267</v>
      </c>
      <c r="AL263">
        <v>1</v>
      </c>
      <c r="AM263">
        <v>0</v>
      </c>
      <c r="AN263">
        <v>101.59</v>
      </c>
      <c r="AP263" t="s">
        <v>6283</v>
      </c>
      <c r="AR263" t="s">
        <v>5312</v>
      </c>
      <c r="AS263" t="s">
        <v>6298</v>
      </c>
      <c r="AT263">
        <v>12688</v>
      </c>
      <c r="AX263" t="s">
        <v>6393</v>
      </c>
      <c r="BA263" t="s">
        <v>6485</v>
      </c>
      <c r="BD263" t="s">
        <v>267</v>
      </c>
      <c r="BE263" t="s">
        <v>6702</v>
      </c>
    </row>
    <row r="264" spans="1:57">
      <c r="A264" s="1">
        <f>HYPERLINK("https://lsnyc.legalserver.org/matter/dynamic-profile/view/1914428","19-1914428")</f>
        <v>0</v>
      </c>
      <c r="B264" t="s">
        <v>57</v>
      </c>
      <c r="C264" t="s">
        <v>94</v>
      </c>
      <c r="D264" t="s">
        <v>214</v>
      </c>
      <c r="E264" t="s">
        <v>224</v>
      </c>
      <c r="G264" t="s">
        <v>808</v>
      </c>
      <c r="H264" t="s">
        <v>1349</v>
      </c>
      <c r="J264" t="s">
        <v>2304</v>
      </c>
      <c r="K264" t="s">
        <v>3119</v>
      </c>
      <c r="L264" t="s">
        <v>3329</v>
      </c>
      <c r="M264" t="s">
        <v>3379</v>
      </c>
      <c r="N264">
        <v>10452</v>
      </c>
      <c r="O264" t="s">
        <v>3380</v>
      </c>
      <c r="P264" t="s">
        <v>3381</v>
      </c>
      <c r="Q264" t="s">
        <v>3384</v>
      </c>
      <c r="R264" t="s">
        <v>3623</v>
      </c>
      <c r="S264">
        <v>20</v>
      </c>
      <c r="T264" t="s">
        <v>4196</v>
      </c>
      <c r="U264" t="s">
        <v>4224</v>
      </c>
      <c r="W264" t="s">
        <v>4239</v>
      </c>
      <c r="X264" t="s">
        <v>3382</v>
      </c>
      <c r="Y264" t="s">
        <v>3382</v>
      </c>
      <c r="AA264" t="s">
        <v>4256</v>
      </c>
      <c r="AC264">
        <v>0</v>
      </c>
      <c r="AD264">
        <v>1375</v>
      </c>
      <c r="AE264">
        <v>1.9</v>
      </c>
      <c r="AG264" t="s">
        <v>4538</v>
      </c>
      <c r="AJ264">
        <v>79</v>
      </c>
      <c r="AK264" t="s">
        <v>6267</v>
      </c>
      <c r="AL264">
        <v>1</v>
      </c>
      <c r="AM264">
        <v>0</v>
      </c>
      <c r="AN264">
        <v>4.8</v>
      </c>
      <c r="AS264" t="s">
        <v>6298</v>
      </c>
      <c r="AT264">
        <v>600</v>
      </c>
      <c r="AX264" t="s">
        <v>6387</v>
      </c>
      <c r="BA264" t="s">
        <v>6477</v>
      </c>
      <c r="BD264" t="s">
        <v>237</v>
      </c>
      <c r="BE264" t="s">
        <v>6702</v>
      </c>
    </row>
    <row r="265" spans="1:57">
      <c r="A265" s="1">
        <f>HYPERLINK("https://lsnyc.legalserver.org/matter/dynamic-profile/view/1910309","19-1910309")</f>
        <v>0</v>
      </c>
      <c r="B265" t="s">
        <v>57</v>
      </c>
      <c r="C265" t="s">
        <v>95</v>
      </c>
      <c r="D265" t="s">
        <v>214</v>
      </c>
      <c r="E265" t="s">
        <v>260</v>
      </c>
      <c r="G265" t="s">
        <v>715</v>
      </c>
      <c r="H265" t="s">
        <v>1539</v>
      </c>
      <c r="J265" t="s">
        <v>2305</v>
      </c>
      <c r="K265" t="s">
        <v>2997</v>
      </c>
      <c r="L265" t="s">
        <v>3329</v>
      </c>
      <c r="M265" t="s">
        <v>3379</v>
      </c>
      <c r="N265">
        <v>10468</v>
      </c>
      <c r="O265" t="s">
        <v>3380</v>
      </c>
      <c r="P265" t="s">
        <v>3381</v>
      </c>
      <c r="R265" t="s">
        <v>3624</v>
      </c>
      <c r="S265">
        <v>11</v>
      </c>
      <c r="T265" t="s">
        <v>4197</v>
      </c>
      <c r="U265" t="s">
        <v>4223</v>
      </c>
      <c r="W265" t="s">
        <v>4238</v>
      </c>
      <c r="X265" t="s">
        <v>3382</v>
      </c>
      <c r="AA265" t="s">
        <v>4256</v>
      </c>
      <c r="AC265">
        <v>0</v>
      </c>
      <c r="AD265">
        <v>1621</v>
      </c>
      <c r="AE265">
        <v>9.800000000000001</v>
      </c>
      <c r="AG265" t="s">
        <v>4539</v>
      </c>
      <c r="AH265" t="s">
        <v>5271</v>
      </c>
      <c r="AI265" t="s">
        <v>5605</v>
      </c>
      <c r="AJ265">
        <v>0</v>
      </c>
      <c r="AK265" t="s">
        <v>6273</v>
      </c>
      <c r="AL265">
        <v>3</v>
      </c>
      <c r="AM265">
        <v>0</v>
      </c>
      <c r="AN265">
        <v>38.99</v>
      </c>
      <c r="AR265" t="s">
        <v>6290</v>
      </c>
      <c r="AS265" t="s">
        <v>6298</v>
      </c>
      <c r="AT265">
        <v>8316</v>
      </c>
      <c r="AX265" t="s">
        <v>6393</v>
      </c>
      <c r="BA265" t="s">
        <v>6482</v>
      </c>
      <c r="BD265" t="s">
        <v>576</v>
      </c>
      <c r="BE265" t="s">
        <v>6703</v>
      </c>
    </row>
    <row r="266" spans="1:57">
      <c r="A266" s="1">
        <f>HYPERLINK("https://lsnyc.legalserver.org/matter/dynamic-profile/view/1904104","19-1904104")</f>
        <v>0</v>
      </c>
      <c r="B266" t="s">
        <v>57</v>
      </c>
      <c r="C266" t="s">
        <v>95</v>
      </c>
      <c r="D266" t="s">
        <v>214</v>
      </c>
      <c r="E266" t="s">
        <v>322</v>
      </c>
      <c r="G266" t="s">
        <v>809</v>
      </c>
      <c r="H266" t="s">
        <v>1540</v>
      </c>
      <c r="J266" t="s">
        <v>2306</v>
      </c>
      <c r="K266" t="s">
        <v>3022</v>
      </c>
      <c r="L266" t="s">
        <v>3329</v>
      </c>
      <c r="M266" t="s">
        <v>3379</v>
      </c>
      <c r="N266">
        <v>10467</v>
      </c>
      <c r="O266" t="s">
        <v>3380</v>
      </c>
      <c r="P266" t="s">
        <v>3381</v>
      </c>
      <c r="R266" t="s">
        <v>3625</v>
      </c>
      <c r="S266">
        <v>1</v>
      </c>
      <c r="T266" t="s">
        <v>4196</v>
      </c>
      <c r="W266" t="s">
        <v>4238</v>
      </c>
      <c r="X266" t="s">
        <v>3382</v>
      </c>
      <c r="Y266" t="s">
        <v>3382</v>
      </c>
      <c r="AA266" t="s">
        <v>4256</v>
      </c>
      <c r="AC266">
        <v>0</v>
      </c>
      <c r="AD266">
        <v>1500</v>
      </c>
      <c r="AE266">
        <v>1</v>
      </c>
      <c r="AG266" t="s">
        <v>4540</v>
      </c>
      <c r="AI266" t="s">
        <v>5606</v>
      </c>
      <c r="AJ266">
        <v>48</v>
      </c>
      <c r="AK266" t="s">
        <v>6267</v>
      </c>
      <c r="AL266">
        <v>1</v>
      </c>
      <c r="AM266">
        <v>0</v>
      </c>
      <c r="AN266">
        <v>0</v>
      </c>
      <c r="AS266" t="s">
        <v>6298</v>
      </c>
      <c r="AT266">
        <v>0</v>
      </c>
      <c r="AX266" t="s">
        <v>6387</v>
      </c>
      <c r="BA266" t="s">
        <v>6479</v>
      </c>
      <c r="BD266" t="s">
        <v>340</v>
      </c>
      <c r="BE266" t="s">
        <v>6702</v>
      </c>
    </row>
    <row r="267" spans="1:57">
      <c r="A267" s="1">
        <f>HYPERLINK("https://lsnyc.legalserver.org/matter/dynamic-profile/view/1913155","19-1913155")</f>
        <v>0</v>
      </c>
      <c r="B267" t="s">
        <v>57</v>
      </c>
      <c r="C267" t="s">
        <v>95</v>
      </c>
      <c r="D267" t="s">
        <v>214</v>
      </c>
      <c r="E267" t="s">
        <v>259</v>
      </c>
      <c r="G267" t="s">
        <v>810</v>
      </c>
      <c r="H267" t="s">
        <v>1541</v>
      </c>
      <c r="J267" t="s">
        <v>2307</v>
      </c>
      <c r="K267">
        <v>20</v>
      </c>
      <c r="L267" t="s">
        <v>3329</v>
      </c>
      <c r="M267" t="s">
        <v>3379</v>
      </c>
      <c r="N267">
        <v>10467</v>
      </c>
      <c r="O267" t="s">
        <v>3380</v>
      </c>
      <c r="P267" t="s">
        <v>3381</v>
      </c>
      <c r="Q267" t="s">
        <v>3387</v>
      </c>
      <c r="R267" t="s">
        <v>3626</v>
      </c>
      <c r="S267">
        <v>2</v>
      </c>
      <c r="T267" t="s">
        <v>4196</v>
      </c>
      <c r="U267" t="s">
        <v>4223</v>
      </c>
      <c r="W267" t="s">
        <v>4238</v>
      </c>
      <c r="X267" t="s">
        <v>3382</v>
      </c>
      <c r="Y267" t="s">
        <v>3382</v>
      </c>
      <c r="AA267" t="s">
        <v>4256</v>
      </c>
      <c r="AC267">
        <v>0</v>
      </c>
      <c r="AD267">
        <v>1265.33</v>
      </c>
      <c r="AE267">
        <v>1.5</v>
      </c>
      <c r="AG267" t="s">
        <v>4541</v>
      </c>
      <c r="AI267" t="s">
        <v>5607</v>
      </c>
      <c r="AJ267">
        <v>85</v>
      </c>
      <c r="AL267">
        <v>3</v>
      </c>
      <c r="AM267">
        <v>0</v>
      </c>
      <c r="AN267">
        <v>80.51000000000001</v>
      </c>
      <c r="AS267" t="s">
        <v>6298</v>
      </c>
      <c r="AT267">
        <v>17172</v>
      </c>
      <c r="AW267" t="s">
        <v>6370</v>
      </c>
      <c r="AX267" t="s">
        <v>6393</v>
      </c>
      <c r="BA267" t="s">
        <v>6530</v>
      </c>
      <c r="BD267" t="s">
        <v>316</v>
      </c>
      <c r="BE267" t="s">
        <v>6702</v>
      </c>
    </row>
    <row r="268" spans="1:57">
      <c r="A268" s="1">
        <f>HYPERLINK("https://lsnyc.legalserver.org/matter/dynamic-profile/view/1901247","19-1901247")</f>
        <v>0</v>
      </c>
      <c r="B268" t="s">
        <v>57</v>
      </c>
      <c r="C268" t="s">
        <v>95</v>
      </c>
      <c r="D268" t="s">
        <v>214</v>
      </c>
      <c r="E268" t="s">
        <v>323</v>
      </c>
      <c r="G268" t="s">
        <v>811</v>
      </c>
      <c r="H268" t="s">
        <v>1507</v>
      </c>
      <c r="J268" t="s">
        <v>2308</v>
      </c>
      <c r="K268" t="s">
        <v>3114</v>
      </c>
      <c r="L268" t="s">
        <v>3329</v>
      </c>
      <c r="M268" t="s">
        <v>3379</v>
      </c>
      <c r="N268">
        <v>10462</v>
      </c>
      <c r="O268" t="s">
        <v>3380</v>
      </c>
      <c r="P268" t="s">
        <v>3381</v>
      </c>
      <c r="Q268" t="s">
        <v>3384</v>
      </c>
      <c r="R268" t="s">
        <v>3627</v>
      </c>
      <c r="S268">
        <v>17</v>
      </c>
      <c r="T268" t="s">
        <v>4196</v>
      </c>
      <c r="W268" t="s">
        <v>4238</v>
      </c>
      <c r="X268" t="s">
        <v>3382</v>
      </c>
      <c r="Y268" t="s">
        <v>3382</v>
      </c>
      <c r="AA268" t="s">
        <v>4256</v>
      </c>
      <c r="AC268">
        <v>0</v>
      </c>
      <c r="AD268">
        <v>1444</v>
      </c>
      <c r="AE268">
        <v>39.1</v>
      </c>
      <c r="AG268" t="s">
        <v>4542</v>
      </c>
      <c r="AH268" t="s">
        <v>5272</v>
      </c>
      <c r="AI268" t="s">
        <v>5608</v>
      </c>
      <c r="AJ268">
        <v>90</v>
      </c>
      <c r="AK268" t="s">
        <v>6273</v>
      </c>
      <c r="AL268">
        <v>1</v>
      </c>
      <c r="AM268">
        <v>0</v>
      </c>
      <c r="AN268">
        <v>124.89</v>
      </c>
      <c r="AR268" t="s">
        <v>6290</v>
      </c>
      <c r="AS268" t="s">
        <v>6298</v>
      </c>
      <c r="AT268">
        <v>15598.7</v>
      </c>
      <c r="AX268" t="s">
        <v>6395</v>
      </c>
      <c r="BA268" t="s">
        <v>6473</v>
      </c>
      <c r="BD268" t="s">
        <v>218</v>
      </c>
      <c r="BE268" t="s">
        <v>6703</v>
      </c>
    </row>
    <row r="269" spans="1:57">
      <c r="A269" s="1">
        <f>HYPERLINK("https://lsnyc.legalserver.org/matter/dynamic-profile/view/1914329","19-1914329")</f>
        <v>0</v>
      </c>
      <c r="B269" t="s">
        <v>57</v>
      </c>
      <c r="C269" t="s">
        <v>95</v>
      </c>
      <c r="D269" t="s">
        <v>214</v>
      </c>
      <c r="E269" t="s">
        <v>224</v>
      </c>
      <c r="G269" t="s">
        <v>582</v>
      </c>
      <c r="H269" t="s">
        <v>1542</v>
      </c>
      <c r="J269" t="s">
        <v>2309</v>
      </c>
      <c r="K269" t="s">
        <v>3016</v>
      </c>
      <c r="L269" t="s">
        <v>3329</v>
      </c>
      <c r="M269" t="s">
        <v>3379</v>
      </c>
      <c r="N269">
        <v>10457</v>
      </c>
      <c r="O269" t="s">
        <v>3380</v>
      </c>
      <c r="P269" t="s">
        <v>3381</v>
      </c>
      <c r="Q269" t="s">
        <v>3383</v>
      </c>
      <c r="R269" t="s">
        <v>3628</v>
      </c>
      <c r="S269">
        <v>4</v>
      </c>
      <c r="T269" t="s">
        <v>4197</v>
      </c>
      <c r="W269" t="s">
        <v>4238</v>
      </c>
      <c r="X269" t="s">
        <v>3382</v>
      </c>
      <c r="Y269" t="s">
        <v>3382</v>
      </c>
      <c r="AA269" t="s">
        <v>4256</v>
      </c>
      <c r="AC269">
        <v>0</v>
      </c>
      <c r="AD269">
        <v>1268</v>
      </c>
      <c r="AE269">
        <v>4.9</v>
      </c>
      <c r="AG269" t="s">
        <v>4543</v>
      </c>
      <c r="AH269" t="s">
        <v>5273</v>
      </c>
      <c r="AI269" t="s">
        <v>5609</v>
      </c>
      <c r="AJ269">
        <v>88</v>
      </c>
      <c r="AK269" t="s">
        <v>6267</v>
      </c>
      <c r="AL269">
        <v>1</v>
      </c>
      <c r="AM269">
        <v>0</v>
      </c>
      <c r="AN269">
        <v>97.33</v>
      </c>
      <c r="AR269" t="s">
        <v>6290</v>
      </c>
      <c r="AS269" t="s">
        <v>6298</v>
      </c>
      <c r="AT269">
        <v>12156</v>
      </c>
      <c r="AX269" t="s">
        <v>6385</v>
      </c>
      <c r="BA269" t="s">
        <v>6511</v>
      </c>
      <c r="BD269" t="s">
        <v>243</v>
      </c>
      <c r="BE269" t="s">
        <v>6702</v>
      </c>
    </row>
    <row r="270" spans="1:57">
      <c r="A270" s="1">
        <f>HYPERLINK("https://lsnyc.legalserver.org/matter/dynamic-profile/view/1903727","19-1903727")</f>
        <v>0</v>
      </c>
      <c r="B270" t="s">
        <v>57</v>
      </c>
      <c r="C270" t="s">
        <v>95</v>
      </c>
      <c r="D270" t="s">
        <v>214</v>
      </c>
      <c r="E270" t="s">
        <v>324</v>
      </c>
      <c r="G270" t="s">
        <v>812</v>
      </c>
      <c r="H270" t="s">
        <v>1402</v>
      </c>
      <c r="J270" t="s">
        <v>2310</v>
      </c>
      <c r="K270" t="s">
        <v>3120</v>
      </c>
      <c r="L270" t="s">
        <v>3329</v>
      </c>
      <c r="M270" t="s">
        <v>3379</v>
      </c>
      <c r="N270">
        <v>10453</v>
      </c>
      <c r="O270" t="s">
        <v>3380</v>
      </c>
      <c r="P270" t="s">
        <v>3381</v>
      </c>
      <c r="S270">
        <v>0</v>
      </c>
      <c r="U270" t="s">
        <v>4223</v>
      </c>
      <c r="W270" t="s">
        <v>4239</v>
      </c>
      <c r="X270" t="s">
        <v>3382</v>
      </c>
      <c r="AA270" t="s">
        <v>4256</v>
      </c>
      <c r="AC270">
        <v>0</v>
      </c>
      <c r="AD270">
        <v>0</v>
      </c>
      <c r="AE270">
        <v>19.8</v>
      </c>
      <c r="AG270" t="s">
        <v>4544</v>
      </c>
      <c r="AI270" t="s">
        <v>5610</v>
      </c>
      <c r="AJ270">
        <v>151</v>
      </c>
      <c r="AL270">
        <v>2</v>
      </c>
      <c r="AM270">
        <v>0</v>
      </c>
      <c r="AN270">
        <v>137.03</v>
      </c>
      <c r="AS270" t="s">
        <v>6298</v>
      </c>
      <c r="AT270">
        <v>23172</v>
      </c>
      <c r="AX270" t="s">
        <v>6400</v>
      </c>
      <c r="BA270" t="s">
        <v>6531</v>
      </c>
      <c r="BD270" t="s">
        <v>407</v>
      </c>
      <c r="BE270" t="s">
        <v>6702</v>
      </c>
    </row>
    <row r="271" spans="1:57">
      <c r="A271" s="1">
        <f>HYPERLINK("https://lsnyc.legalserver.org/matter/dynamic-profile/view/1901592","19-1901592")</f>
        <v>0</v>
      </c>
      <c r="B271" t="s">
        <v>57</v>
      </c>
      <c r="C271" t="s">
        <v>95</v>
      </c>
      <c r="D271" t="s">
        <v>214</v>
      </c>
      <c r="E271" t="s">
        <v>325</v>
      </c>
      <c r="G271" t="s">
        <v>813</v>
      </c>
      <c r="H271" t="s">
        <v>1543</v>
      </c>
      <c r="J271" t="s">
        <v>2311</v>
      </c>
      <c r="K271" t="s">
        <v>3121</v>
      </c>
      <c r="L271" t="s">
        <v>3329</v>
      </c>
      <c r="M271" t="s">
        <v>3379</v>
      </c>
      <c r="N271">
        <v>10451</v>
      </c>
      <c r="O271" t="s">
        <v>3382</v>
      </c>
      <c r="P271" t="s">
        <v>3381</v>
      </c>
      <c r="S271">
        <v>0</v>
      </c>
      <c r="U271" t="s">
        <v>4223</v>
      </c>
      <c r="W271" t="s">
        <v>4239</v>
      </c>
      <c r="X271" t="s">
        <v>3382</v>
      </c>
      <c r="AA271" t="s">
        <v>4256</v>
      </c>
      <c r="AC271">
        <v>0</v>
      </c>
      <c r="AD271">
        <v>0</v>
      </c>
      <c r="AE271">
        <v>71.15000000000001</v>
      </c>
      <c r="AG271" t="s">
        <v>4545</v>
      </c>
      <c r="AI271" t="s">
        <v>5611</v>
      </c>
      <c r="AJ271">
        <v>120</v>
      </c>
      <c r="AL271">
        <v>2</v>
      </c>
      <c r="AM271">
        <v>1</v>
      </c>
      <c r="AN271">
        <v>0</v>
      </c>
      <c r="AS271" t="s">
        <v>6299</v>
      </c>
      <c r="AT271">
        <v>0</v>
      </c>
      <c r="AW271" t="s">
        <v>6371</v>
      </c>
      <c r="AX271" t="s">
        <v>6400</v>
      </c>
      <c r="BA271" t="s">
        <v>6479</v>
      </c>
      <c r="BD271" t="s">
        <v>218</v>
      </c>
      <c r="BE271" t="s">
        <v>5312</v>
      </c>
    </row>
    <row r="272" spans="1:57">
      <c r="A272" s="1">
        <f>HYPERLINK("https://lsnyc.legalserver.org/matter/dynamic-profile/view/1909741","19-1909741")</f>
        <v>0</v>
      </c>
      <c r="B272" t="s">
        <v>57</v>
      </c>
      <c r="C272" t="s">
        <v>96</v>
      </c>
      <c r="D272" t="s">
        <v>214</v>
      </c>
      <c r="E272" t="s">
        <v>326</v>
      </c>
      <c r="G272" t="s">
        <v>814</v>
      </c>
      <c r="H272" t="s">
        <v>1544</v>
      </c>
      <c r="J272" t="s">
        <v>2312</v>
      </c>
      <c r="K272" t="s">
        <v>3061</v>
      </c>
      <c r="L272" t="s">
        <v>3329</v>
      </c>
      <c r="M272" t="s">
        <v>3379</v>
      </c>
      <c r="N272">
        <v>10468</v>
      </c>
      <c r="O272" t="s">
        <v>3380</v>
      </c>
      <c r="P272" t="s">
        <v>3381</v>
      </c>
      <c r="Q272" t="s">
        <v>3383</v>
      </c>
      <c r="R272" t="s">
        <v>3629</v>
      </c>
      <c r="S272">
        <v>3</v>
      </c>
      <c r="T272" t="s">
        <v>4197</v>
      </c>
      <c r="W272" t="s">
        <v>4238</v>
      </c>
      <c r="X272" t="s">
        <v>3382</v>
      </c>
      <c r="Y272" t="s">
        <v>3382</v>
      </c>
      <c r="AA272" t="s">
        <v>4256</v>
      </c>
      <c r="AC272">
        <v>0</v>
      </c>
      <c r="AD272">
        <v>237</v>
      </c>
      <c r="AE272">
        <v>23.5</v>
      </c>
      <c r="AG272" t="s">
        <v>4546</v>
      </c>
      <c r="AI272" t="s">
        <v>5612</v>
      </c>
      <c r="AJ272">
        <v>111</v>
      </c>
      <c r="AK272" t="s">
        <v>6276</v>
      </c>
      <c r="AL272">
        <v>1</v>
      </c>
      <c r="AM272">
        <v>0</v>
      </c>
      <c r="AN272">
        <v>74.08</v>
      </c>
      <c r="AR272" t="s">
        <v>6290</v>
      </c>
      <c r="AS272" t="s">
        <v>6298</v>
      </c>
      <c r="AT272">
        <v>9252</v>
      </c>
      <c r="AX272" t="s">
        <v>99</v>
      </c>
      <c r="BA272" t="s">
        <v>6482</v>
      </c>
      <c r="BD272" t="s">
        <v>266</v>
      </c>
      <c r="BE272" t="s">
        <v>6702</v>
      </c>
    </row>
    <row r="273" spans="1:57">
      <c r="A273" s="1">
        <f>HYPERLINK("https://lsnyc.legalserver.org/matter/dynamic-profile/view/1909673","19-1909673")</f>
        <v>0</v>
      </c>
      <c r="B273" t="s">
        <v>57</v>
      </c>
      <c r="C273" t="s">
        <v>96</v>
      </c>
      <c r="D273" t="s">
        <v>214</v>
      </c>
      <c r="E273" t="s">
        <v>327</v>
      </c>
      <c r="G273" t="s">
        <v>594</v>
      </c>
      <c r="H273" t="s">
        <v>1453</v>
      </c>
      <c r="J273" t="s">
        <v>2313</v>
      </c>
      <c r="L273" t="s">
        <v>3329</v>
      </c>
      <c r="M273" t="s">
        <v>3379</v>
      </c>
      <c r="N273">
        <v>10468</v>
      </c>
      <c r="O273" t="s">
        <v>3380</v>
      </c>
      <c r="P273" t="s">
        <v>3381</v>
      </c>
      <c r="Q273" t="s">
        <v>3383</v>
      </c>
      <c r="R273" t="s">
        <v>3630</v>
      </c>
      <c r="S273">
        <v>40</v>
      </c>
      <c r="T273" t="s">
        <v>4196</v>
      </c>
      <c r="U273" t="s">
        <v>4223</v>
      </c>
      <c r="W273" t="s">
        <v>4238</v>
      </c>
      <c r="X273" t="s">
        <v>3382</v>
      </c>
      <c r="Y273" t="s">
        <v>3382</v>
      </c>
      <c r="AA273" t="s">
        <v>4256</v>
      </c>
      <c r="AC273">
        <v>0</v>
      </c>
      <c r="AD273">
        <v>1500</v>
      </c>
      <c r="AE273">
        <v>14.5</v>
      </c>
      <c r="AG273" t="s">
        <v>4547</v>
      </c>
      <c r="AI273" t="s">
        <v>5613</v>
      </c>
      <c r="AJ273">
        <v>100</v>
      </c>
      <c r="AK273" t="s">
        <v>6267</v>
      </c>
      <c r="AL273">
        <v>1</v>
      </c>
      <c r="AM273">
        <v>0</v>
      </c>
      <c r="AN273">
        <v>115</v>
      </c>
      <c r="AR273" t="s">
        <v>5312</v>
      </c>
      <c r="AS273" t="s">
        <v>6298</v>
      </c>
      <c r="AT273">
        <v>14364</v>
      </c>
      <c r="AX273" t="s">
        <v>99</v>
      </c>
      <c r="BA273" t="s">
        <v>6511</v>
      </c>
      <c r="BD273" t="s">
        <v>316</v>
      </c>
      <c r="BE273" t="s">
        <v>6702</v>
      </c>
    </row>
    <row r="274" spans="1:57">
      <c r="A274" s="1">
        <f>HYPERLINK("https://lsnyc.legalserver.org/matter/dynamic-profile/view/1910824","19-1910824")</f>
        <v>0</v>
      </c>
      <c r="B274" t="s">
        <v>57</v>
      </c>
      <c r="C274" t="s">
        <v>96</v>
      </c>
      <c r="D274" t="s">
        <v>214</v>
      </c>
      <c r="E274" t="s">
        <v>328</v>
      </c>
      <c r="G274" t="s">
        <v>815</v>
      </c>
      <c r="H274" t="s">
        <v>1545</v>
      </c>
      <c r="J274" t="s">
        <v>2314</v>
      </c>
      <c r="K274" t="s">
        <v>3016</v>
      </c>
      <c r="L274" t="s">
        <v>3329</v>
      </c>
      <c r="M274" t="s">
        <v>3379</v>
      </c>
      <c r="N274">
        <v>10467</v>
      </c>
      <c r="O274" t="s">
        <v>3380</v>
      </c>
      <c r="P274" t="s">
        <v>3381</v>
      </c>
      <c r="Q274" t="s">
        <v>3383</v>
      </c>
      <c r="R274" t="s">
        <v>3631</v>
      </c>
      <c r="S274">
        <v>0</v>
      </c>
      <c r="T274" t="s">
        <v>4196</v>
      </c>
      <c r="U274" t="s">
        <v>4224</v>
      </c>
      <c r="W274" t="s">
        <v>4238</v>
      </c>
      <c r="X274" t="s">
        <v>3382</v>
      </c>
      <c r="Y274" t="s">
        <v>3382</v>
      </c>
      <c r="AA274" t="s">
        <v>4256</v>
      </c>
      <c r="AC274">
        <v>0</v>
      </c>
      <c r="AD274">
        <v>0</v>
      </c>
      <c r="AE274">
        <v>23</v>
      </c>
      <c r="AG274" t="s">
        <v>4548</v>
      </c>
      <c r="AH274" t="s">
        <v>5274</v>
      </c>
      <c r="AJ274">
        <v>51</v>
      </c>
      <c r="AK274" t="s">
        <v>6266</v>
      </c>
      <c r="AL274">
        <v>2</v>
      </c>
      <c r="AM274">
        <v>2</v>
      </c>
      <c r="AN274">
        <v>60.58</v>
      </c>
      <c r="AR274" t="s">
        <v>6291</v>
      </c>
      <c r="AS274" t="s">
        <v>6298</v>
      </c>
      <c r="AT274">
        <v>15600</v>
      </c>
      <c r="AX274" t="s">
        <v>99</v>
      </c>
      <c r="BA274" t="s">
        <v>6532</v>
      </c>
      <c r="BD274" t="s">
        <v>222</v>
      </c>
      <c r="BE274" t="s">
        <v>6703</v>
      </c>
    </row>
    <row r="275" spans="1:57">
      <c r="A275" s="1">
        <f>HYPERLINK("https://lsnyc.legalserver.org/matter/dynamic-profile/view/1912834","19-1912834")</f>
        <v>0</v>
      </c>
      <c r="B275" t="s">
        <v>57</v>
      </c>
      <c r="C275" t="s">
        <v>96</v>
      </c>
      <c r="D275" t="s">
        <v>214</v>
      </c>
      <c r="E275" t="s">
        <v>216</v>
      </c>
      <c r="G275" t="s">
        <v>816</v>
      </c>
      <c r="H275" t="s">
        <v>1546</v>
      </c>
      <c r="J275" t="s">
        <v>2315</v>
      </c>
      <c r="K275" t="s">
        <v>3000</v>
      </c>
      <c r="L275" t="s">
        <v>3329</v>
      </c>
      <c r="M275" t="s">
        <v>3379</v>
      </c>
      <c r="N275">
        <v>10467</v>
      </c>
      <c r="O275" t="s">
        <v>3380</v>
      </c>
      <c r="P275" t="s">
        <v>3381</v>
      </c>
      <c r="Q275" t="s">
        <v>3383</v>
      </c>
      <c r="R275" t="s">
        <v>3632</v>
      </c>
      <c r="S275">
        <v>4</v>
      </c>
      <c r="T275" t="s">
        <v>4196</v>
      </c>
      <c r="W275" t="s">
        <v>4238</v>
      </c>
      <c r="X275" t="s">
        <v>3382</v>
      </c>
      <c r="Y275" t="s">
        <v>3382</v>
      </c>
      <c r="AA275" t="s">
        <v>4256</v>
      </c>
      <c r="AC275">
        <v>0</v>
      </c>
      <c r="AD275">
        <v>1300</v>
      </c>
      <c r="AE275">
        <v>5</v>
      </c>
      <c r="AG275" t="s">
        <v>4549</v>
      </c>
      <c r="AI275" t="s">
        <v>5614</v>
      </c>
      <c r="AJ275">
        <v>36</v>
      </c>
      <c r="AK275" t="s">
        <v>6267</v>
      </c>
      <c r="AL275">
        <v>1</v>
      </c>
      <c r="AM275">
        <v>0</v>
      </c>
      <c r="AN275">
        <v>124.9</v>
      </c>
      <c r="AR275" t="s">
        <v>5312</v>
      </c>
      <c r="AS275" t="s">
        <v>6298</v>
      </c>
      <c r="AT275">
        <v>15600</v>
      </c>
      <c r="AX275" t="s">
        <v>99</v>
      </c>
      <c r="BA275" t="s">
        <v>3391</v>
      </c>
      <c r="BD275" t="s">
        <v>218</v>
      </c>
      <c r="BE275" t="s">
        <v>5312</v>
      </c>
    </row>
    <row r="276" spans="1:57">
      <c r="A276" s="1">
        <f>HYPERLINK("https://lsnyc.legalserver.org/matter/dynamic-profile/view/1914100","19-1914100")</f>
        <v>0</v>
      </c>
      <c r="B276" t="s">
        <v>57</v>
      </c>
      <c r="C276" t="s">
        <v>96</v>
      </c>
      <c r="D276" t="s">
        <v>214</v>
      </c>
      <c r="E276" t="s">
        <v>266</v>
      </c>
      <c r="G276" t="s">
        <v>817</v>
      </c>
      <c r="H276" t="s">
        <v>1547</v>
      </c>
      <c r="J276" t="s">
        <v>2316</v>
      </c>
      <c r="K276" t="s">
        <v>2995</v>
      </c>
      <c r="L276" t="s">
        <v>3329</v>
      </c>
      <c r="M276" t="s">
        <v>3379</v>
      </c>
      <c r="N276">
        <v>10467</v>
      </c>
      <c r="O276" t="s">
        <v>3380</v>
      </c>
      <c r="P276" t="s">
        <v>3381</v>
      </c>
      <c r="Q276" t="s">
        <v>3383</v>
      </c>
      <c r="S276">
        <v>5</v>
      </c>
      <c r="T276" t="s">
        <v>4196</v>
      </c>
      <c r="W276" t="s">
        <v>4238</v>
      </c>
      <c r="X276" t="s">
        <v>3382</v>
      </c>
      <c r="Y276" t="s">
        <v>3382</v>
      </c>
      <c r="AA276" t="s">
        <v>4256</v>
      </c>
      <c r="AC276">
        <v>0</v>
      </c>
      <c r="AD276">
        <v>1439.78</v>
      </c>
      <c r="AE276">
        <v>4.5</v>
      </c>
      <c r="AG276" t="s">
        <v>4550</v>
      </c>
      <c r="AI276" t="s">
        <v>5615</v>
      </c>
      <c r="AJ276">
        <v>49</v>
      </c>
      <c r="AK276" t="s">
        <v>6266</v>
      </c>
      <c r="AL276">
        <v>1</v>
      </c>
      <c r="AM276">
        <v>0</v>
      </c>
      <c r="AN276">
        <v>160.13</v>
      </c>
      <c r="AR276" t="s">
        <v>5312</v>
      </c>
      <c r="AS276" t="s">
        <v>6298</v>
      </c>
      <c r="AT276">
        <v>20000</v>
      </c>
      <c r="AX276" t="s">
        <v>99</v>
      </c>
      <c r="BA276" t="s">
        <v>6477</v>
      </c>
      <c r="BD276" t="s">
        <v>227</v>
      </c>
      <c r="BE276" t="s">
        <v>6702</v>
      </c>
    </row>
    <row r="277" spans="1:57">
      <c r="A277" s="1">
        <f>HYPERLINK("https://lsnyc.legalserver.org/matter/dynamic-profile/view/1906331","19-1906331")</f>
        <v>0</v>
      </c>
      <c r="B277" t="s">
        <v>57</v>
      </c>
      <c r="C277" t="s">
        <v>96</v>
      </c>
      <c r="D277" t="s">
        <v>214</v>
      </c>
      <c r="E277" t="s">
        <v>329</v>
      </c>
      <c r="G277" t="s">
        <v>782</v>
      </c>
      <c r="H277" t="s">
        <v>1548</v>
      </c>
      <c r="J277" t="s">
        <v>2317</v>
      </c>
      <c r="K277" t="s">
        <v>3030</v>
      </c>
      <c r="L277" t="s">
        <v>3329</v>
      </c>
      <c r="M277" t="s">
        <v>3379</v>
      </c>
      <c r="N277">
        <v>10462</v>
      </c>
      <c r="O277" t="s">
        <v>3380</v>
      </c>
      <c r="P277" t="s">
        <v>3381</v>
      </c>
      <c r="Q277" t="s">
        <v>3384</v>
      </c>
      <c r="R277" t="s">
        <v>3633</v>
      </c>
      <c r="S277">
        <v>12</v>
      </c>
      <c r="T277" t="s">
        <v>4197</v>
      </c>
      <c r="U277" t="s">
        <v>4223</v>
      </c>
      <c r="W277" t="s">
        <v>4239</v>
      </c>
      <c r="X277" t="s">
        <v>3382</v>
      </c>
      <c r="Y277" t="s">
        <v>3382</v>
      </c>
      <c r="AA277" t="s">
        <v>4256</v>
      </c>
      <c r="AC277">
        <v>0</v>
      </c>
      <c r="AD277">
        <v>1196.54</v>
      </c>
      <c r="AE277">
        <v>36.35</v>
      </c>
      <c r="AG277" t="s">
        <v>4551</v>
      </c>
      <c r="AI277" t="s">
        <v>5616</v>
      </c>
      <c r="AJ277">
        <v>3857</v>
      </c>
      <c r="AK277" t="s">
        <v>6274</v>
      </c>
      <c r="AL277">
        <v>1</v>
      </c>
      <c r="AM277">
        <v>0</v>
      </c>
      <c r="AN277">
        <v>201.67</v>
      </c>
      <c r="AR277" t="s">
        <v>5312</v>
      </c>
      <c r="AS277" t="s">
        <v>6298</v>
      </c>
      <c r="AT277">
        <v>25188</v>
      </c>
      <c r="AW277" t="s">
        <v>6365</v>
      </c>
      <c r="AX277" t="s">
        <v>6397</v>
      </c>
      <c r="BA277" t="s">
        <v>6511</v>
      </c>
      <c r="BD277" t="s">
        <v>249</v>
      </c>
    </row>
    <row r="278" spans="1:57">
      <c r="A278" s="1">
        <f>HYPERLINK("https://lsnyc.legalserver.org/matter/dynamic-profile/view/1914111","19-1914111")</f>
        <v>0</v>
      </c>
      <c r="B278" t="s">
        <v>57</v>
      </c>
      <c r="C278" t="s">
        <v>96</v>
      </c>
      <c r="D278" t="s">
        <v>214</v>
      </c>
      <c r="E278" t="s">
        <v>266</v>
      </c>
      <c r="G278" t="s">
        <v>818</v>
      </c>
      <c r="H278" t="s">
        <v>1549</v>
      </c>
      <c r="J278" t="s">
        <v>2139</v>
      </c>
      <c r="K278" t="s">
        <v>3122</v>
      </c>
      <c r="L278" t="s">
        <v>3329</v>
      </c>
      <c r="M278" t="s">
        <v>3379</v>
      </c>
      <c r="N278">
        <v>10462</v>
      </c>
      <c r="O278" t="s">
        <v>3380</v>
      </c>
      <c r="P278" t="s">
        <v>3381</v>
      </c>
      <c r="Q278" t="s">
        <v>3383</v>
      </c>
      <c r="R278" t="s">
        <v>3634</v>
      </c>
      <c r="S278">
        <v>3</v>
      </c>
      <c r="T278" t="s">
        <v>4196</v>
      </c>
      <c r="U278" t="s">
        <v>4223</v>
      </c>
      <c r="W278" t="s">
        <v>4238</v>
      </c>
      <c r="X278" t="s">
        <v>3382</v>
      </c>
      <c r="Y278" t="s">
        <v>3382</v>
      </c>
      <c r="AA278" t="s">
        <v>4256</v>
      </c>
      <c r="AC278">
        <v>0</v>
      </c>
      <c r="AD278">
        <v>1050</v>
      </c>
      <c r="AE278">
        <v>2.1</v>
      </c>
      <c r="AG278" t="s">
        <v>4552</v>
      </c>
      <c r="AI278" t="s">
        <v>5617</v>
      </c>
      <c r="AJ278">
        <v>133</v>
      </c>
      <c r="AK278" t="s">
        <v>6267</v>
      </c>
      <c r="AL278">
        <v>2</v>
      </c>
      <c r="AM278">
        <v>0</v>
      </c>
      <c r="AN278">
        <v>141.93</v>
      </c>
      <c r="AR278" t="s">
        <v>5312</v>
      </c>
      <c r="AS278" t="s">
        <v>6298</v>
      </c>
      <c r="AT278">
        <v>24000</v>
      </c>
      <c r="AX278" t="s">
        <v>99</v>
      </c>
      <c r="BA278" t="s">
        <v>6477</v>
      </c>
      <c r="BD278" t="s">
        <v>218</v>
      </c>
      <c r="BE278" t="s">
        <v>6702</v>
      </c>
    </row>
    <row r="279" spans="1:57">
      <c r="A279" s="1">
        <f>HYPERLINK("https://lsnyc.legalserver.org/matter/dynamic-profile/view/1914264","19-1914264")</f>
        <v>0</v>
      </c>
      <c r="B279" t="s">
        <v>57</v>
      </c>
      <c r="C279" t="s">
        <v>96</v>
      </c>
      <c r="D279" t="s">
        <v>214</v>
      </c>
      <c r="E279" t="s">
        <v>230</v>
      </c>
      <c r="G279" t="s">
        <v>819</v>
      </c>
      <c r="H279" t="s">
        <v>1550</v>
      </c>
      <c r="J279" t="s">
        <v>2318</v>
      </c>
      <c r="K279" t="s">
        <v>3123</v>
      </c>
      <c r="L279" t="s">
        <v>3329</v>
      </c>
      <c r="M279" t="s">
        <v>3379</v>
      </c>
      <c r="N279">
        <v>10460</v>
      </c>
      <c r="O279" t="s">
        <v>3380</v>
      </c>
      <c r="P279" t="s">
        <v>3381</v>
      </c>
      <c r="Q279" t="s">
        <v>3384</v>
      </c>
      <c r="S279">
        <v>3</v>
      </c>
      <c r="U279" t="s">
        <v>4224</v>
      </c>
      <c r="W279" t="s">
        <v>4239</v>
      </c>
      <c r="X279" t="s">
        <v>3382</v>
      </c>
      <c r="AA279" t="s">
        <v>4256</v>
      </c>
      <c r="AC279">
        <v>0</v>
      </c>
      <c r="AD279">
        <v>1395</v>
      </c>
      <c r="AE279">
        <v>7.5</v>
      </c>
      <c r="AG279" t="s">
        <v>4553</v>
      </c>
      <c r="AI279" t="s">
        <v>5618</v>
      </c>
      <c r="AJ279">
        <v>89</v>
      </c>
      <c r="AK279" t="s">
        <v>6267</v>
      </c>
      <c r="AL279">
        <v>1</v>
      </c>
      <c r="AM279">
        <v>0</v>
      </c>
      <c r="AN279">
        <v>74.45999999999999</v>
      </c>
      <c r="AR279" t="s">
        <v>5312</v>
      </c>
      <c r="AS279" t="s">
        <v>6298</v>
      </c>
      <c r="AT279">
        <v>9300</v>
      </c>
      <c r="AX279" t="s">
        <v>6397</v>
      </c>
      <c r="BA279" t="s">
        <v>6487</v>
      </c>
      <c r="BD279" t="s">
        <v>275</v>
      </c>
    </row>
    <row r="280" spans="1:57">
      <c r="A280" s="1">
        <f>HYPERLINK("https://lsnyc.legalserver.org/matter/dynamic-profile/view/1906104","19-1906104")</f>
        <v>0</v>
      </c>
      <c r="B280" t="s">
        <v>57</v>
      </c>
      <c r="C280" t="s">
        <v>96</v>
      </c>
      <c r="D280" t="s">
        <v>215</v>
      </c>
      <c r="E280" t="s">
        <v>252</v>
      </c>
      <c r="F280" t="s">
        <v>250</v>
      </c>
      <c r="G280" t="s">
        <v>820</v>
      </c>
      <c r="H280" t="s">
        <v>1357</v>
      </c>
      <c r="J280" t="s">
        <v>2319</v>
      </c>
      <c r="K280" t="s">
        <v>3007</v>
      </c>
      <c r="L280" t="s">
        <v>3329</v>
      </c>
      <c r="M280" t="s">
        <v>3379</v>
      </c>
      <c r="N280">
        <v>10457</v>
      </c>
      <c r="O280" t="s">
        <v>3380</v>
      </c>
      <c r="P280" t="s">
        <v>3381</v>
      </c>
      <c r="R280" t="s">
        <v>3635</v>
      </c>
      <c r="S280">
        <v>0</v>
      </c>
      <c r="T280" t="s">
        <v>4196</v>
      </c>
      <c r="U280" t="s">
        <v>4223</v>
      </c>
      <c r="V280" t="s">
        <v>4231</v>
      </c>
      <c r="W280" t="s">
        <v>4238</v>
      </c>
      <c r="X280" t="s">
        <v>3382</v>
      </c>
      <c r="Y280" t="s">
        <v>3382</v>
      </c>
      <c r="AA280" t="s">
        <v>4256</v>
      </c>
      <c r="AC280">
        <v>0</v>
      </c>
      <c r="AD280">
        <v>0</v>
      </c>
      <c r="AE280">
        <v>8</v>
      </c>
      <c r="AF280" t="s">
        <v>4273</v>
      </c>
      <c r="AG280" t="s">
        <v>4554</v>
      </c>
      <c r="AJ280">
        <v>21</v>
      </c>
      <c r="AK280" t="s">
        <v>6267</v>
      </c>
      <c r="AL280">
        <v>1</v>
      </c>
      <c r="AM280">
        <v>1</v>
      </c>
      <c r="AN280">
        <v>153.76</v>
      </c>
      <c r="AS280" t="s">
        <v>6298</v>
      </c>
      <c r="AT280">
        <v>26000</v>
      </c>
      <c r="AX280" t="s">
        <v>6387</v>
      </c>
      <c r="BA280" t="s">
        <v>6477</v>
      </c>
      <c r="BD280" t="s">
        <v>271</v>
      </c>
      <c r="BE280" t="s">
        <v>6702</v>
      </c>
    </row>
    <row r="281" spans="1:57">
      <c r="A281" s="1">
        <f>HYPERLINK("https://lsnyc.legalserver.org/matter/dynamic-profile/view/1915023","19-1915023")</f>
        <v>0</v>
      </c>
      <c r="B281" t="s">
        <v>57</v>
      </c>
      <c r="C281" t="s">
        <v>96</v>
      </c>
      <c r="D281" t="s">
        <v>214</v>
      </c>
      <c r="E281" t="s">
        <v>243</v>
      </c>
      <c r="G281" t="s">
        <v>821</v>
      </c>
      <c r="H281" t="s">
        <v>1389</v>
      </c>
      <c r="J281" t="s">
        <v>2191</v>
      </c>
      <c r="K281">
        <v>105</v>
      </c>
      <c r="L281" t="s">
        <v>3329</v>
      </c>
      <c r="M281" t="s">
        <v>3379</v>
      </c>
      <c r="N281">
        <v>10457</v>
      </c>
      <c r="O281" t="s">
        <v>3380</v>
      </c>
      <c r="P281" t="s">
        <v>3381</v>
      </c>
      <c r="Q281" t="s">
        <v>3383</v>
      </c>
      <c r="R281" t="s">
        <v>3636</v>
      </c>
      <c r="S281">
        <v>8</v>
      </c>
      <c r="T281" t="s">
        <v>4196</v>
      </c>
      <c r="U281" t="s">
        <v>4223</v>
      </c>
      <c r="W281" t="s">
        <v>4238</v>
      </c>
      <c r="X281" t="s">
        <v>3382</v>
      </c>
      <c r="Y281" t="s">
        <v>3382</v>
      </c>
      <c r="AA281" t="s">
        <v>4256</v>
      </c>
      <c r="AC281">
        <v>0</v>
      </c>
      <c r="AD281">
        <v>1548</v>
      </c>
      <c r="AE281">
        <v>0</v>
      </c>
      <c r="AG281" t="s">
        <v>4555</v>
      </c>
      <c r="AI281" t="s">
        <v>5619</v>
      </c>
      <c r="AJ281">
        <v>0</v>
      </c>
      <c r="AK281" t="s">
        <v>6267</v>
      </c>
      <c r="AL281">
        <v>1</v>
      </c>
      <c r="AM281">
        <v>1</v>
      </c>
      <c r="AN281">
        <v>88.7</v>
      </c>
      <c r="AR281" t="s">
        <v>3391</v>
      </c>
      <c r="AS281" t="s">
        <v>6298</v>
      </c>
      <c r="AT281">
        <v>15000</v>
      </c>
      <c r="AX281" t="s">
        <v>99</v>
      </c>
      <c r="BA281" t="s">
        <v>6473</v>
      </c>
      <c r="BE281" t="s">
        <v>6702</v>
      </c>
    </row>
    <row r="282" spans="1:57">
      <c r="A282" s="1">
        <f>HYPERLINK("https://lsnyc.legalserver.org/matter/dynamic-profile/view/1909989","19-1909989")</f>
        <v>0</v>
      </c>
      <c r="B282" t="s">
        <v>57</v>
      </c>
      <c r="C282" t="s">
        <v>96</v>
      </c>
      <c r="D282" t="s">
        <v>214</v>
      </c>
      <c r="E282" t="s">
        <v>238</v>
      </c>
      <c r="G282" t="s">
        <v>822</v>
      </c>
      <c r="H282" t="s">
        <v>1334</v>
      </c>
      <c r="J282" t="s">
        <v>2320</v>
      </c>
      <c r="L282" t="s">
        <v>3329</v>
      </c>
      <c r="M282" t="s">
        <v>3379</v>
      </c>
      <c r="N282">
        <v>10456</v>
      </c>
      <c r="O282" t="s">
        <v>3381</v>
      </c>
      <c r="P282" t="s">
        <v>3381</v>
      </c>
      <c r="Q282" t="s">
        <v>3387</v>
      </c>
      <c r="R282" t="s">
        <v>3637</v>
      </c>
      <c r="S282">
        <v>8</v>
      </c>
      <c r="T282" t="s">
        <v>4197</v>
      </c>
      <c r="U282" t="s">
        <v>4224</v>
      </c>
      <c r="W282" t="s">
        <v>4239</v>
      </c>
      <c r="X282" t="s">
        <v>3382</v>
      </c>
      <c r="AA282" t="s">
        <v>4256</v>
      </c>
      <c r="AC282">
        <v>0</v>
      </c>
      <c r="AD282">
        <v>1985</v>
      </c>
      <c r="AE282">
        <v>6.75</v>
      </c>
      <c r="AG282" t="s">
        <v>4556</v>
      </c>
      <c r="AI282" t="s">
        <v>5620</v>
      </c>
      <c r="AJ282">
        <v>0</v>
      </c>
      <c r="AK282" t="s">
        <v>6266</v>
      </c>
      <c r="AL282">
        <v>1</v>
      </c>
      <c r="AM282">
        <v>2</v>
      </c>
      <c r="AN282">
        <v>18.28</v>
      </c>
      <c r="AR282" t="s">
        <v>5312</v>
      </c>
      <c r="AS282" t="s">
        <v>6298</v>
      </c>
      <c r="AT282">
        <v>3900</v>
      </c>
      <c r="AX282" t="s">
        <v>6403</v>
      </c>
      <c r="BA282" t="s">
        <v>6533</v>
      </c>
      <c r="BD282" t="s">
        <v>279</v>
      </c>
    </row>
    <row r="283" spans="1:57">
      <c r="A283" s="1">
        <f>HYPERLINK("https://lsnyc.legalserver.org/matter/dynamic-profile/view/1910833","19-1910833")</f>
        <v>0</v>
      </c>
      <c r="B283" t="s">
        <v>57</v>
      </c>
      <c r="C283" t="s">
        <v>96</v>
      </c>
      <c r="D283" t="s">
        <v>214</v>
      </c>
      <c r="E283" t="s">
        <v>328</v>
      </c>
      <c r="G283" t="s">
        <v>823</v>
      </c>
      <c r="H283" t="s">
        <v>1551</v>
      </c>
      <c r="J283" t="s">
        <v>2321</v>
      </c>
      <c r="K283" t="s">
        <v>3024</v>
      </c>
      <c r="L283" t="s">
        <v>3329</v>
      </c>
      <c r="M283" t="s">
        <v>3379</v>
      </c>
      <c r="N283">
        <v>10454</v>
      </c>
      <c r="O283" t="s">
        <v>3380</v>
      </c>
      <c r="P283" t="s">
        <v>3381</v>
      </c>
      <c r="Q283" t="s">
        <v>3384</v>
      </c>
      <c r="R283" t="s">
        <v>3638</v>
      </c>
      <c r="S283">
        <v>5</v>
      </c>
      <c r="T283" t="s">
        <v>4196</v>
      </c>
      <c r="W283" t="s">
        <v>4239</v>
      </c>
      <c r="X283" t="s">
        <v>3382</v>
      </c>
      <c r="Y283" t="s">
        <v>3382</v>
      </c>
      <c r="AA283" t="s">
        <v>4256</v>
      </c>
      <c r="AC283">
        <v>0</v>
      </c>
      <c r="AD283">
        <v>804</v>
      </c>
      <c r="AE283">
        <v>0</v>
      </c>
      <c r="AG283" t="s">
        <v>4557</v>
      </c>
      <c r="AJ283">
        <v>43</v>
      </c>
      <c r="AK283" t="s">
        <v>6266</v>
      </c>
      <c r="AL283">
        <v>2</v>
      </c>
      <c r="AM283">
        <v>0</v>
      </c>
      <c r="AN283">
        <v>123.67</v>
      </c>
      <c r="AR283" t="s">
        <v>6290</v>
      </c>
      <c r="AS283" t="s">
        <v>6298</v>
      </c>
      <c r="AT283">
        <v>20912</v>
      </c>
      <c r="AX283" t="s">
        <v>99</v>
      </c>
      <c r="BA283" t="s">
        <v>6534</v>
      </c>
      <c r="BE283" t="s">
        <v>6702</v>
      </c>
    </row>
    <row r="284" spans="1:57">
      <c r="A284" s="1">
        <f>HYPERLINK("https://lsnyc.legalserver.org/matter/dynamic-profile/view/1911687","19-1911687")</f>
        <v>0</v>
      </c>
      <c r="B284" t="s">
        <v>57</v>
      </c>
      <c r="C284" t="s">
        <v>96</v>
      </c>
      <c r="D284" t="s">
        <v>214</v>
      </c>
      <c r="E284" t="s">
        <v>328</v>
      </c>
      <c r="G284" t="s">
        <v>823</v>
      </c>
      <c r="H284" t="s">
        <v>1551</v>
      </c>
      <c r="J284" t="s">
        <v>2321</v>
      </c>
      <c r="K284" t="s">
        <v>3024</v>
      </c>
      <c r="L284" t="s">
        <v>3329</v>
      </c>
      <c r="M284" t="s">
        <v>3379</v>
      </c>
      <c r="N284">
        <v>10454</v>
      </c>
      <c r="O284" t="s">
        <v>3380</v>
      </c>
      <c r="P284" t="s">
        <v>3381</v>
      </c>
      <c r="Q284" t="s">
        <v>3384</v>
      </c>
      <c r="R284" t="s">
        <v>3638</v>
      </c>
      <c r="S284">
        <v>5</v>
      </c>
      <c r="T284" t="s">
        <v>4196</v>
      </c>
      <c r="W284" t="s">
        <v>4239</v>
      </c>
      <c r="X284" t="s">
        <v>3382</v>
      </c>
      <c r="Y284" t="s">
        <v>3382</v>
      </c>
      <c r="AA284" t="s">
        <v>4256</v>
      </c>
      <c r="AC284">
        <v>0</v>
      </c>
      <c r="AD284">
        <v>804</v>
      </c>
      <c r="AE284">
        <v>4</v>
      </c>
      <c r="AG284" t="s">
        <v>4557</v>
      </c>
      <c r="AJ284">
        <v>43</v>
      </c>
      <c r="AL284">
        <v>2</v>
      </c>
      <c r="AM284">
        <v>0</v>
      </c>
      <c r="AN284">
        <v>123.67</v>
      </c>
      <c r="AR284" t="s">
        <v>6290</v>
      </c>
      <c r="AS284" t="s">
        <v>6298</v>
      </c>
      <c r="AT284">
        <v>20912</v>
      </c>
      <c r="AX284" t="s">
        <v>99</v>
      </c>
      <c r="BA284" t="s">
        <v>6534</v>
      </c>
      <c r="BD284" t="s">
        <v>259</v>
      </c>
      <c r="BE284" t="s">
        <v>6702</v>
      </c>
    </row>
    <row r="285" spans="1:57">
      <c r="A285" s="1">
        <f>HYPERLINK("https://lsnyc.legalserver.org/matter/dynamic-profile/view/1909676","19-1909676")</f>
        <v>0</v>
      </c>
      <c r="B285" t="s">
        <v>57</v>
      </c>
      <c r="C285" t="s">
        <v>97</v>
      </c>
      <c r="D285" t="s">
        <v>215</v>
      </c>
      <c r="E285" t="s">
        <v>330</v>
      </c>
      <c r="F285" t="s">
        <v>237</v>
      </c>
      <c r="G285" t="s">
        <v>687</v>
      </c>
      <c r="H285" t="s">
        <v>1349</v>
      </c>
      <c r="J285" t="s">
        <v>2322</v>
      </c>
      <c r="L285" t="s">
        <v>3329</v>
      </c>
      <c r="M285" t="s">
        <v>3379</v>
      </c>
      <c r="N285">
        <v>10467</v>
      </c>
      <c r="O285" t="s">
        <v>3381</v>
      </c>
      <c r="P285" t="s">
        <v>3381</v>
      </c>
      <c r="Q285" t="s">
        <v>3395</v>
      </c>
      <c r="S285">
        <v>1</v>
      </c>
      <c r="T285" t="s">
        <v>4203</v>
      </c>
      <c r="U285" t="s">
        <v>4225</v>
      </c>
      <c r="V285" t="s">
        <v>4230</v>
      </c>
      <c r="W285" t="s">
        <v>4239</v>
      </c>
      <c r="X285" t="s">
        <v>3382</v>
      </c>
      <c r="AA285" t="s">
        <v>4256</v>
      </c>
      <c r="AC285">
        <v>0</v>
      </c>
      <c r="AD285">
        <v>1325</v>
      </c>
      <c r="AE285">
        <v>1.6</v>
      </c>
      <c r="AF285" t="s">
        <v>4268</v>
      </c>
      <c r="AG285" t="s">
        <v>4558</v>
      </c>
      <c r="AI285" t="s">
        <v>5621</v>
      </c>
      <c r="AJ285">
        <v>63</v>
      </c>
      <c r="AK285" t="s">
        <v>6267</v>
      </c>
      <c r="AL285">
        <v>1</v>
      </c>
      <c r="AM285">
        <v>0</v>
      </c>
      <c r="AN285">
        <v>26.33</v>
      </c>
      <c r="AS285" t="s">
        <v>6298</v>
      </c>
      <c r="AT285">
        <v>3288</v>
      </c>
      <c r="AX285" t="s">
        <v>6399</v>
      </c>
      <c r="BA285" t="s">
        <v>6535</v>
      </c>
      <c r="BD285" t="s">
        <v>248</v>
      </c>
    </row>
    <row r="286" spans="1:57">
      <c r="A286" s="1">
        <f>HYPERLINK("https://lsnyc.legalserver.org/matter/dynamic-profile/view/1914581","19-1914581")</f>
        <v>0</v>
      </c>
      <c r="B286" t="s">
        <v>57</v>
      </c>
      <c r="C286" t="s">
        <v>97</v>
      </c>
      <c r="D286" t="s">
        <v>214</v>
      </c>
      <c r="E286" t="s">
        <v>267</v>
      </c>
      <c r="G286" t="s">
        <v>824</v>
      </c>
      <c r="H286" t="s">
        <v>1552</v>
      </c>
      <c r="J286" t="s">
        <v>2323</v>
      </c>
      <c r="K286" t="s">
        <v>3124</v>
      </c>
      <c r="L286" t="s">
        <v>3329</v>
      </c>
      <c r="M286" t="s">
        <v>3379</v>
      </c>
      <c r="N286">
        <v>10462</v>
      </c>
      <c r="O286" t="s">
        <v>3380</v>
      </c>
      <c r="P286" t="s">
        <v>3381</v>
      </c>
      <c r="R286" t="s">
        <v>3639</v>
      </c>
      <c r="S286">
        <v>1</v>
      </c>
      <c r="T286" t="s">
        <v>4196</v>
      </c>
      <c r="W286" t="s">
        <v>4238</v>
      </c>
      <c r="X286" t="s">
        <v>3382</v>
      </c>
      <c r="Y286" t="s">
        <v>3382</v>
      </c>
      <c r="AA286" t="s">
        <v>4256</v>
      </c>
      <c r="AB286" t="s">
        <v>4261</v>
      </c>
      <c r="AC286">
        <v>0</v>
      </c>
      <c r="AD286">
        <v>2150</v>
      </c>
      <c r="AE286">
        <v>1.7</v>
      </c>
      <c r="AG286" t="s">
        <v>4559</v>
      </c>
      <c r="AI286" t="s">
        <v>5622</v>
      </c>
      <c r="AJ286">
        <v>106</v>
      </c>
      <c r="AK286" t="s">
        <v>6267</v>
      </c>
      <c r="AL286">
        <v>4</v>
      </c>
      <c r="AM286">
        <v>0</v>
      </c>
      <c r="AN286">
        <v>80.78</v>
      </c>
      <c r="AS286" t="s">
        <v>6298</v>
      </c>
      <c r="AT286">
        <v>20800</v>
      </c>
      <c r="AX286" t="s">
        <v>6387</v>
      </c>
      <c r="BA286" t="s">
        <v>6477</v>
      </c>
      <c r="BD286" t="s">
        <v>217</v>
      </c>
      <c r="BE286" t="s">
        <v>6702</v>
      </c>
    </row>
    <row r="287" spans="1:57">
      <c r="A287" s="1">
        <f>HYPERLINK("https://lsnyc.legalserver.org/matter/dynamic-profile/view/1913525","19-1913525")</f>
        <v>0</v>
      </c>
      <c r="B287" t="s">
        <v>57</v>
      </c>
      <c r="C287" t="s">
        <v>97</v>
      </c>
      <c r="D287" t="s">
        <v>214</v>
      </c>
      <c r="E287" t="s">
        <v>251</v>
      </c>
      <c r="G287" t="s">
        <v>682</v>
      </c>
      <c r="H287" t="s">
        <v>1389</v>
      </c>
      <c r="J287" t="s">
        <v>2324</v>
      </c>
      <c r="K287" t="s">
        <v>3036</v>
      </c>
      <c r="L287" t="s">
        <v>3329</v>
      </c>
      <c r="M287" t="s">
        <v>3379</v>
      </c>
      <c r="N287">
        <v>10457</v>
      </c>
      <c r="O287" t="s">
        <v>3380</v>
      </c>
      <c r="P287" t="s">
        <v>3381</v>
      </c>
      <c r="Q287" t="s">
        <v>3383</v>
      </c>
      <c r="R287" t="s">
        <v>3640</v>
      </c>
      <c r="S287">
        <v>1</v>
      </c>
      <c r="T287" t="s">
        <v>4196</v>
      </c>
      <c r="W287" t="s">
        <v>4238</v>
      </c>
      <c r="X287" t="s">
        <v>3382</v>
      </c>
      <c r="Y287" t="s">
        <v>3382</v>
      </c>
      <c r="AA287" t="s">
        <v>4256</v>
      </c>
      <c r="AC287">
        <v>0</v>
      </c>
      <c r="AD287">
        <v>1500</v>
      </c>
      <c r="AE287">
        <v>1.7</v>
      </c>
      <c r="AG287" t="s">
        <v>4560</v>
      </c>
      <c r="AI287" t="s">
        <v>5623</v>
      </c>
      <c r="AJ287">
        <v>69</v>
      </c>
      <c r="AK287" t="s">
        <v>6266</v>
      </c>
      <c r="AL287">
        <v>1</v>
      </c>
      <c r="AM287">
        <v>1</v>
      </c>
      <c r="AN287">
        <v>295.68</v>
      </c>
      <c r="AR287" t="s">
        <v>5312</v>
      </c>
      <c r="AS287" t="s">
        <v>6298</v>
      </c>
      <c r="AT287">
        <v>50000</v>
      </c>
      <c r="AW287" t="s">
        <v>6372</v>
      </c>
      <c r="AX287" t="s">
        <v>6385</v>
      </c>
      <c r="BA287" t="s">
        <v>6477</v>
      </c>
      <c r="BD287" t="s">
        <v>217</v>
      </c>
      <c r="BE287" t="s">
        <v>6702</v>
      </c>
    </row>
    <row r="288" spans="1:57">
      <c r="A288" s="1">
        <f>HYPERLINK("https://lsnyc.legalserver.org/matter/dynamic-profile/view/1914406","19-1914406")</f>
        <v>0</v>
      </c>
      <c r="B288" t="s">
        <v>57</v>
      </c>
      <c r="C288" t="s">
        <v>97</v>
      </c>
      <c r="D288" t="s">
        <v>214</v>
      </c>
      <c r="E288" t="s">
        <v>224</v>
      </c>
      <c r="G288" t="s">
        <v>825</v>
      </c>
      <c r="H288" t="s">
        <v>1553</v>
      </c>
      <c r="J288" t="s">
        <v>2325</v>
      </c>
      <c r="K288" t="s">
        <v>3082</v>
      </c>
      <c r="L288" t="s">
        <v>3329</v>
      </c>
      <c r="M288" t="s">
        <v>3379</v>
      </c>
      <c r="N288">
        <v>10457</v>
      </c>
      <c r="O288" t="s">
        <v>3380</v>
      </c>
      <c r="P288" t="s">
        <v>3381</v>
      </c>
      <c r="Q288" t="s">
        <v>3387</v>
      </c>
      <c r="R288" t="s">
        <v>3641</v>
      </c>
      <c r="S288">
        <v>4</v>
      </c>
      <c r="T288" t="s">
        <v>4196</v>
      </c>
      <c r="W288" t="s">
        <v>4239</v>
      </c>
      <c r="X288" t="s">
        <v>3382</v>
      </c>
      <c r="Y288" t="s">
        <v>3382</v>
      </c>
      <c r="AA288" t="s">
        <v>4256</v>
      </c>
      <c r="AC288">
        <v>0</v>
      </c>
      <c r="AD288">
        <v>1200</v>
      </c>
      <c r="AE288">
        <v>1.5</v>
      </c>
      <c r="AG288" t="s">
        <v>4561</v>
      </c>
      <c r="AI288" t="s">
        <v>5624</v>
      </c>
      <c r="AJ288">
        <v>78</v>
      </c>
      <c r="AK288" t="s">
        <v>6267</v>
      </c>
      <c r="AL288">
        <v>1</v>
      </c>
      <c r="AM288">
        <v>2</v>
      </c>
      <c r="AN288">
        <v>82.77</v>
      </c>
      <c r="AS288" t="s">
        <v>6298</v>
      </c>
      <c r="AT288">
        <v>17654</v>
      </c>
      <c r="AX288" t="s">
        <v>6390</v>
      </c>
      <c r="BA288" t="s">
        <v>6500</v>
      </c>
      <c r="BD288" t="s">
        <v>224</v>
      </c>
      <c r="BE288" t="s">
        <v>6702</v>
      </c>
    </row>
    <row r="289" spans="1:57">
      <c r="A289" s="1">
        <f>HYPERLINK("https://lsnyc.legalserver.org/matter/dynamic-profile/view/1914663","19-1914663")</f>
        <v>0</v>
      </c>
      <c r="B289" t="s">
        <v>57</v>
      </c>
      <c r="C289" t="s">
        <v>97</v>
      </c>
      <c r="D289" t="s">
        <v>214</v>
      </c>
      <c r="E289" t="s">
        <v>267</v>
      </c>
      <c r="G289" t="s">
        <v>826</v>
      </c>
      <c r="H289" t="s">
        <v>613</v>
      </c>
      <c r="J289" t="s">
        <v>2326</v>
      </c>
      <c r="K289" t="s">
        <v>3021</v>
      </c>
      <c r="L289" t="s">
        <v>3329</v>
      </c>
      <c r="M289" t="s">
        <v>3379</v>
      </c>
      <c r="N289">
        <v>10453</v>
      </c>
      <c r="O289" t="s">
        <v>3381</v>
      </c>
      <c r="P289" t="s">
        <v>3381</v>
      </c>
      <c r="Q289" t="s">
        <v>3387</v>
      </c>
      <c r="R289" t="s">
        <v>3642</v>
      </c>
      <c r="S289">
        <v>0</v>
      </c>
      <c r="T289" t="s">
        <v>4196</v>
      </c>
      <c r="W289" t="s">
        <v>4239</v>
      </c>
      <c r="X289" t="s">
        <v>3382</v>
      </c>
      <c r="Y289" t="s">
        <v>3380</v>
      </c>
      <c r="AA289" t="s">
        <v>4256</v>
      </c>
      <c r="AC289">
        <v>0</v>
      </c>
      <c r="AD289">
        <v>1204</v>
      </c>
      <c r="AE289">
        <v>0.7</v>
      </c>
      <c r="AG289" t="s">
        <v>4562</v>
      </c>
      <c r="AI289" t="s">
        <v>5625</v>
      </c>
      <c r="AJ289">
        <v>0</v>
      </c>
      <c r="AL289">
        <v>1</v>
      </c>
      <c r="AM289">
        <v>0</v>
      </c>
      <c r="AN289">
        <v>81.67</v>
      </c>
      <c r="AS289" t="s">
        <v>6298</v>
      </c>
      <c r="AT289">
        <v>10200</v>
      </c>
      <c r="AX289" t="s">
        <v>6393</v>
      </c>
      <c r="BA289" t="s">
        <v>6482</v>
      </c>
      <c r="BD289" t="s">
        <v>218</v>
      </c>
      <c r="BE289" t="s">
        <v>6702</v>
      </c>
    </row>
    <row r="290" spans="1:57">
      <c r="A290" s="1">
        <f>HYPERLINK("https://lsnyc.legalserver.org/matter/dynamic-profile/view/1914334","19-1914334")</f>
        <v>0</v>
      </c>
      <c r="B290" t="s">
        <v>57</v>
      </c>
      <c r="C290" t="s">
        <v>98</v>
      </c>
      <c r="D290" t="s">
        <v>214</v>
      </c>
      <c r="E290" t="s">
        <v>224</v>
      </c>
      <c r="G290" t="s">
        <v>723</v>
      </c>
      <c r="H290" t="s">
        <v>1554</v>
      </c>
      <c r="J290" t="s">
        <v>2327</v>
      </c>
      <c r="K290" t="s">
        <v>3125</v>
      </c>
      <c r="L290" t="s">
        <v>3329</v>
      </c>
      <c r="M290" t="s">
        <v>3379</v>
      </c>
      <c r="N290">
        <v>10468</v>
      </c>
      <c r="O290" t="s">
        <v>3380</v>
      </c>
      <c r="P290" t="s">
        <v>3381</v>
      </c>
      <c r="Q290" t="s">
        <v>3384</v>
      </c>
      <c r="R290" t="s">
        <v>3643</v>
      </c>
      <c r="S290">
        <v>14</v>
      </c>
      <c r="T290" t="s">
        <v>4197</v>
      </c>
      <c r="U290" t="s">
        <v>4224</v>
      </c>
      <c r="W290" t="s">
        <v>4238</v>
      </c>
      <c r="X290" t="s">
        <v>3382</v>
      </c>
      <c r="Y290" t="s">
        <v>3382</v>
      </c>
      <c r="AA290" t="s">
        <v>4256</v>
      </c>
      <c r="AB290" t="s">
        <v>4261</v>
      </c>
      <c r="AC290">
        <v>0</v>
      </c>
      <c r="AD290">
        <v>905.48</v>
      </c>
      <c r="AE290">
        <v>2</v>
      </c>
      <c r="AG290" t="s">
        <v>4563</v>
      </c>
      <c r="AI290" t="s">
        <v>5626</v>
      </c>
      <c r="AJ290">
        <v>84</v>
      </c>
      <c r="AK290" t="s">
        <v>6267</v>
      </c>
      <c r="AL290">
        <v>1</v>
      </c>
      <c r="AM290">
        <v>0</v>
      </c>
      <c r="AN290">
        <v>280.03</v>
      </c>
      <c r="AR290" t="s">
        <v>5312</v>
      </c>
      <c r="AS290" t="s">
        <v>6298</v>
      </c>
      <c r="AT290">
        <v>34976</v>
      </c>
      <c r="AX290" t="s">
        <v>6394</v>
      </c>
      <c r="BA290" t="s">
        <v>6536</v>
      </c>
      <c r="BD290" t="s">
        <v>341</v>
      </c>
      <c r="BE290" t="s">
        <v>6702</v>
      </c>
    </row>
    <row r="291" spans="1:57">
      <c r="A291" s="1">
        <f>HYPERLINK("https://lsnyc.legalserver.org/matter/dynamic-profile/view/1914508","19-1914508")</f>
        <v>0</v>
      </c>
      <c r="B291" t="s">
        <v>57</v>
      </c>
      <c r="C291" t="s">
        <v>98</v>
      </c>
      <c r="D291" t="s">
        <v>214</v>
      </c>
      <c r="E291" t="s">
        <v>227</v>
      </c>
      <c r="G291" t="s">
        <v>827</v>
      </c>
      <c r="H291" t="s">
        <v>1555</v>
      </c>
      <c r="J291" t="s">
        <v>2328</v>
      </c>
      <c r="L291" t="s">
        <v>3329</v>
      </c>
      <c r="M291" t="s">
        <v>3379</v>
      </c>
      <c r="N291">
        <v>10468</v>
      </c>
      <c r="O291" t="s">
        <v>3380</v>
      </c>
      <c r="P291" t="s">
        <v>3381</v>
      </c>
      <c r="Q291" t="s">
        <v>3384</v>
      </c>
      <c r="R291" t="s">
        <v>3644</v>
      </c>
      <c r="S291">
        <v>19</v>
      </c>
      <c r="T291" t="s">
        <v>4196</v>
      </c>
      <c r="W291" t="s">
        <v>4238</v>
      </c>
      <c r="X291" t="s">
        <v>3382</v>
      </c>
      <c r="Y291" t="s">
        <v>3382</v>
      </c>
      <c r="AA291" t="s">
        <v>4256</v>
      </c>
      <c r="AC291">
        <v>0</v>
      </c>
      <c r="AD291">
        <v>1438</v>
      </c>
      <c r="AE291">
        <v>0</v>
      </c>
      <c r="AG291" t="s">
        <v>4564</v>
      </c>
      <c r="AI291" t="s">
        <v>5627</v>
      </c>
      <c r="AJ291">
        <v>456</v>
      </c>
      <c r="AK291" t="s">
        <v>6277</v>
      </c>
      <c r="AL291">
        <v>2</v>
      </c>
      <c r="AM291">
        <v>1</v>
      </c>
      <c r="AN291">
        <v>104.83</v>
      </c>
      <c r="AR291" t="s">
        <v>6295</v>
      </c>
      <c r="AS291" t="s">
        <v>6298</v>
      </c>
      <c r="AT291">
        <v>22360</v>
      </c>
      <c r="AX291" t="s">
        <v>6394</v>
      </c>
      <c r="BA291" t="s">
        <v>6477</v>
      </c>
      <c r="BE291" t="s">
        <v>6702</v>
      </c>
    </row>
    <row r="292" spans="1:57">
      <c r="A292" s="1">
        <f>HYPERLINK("https://lsnyc.legalserver.org/matter/dynamic-profile/view/1913204","19-1913204")</f>
        <v>0</v>
      </c>
      <c r="B292" t="s">
        <v>57</v>
      </c>
      <c r="C292" t="s">
        <v>98</v>
      </c>
      <c r="D292" t="s">
        <v>214</v>
      </c>
      <c r="E292" t="s">
        <v>228</v>
      </c>
      <c r="G292" t="s">
        <v>828</v>
      </c>
      <c r="H292" t="s">
        <v>1556</v>
      </c>
      <c r="J292" t="s">
        <v>2329</v>
      </c>
      <c r="K292">
        <v>10</v>
      </c>
      <c r="L292" t="s">
        <v>3329</v>
      </c>
      <c r="M292" t="s">
        <v>3379</v>
      </c>
      <c r="N292">
        <v>10467</v>
      </c>
      <c r="O292" t="s">
        <v>3381</v>
      </c>
      <c r="P292" t="s">
        <v>3381</v>
      </c>
      <c r="Q292" t="s">
        <v>3386</v>
      </c>
      <c r="R292" t="s">
        <v>3645</v>
      </c>
      <c r="S292">
        <v>11</v>
      </c>
      <c r="T292" t="s">
        <v>4196</v>
      </c>
      <c r="U292" t="s">
        <v>4223</v>
      </c>
      <c r="W292" t="s">
        <v>4238</v>
      </c>
      <c r="X292" t="s">
        <v>3382</v>
      </c>
      <c r="AA292" t="s">
        <v>4256</v>
      </c>
      <c r="AB292" t="s">
        <v>4261</v>
      </c>
      <c r="AC292">
        <v>0</v>
      </c>
      <c r="AD292">
        <v>1286</v>
      </c>
      <c r="AE292">
        <v>6.8</v>
      </c>
      <c r="AG292" t="s">
        <v>4565</v>
      </c>
      <c r="AI292" t="s">
        <v>5628</v>
      </c>
      <c r="AJ292">
        <v>12</v>
      </c>
      <c r="AK292" t="s">
        <v>6266</v>
      </c>
      <c r="AL292">
        <v>1</v>
      </c>
      <c r="AM292">
        <v>0</v>
      </c>
      <c r="AN292">
        <v>101.07</v>
      </c>
      <c r="AR292" t="s">
        <v>6290</v>
      </c>
      <c r="AS292" t="s">
        <v>6298</v>
      </c>
      <c r="AT292">
        <v>12624</v>
      </c>
      <c r="AX292" t="s">
        <v>6404</v>
      </c>
      <c r="BA292" t="s">
        <v>6475</v>
      </c>
      <c r="BD292" t="s">
        <v>275</v>
      </c>
    </row>
    <row r="293" spans="1:57">
      <c r="A293" s="1">
        <f>HYPERLINK("https://lsnyc.legalserver.org/matter/dynamic-profile/view/1914974","19-1914974")</f>
        <v>0</v>
      </c>
      <c r="B293" t="s">
        <v>57</v>
      </c>
      <c r="C293" t="s">
        <v>98</v>
      </c>
      <c r="D293" t="s">
        <v>214</v>
      </c>
      <c r="E293" t="s">
        <v>237</v>
      </c>
      <c r="G293" t="s">
        <v>829</v>
      </c>
      <c r="H293" t="s">
        <v>1557</v>
      </c>
      <c r="J293" t="s">
        <v>2330</v>
      </c>
      <c r="K293" t="s">
        <v>3048</v>
      </c>
      <c r="L293" t="s">
        <v>3329</v>
      </c>
      <c r="M293" t="s">
        <v>3379</v>
      </c>
      <c r="N293">
        <v>10460</v>
      </c>
      <c r="O293" t="s">
        <v>3380</v>
      </c>
      <c r="P293" t="s">
        <v>3381</v>
      </c>
      <c r="Q293" t="s">
        <v>3386</v>
      </c>
      <c r="R293" t="s">
        <v>3646</v>
      </c>
      <c r="S293">
        <v>14</v>
      </c>
      <c r="T293" t="s">
        <v>4196</v>
      </c>
      <c r="U293" t="s">
        <v>4223</v>
      </c>
      <c r="W293" t="s">
        <v>4239</v>
      </c>
      <c r="X293" t="s">
        <v>3382</v>
      </c>
      <c r="AA293" t="s">
        <v>4256</v>
      </c>
      <c r="AB293" t="s">
        <v>4261</v>
      </c>
      <c r="AC293">
        <v>0</v>
      </c>
      <c r="AD293">
        <v>168</v>
      </c>
      <c r="AE293">
        <v>3.75</v>
      </c>
      <c r="AG293" t="s">
        <v>4566</v>
      </c>
      <c r="AH293">
        <v>396724180</v>
      </c>
      <c r="AI293" t="s">
        <v>5629</v>
      </c>
      <c r="AJ293">
        <v>20</v>
      </c>
      <c r="AK293" t="s">
        <v>6267</v>
      </c>
      <c r="AL293">
        <v>1</v>
      </c>
      <c r="AM293">
        <v>0</v>
      </c>
      <c r="AN293">
        <v>74.08</v>
      </c>
      <c r="AR293" t="s">
        <v>6290</v>
      </c>
      <c r="AS293" t="s">
        <v>6298</v>
      </c>
      <c r="AT293">
        <v>9252</v>
      </c>
      <c r="AX293" t="s">
        <v>6394</v>
      </c>
      <c r="BA293" t="s">
        <v>6482</v>
      </c>
      <c r="BD293" t="s">
        <v>275</v>
      </c>
      <c r="BE293" t="s">
        <v>6702</v>
      </c>
    </row>
    <row r="294" spans="1:57">
      <c r="A294" s="1">
        <f>HYPERLINK("https://lsnyc.legalserver.org/matter/dynamic-profile/view/1913361","19-1913361")</f>
        <v>0</v>
      </c>
      <c r="B294" t="s">
        <v>57</v>
      </c>
      <c r="C294" t="s">
        <v>98</v>
      </c>
      <c r="D294" t="s">
        <v>214</v>
      </c>
      <c r="E294" t="s">
        <v>316</v>
      </c>
      <c r="G294" t="s">
        <v>830</v>
      </c>
      <c r="H294" t="s">
        <v>965</v>
      </c>
      <c r="J294" t="s">
        <v>2331</v>
      </c>
      <c r="K294">
        <v>7</v>
      </c>
      <c r="L294" t="s">
        <v>3329</v>
      </c>
      <c r="M294" t="s">
        <v>3379</v>
      </c>
      <c r="N294">
        <v>10457</v>
      </c>
      <c r="O294" t="s">
        <v>3380</v>
      </c>
      <c r="P294" t="s">
        <v>3381</v>
      </c>
      <c r="Q294" t="s">
        <v>3384</v>
      </c>
      <c r="R294" t="s">
        <v>3647</v>
      </c>
      <c r="S294">
        <v>35</v>
      </c>
      <c r="T294" t="s">
        <v>4196</v>
      </c>
      <c r="U294" t="s">
        <v>4223</v>
      </c>
      <c r="W294" t="s">
        <v>4238</v>
      </c>
      <c r="X294" t="s">
        <v>3382</v>
      </c>
      <c r="Y294" t="s">
        <v>3382</v>
      </c>
      <c r="AA294" t="s">
        <v>4260</v>
      </c>
      <c r="AC294">
        <v>0</v>
      </c>
      <c r="AD294">
        <v>554</v>
      </c>
      <c r="AE294">
        <v>0</v>
      </c>
      <c r="AG294" t="s">
        <v>4567</v>
      </c>
      <c r="AI294" t="s">
        <v>5630</v>
      </c>
      <c r="AJ294">
        <v>14</v>
      </c>
      <c r="AK294" t="s">
        <v>6267</v>
      </c>
      <c r="AL294">
        <v>1</v>
      </c>
      <c r="AM294">
        <v>0</v>
      </c>
      <c r="AN294">
        <v>100.5</v>
      </c>
      <c r="AR294" t="s">
        <v>5312</v>
      </c>
      <c r="AT294">
        <v>12552</v>
      </c>
      <c r="AX294" t="s">
        <v>6394</v>
      </c>
      <c r="BA294" t="s">
        <v>6475</v>
      </c>
      <c r="BE294" t="s">
        <v>6702</v>
      </c>
    </row>
    <row r="295" spans="1:57">
      <c r="A295" s="1">
        <f>HYPERLINK("https://lsnyc.legalserver.org/matter/dynamic-profile/view/1900136","19-1900136")</f>
        <v>0</v>
      </c>
      <c r="B295" t="s">
        <v>57</v>
      </c>
      <c r="C295" t="s">
        <v>98</v>
      </c>
      <c r="D295" t="s">
        <v>214</v>
      </c>
      <c r="E295" t="s">
        <v>331</v>
      </c>
      <c r="G295" t="s">
        <v>650</v>
      </c>
      <c r="H295" t="s">
        <v>1558</v>
      </c>
      <c r="J295" t="s">
        <v>2332</v>
      </c>
      <c r="K295" t="s">
        <v>3126</v>
      </c>
      <c r="L295" t="s">
        <v>3329</v>
      </c>
      <c r="M295" t="s">
        <v>3379</v>
      </c>
      <c r="N295">
        <v>10453</v>
      </c>
      <c r="O295" t="s">
        <v>3382</v>
      </c>
      <c r="P295" t="s">
        <v>3381</v>
      </c>
      <c r="R295" t="s">
        <v>3648</v>
      </c>
      <c r="S295">
        <v>0</v>
      </c>
      <c r="T295" t="s">
        <v>4196</v>
      </c>
      <c r="U295" t="s">
        <v>4225</v>
      </c>
      <c r="W295" t="s">
        <v>4239</v>
      </c>
      <c r="X295" t="s">
        <v>3382</v>
      </c>
      <c r="Y295" t="s">
        <v>3382</v>
      </c>
      <c r="AA295" t="s">
        <v>4256</v>
      </c>
      <c r="AB295" t="s">
        <v>4261</v>
      </c>
      <c r="AC295">
        <v>0</v>
      </c>
      <c r="AD295">
        <v>0</v>
      </c>
      <c r="AE295">
        <v>3.2</v>
      </c>
      <c r="AG295" t="s">
        <v>4568</v>
      </c>
      <c r="AI295" t="s">
        <v>5631</v>
      </c>
      <c r="AJ295">
        <v>45</v>
      </c>
      <c r="AK295" t="s">
        <v>6273</v>
      </c>
      <c r="AL295">
        <v>2</v>
      </c>
      <c r="AM295">
        <v>1</v>
      </c>
      <c r="AN295">
        <v>150.02</v>
      </c>
      <c r="AR295" t="s">
        <v>6290</v>
      </c>
      <c r="AS295" t="s">
        <v>6298</v>
      </c>
      <c r="AT295">
        <v>32000</v>
      </c>
      <c r="AX295" t="s">
        <v>6387</v>
      </c>
      <c r="BA295" t="s">
        <v>6477</v>
      </c>
      <c r="BD295" t="s">
        <v>482</v>
      </c>
      <c r="BE295" t="s">
        <v>5312</v>
      </c>
    </row>
    <row r="296" spans="1:57">
      <c r="A296" s="1">
        <f>HYPERLINK("https://lsnyc.legalserver.org/matter/dynamic-profile/view/1897373","19-1897373")</f>
        <v>0</v>
      </c>
      <c r="B296" t="s">
        <v>57</v>
      </c>
      <c r="C296" t="s">
        <v>98</v>
      </c>
      <c r="D296" t="s">
        <v>214</v>
      </c>
      <c r="E296" t="s">
        <v>332</v>
      </c>
      <c r="G296" t="s">
        <v>831</v>
      </c>
      <c r="H296" t="s">
        <v>1559</v>
      </c>
      <c r="J296" t="s">
        <v>2067</v>
      </c>
      <c r="K296" t="s">
        <v>3058</v>
      </c>
      <c r="L296" t="s">
        <v>3329</v>
      </c>
      <c r="M296" t="s">
        <v>3379</v>
      </c>
      <c r="N296">
        <v>10451</v>
      </c>
      <c r="O296" t="s">
        <v>3380</v>
      </c>
      <c r="P296" t="s">
        <v>3380</v>
      </c>
      <c r="Q296" t="s">
        <v>3386</v>
      </c>
      <c r="R296" t="s">
        <v>3649</v>
      </c>
      <c r="S296">
        <v>25</v>
      </c>
      <c r="T296" t="s">
        <v>4199</v>
      </c>
      <c r="U296" t="s">
        <v>4225</v>
      </c>
      <c r="W296" t="s">
        <v>4239</v>
      </c>
      <c r="X296" t="s">
        <v>3382</v>
      </c>
      <c r="Y296" t="s">
        <v>3382</v>
      </c>
      <c r="AA296" t="s">
        <v>4256</v>
      </c>
      <c r="AC296">
        <v>0</v>
      </c>
      <c r="AD296">
        <v>891.87</v>
      </c>
      <c r="AE296">
        <v>0</v>
      </c>
      <c r="AG296" t="s">
        <v>4569</v>
      </c>
      <c r="AI296" t="s">
        <v>5632</v>
      </c>
      <c r="AJ296">
        <v>84</v>
      </c>
      <c r="AK296" t="s">
        <v>6267</v>
      </c>
      <c r="AL296">
        <v>1</v>
      </c>
      <c r="AM296">
        <v>2</v>
      </c>
      <c r="AN296">
        <v>19.58</v>
      </c>
      <c r="AR296" t="s">
        <v>6291</v>
      </c>
      <c r="AS296" t="s">
        <v>6299</v>
      </c>
      <c r="AT296">
        <v>4176</v>
      </c>
      <c r="AW296" t="s">
        <v>6373</v>
      </c>
      <c r="AX296" t="s">
        <v>6394</v>
      </c>
      <c r="BA296" t="s">
        <v>6526</v>
      </c>
      <c r="BE296" t="s">
        <v>6702</v>
      </c>
    </row>
    <row r="297" spans="1:57">
      <c r="A297" s="1">
        <f>HYPERLINK("https://lsnyc.legalserver.org/matter/dynamic-profile/view/1906021","19-1906021")</f>
        <v>0</v>
      </c>
      <c r="B297" t="s">
        <v>57</v>
      </c>
      <c r="C297" t="s">
        <v>99</v>
      </c>
      <c r="D297" t="s">
        <v>214</v>
      </c>
      <c r="E297" t="s">
        <v>333</v>
      </c>
      <c r="G297" t="s">
        <v>832</v>
      </c>
      <c r="H297" t="s">
        <v>1560</v>
      </c>
      <c r="J297" t="s">
        <v>2333</v>
      </c>
      <c r="K297" t="s">
        <v>3116</v>
      </c>
      <c r="L297" t="s">
        <v>3329</v>
      </c>
      <c r="M297" t="s">
        <v>3379</v>
      </c>
      <c r="N297">
        <v>10474</v>
      </c>
      <c r="O297" t="s">
        <v>3382</v>
      </c>
      <c r="P297" t="s">
        <v>3381</v>
      </c>
      <c r="R297" t="s">
        <v>3650</v>
      </c>
      <c r="S297">
        <v>5</v>
      </c>
      <c r="T297" t="s">
        <v>4196</v>
      </c>
      <c r="U297" t="s">
        <v>4225</v>
      </c>
      <c r="W297" t="s">
        <v>4239</v>
      </c>
      <c r="X297" t="s">
        <v>3382</v>
      </c>
      <c r="Y297" t="s">
        <v>3382</v>
      </c>
      <c r="AA297" t="s">
        <v>4256</v>
      </c>
      <c r="AC297">
        <v>0</v>
      </c>
      <c r="AD297">
        <v>1350</v>
      </c>
      <c r="AE297">
        <v>0</v>
      </c>
      <c r="AG297" t="s">
        <v>4570</v>
      </c>
      <c r="AJ297">
        <v>47</v>
      </c>
      <c r="AL297">
        <v>1</v>
      </c>
      <c r="AM297">
        <v>0</v>
      </c>
      <c r="AN297">
        <v>124.9</v>
      </c>
      <c r="AS297" t="s">
        <v>6298</v>
      </c>
      <c r="AT297">
        <v>15600</v>
      </c>
      <c r="AX297" t="s">
        <v>99</v>
      </c>
      <c r="BA297" t="s">
        <v>6503</v>
      </c>
      <c r="BE297" t="s">
        <v>5312</v>
      </c>
    </row>
    <row r="298" spans="1:57">
      <c r="A298" s="1">
        <f>HYPERLINK("https://lsnyc.legalserver.org/matter/dynamic-profile/view/1914041","19-1914041")</f>
        <v>0</v>
      </c>
      <c r="B298" t="s">
        <v>57</v>
      </c>
      <c r="C298" t="s">
        <v>100</v>
      </c>
      <c r="D298" t="s">
        <v>214</v>
      </c>
      <c r="E298" t="s">
        <v>219</v>
      </c>
      <c r="G298" t="s">
        <v>833</v>
      </c>
      <c r="H298" t="s">
        <v>1525</v>
      </c>
      <c r="J298" t="s">
        <v>2334</v>
      </c>
      <c r="K298">
        <v>2</v>
      </c>
      <c r="L298" t="s">
        <v>3329</v>
      </c>
      <c r="M298" t="s">
        <v>3379</v>
      </c>
      <c r="N298">
        <v>10472</v>
      </c>
      <c r="O298" t="s">
        <v>3380</v>
      </c>
      <c r="P298" t="s">
        <v>3381</v>
      </c>
      <c r="Q298" t="s">
        <v>3384</v>
      </c>
      <c r="R298" t="s">
        <v>3651</v>
      </c>
      <c r="S298">
        <v>2</v>
      </c>
      <c r="T298" t="s">
        <v>4197</v>
      </c>
      <c r="U298" t="s">
        <v>4224</v>
      </c>
      <c r="W298" t="s">
        <v>4239</v>
      </c>
      <c r="X298" t="s">
        <v>3382</v>
      </c>
      <c r="Y298" t="s">
        <v>3382</v>
      </c>
      <c r="AA298" t="s">
        <v>4256</v>
      </c>
      <c r="AB298" t="s">
        <v>4261</v>
      </c>
      <c r="AC298">
        <v>0</v>
      </c>
      <c r="AD298">
        <v>0</v>
      </c>
      <c r="AE298">
        <v>3</v>
      </c>
      <c r="AG298" t="s">
        <v>4571</v>
      </c>
      <c r="AI298" t="s">
        <v>5633</v>
      </c>
      <c r="AJ298">
        <v>5</v>
      </c>
      <c r="AK298" t="s">
        <v>6274</v>
      </c>
      <c r="AL298">
        <v>1</v>
      </c>
      <c r="AM298">
        <v>1</v>
      </c>
      <c r="AN298">
        <v>14.19</v>
      </c>
      <c r="AR298" t="s">
        <v>6291</v>
      </c>
      <c r="AS298" t="s">
        <v>6298</v>
      </c>
      <c r="AT298">
        <v>2400</v>
      </c>
      <c r="AX298" t="s">
        <v>6387</v>
      </c>
      <c r="BA298" t="s">
        <v>6478</v>
      </c>
      <c r="BD298" t="s">
        <v>341</v>
      </c>
      <c r="BE298" t="s">
        <v>6702</v>
      </c>
    </row>
    <row r="299" spans="1:57">
      <c r="A299" s="1">
        <f>HYPERLINK("https://lsnyc.legalserver.org/matter/dynamic-profile/view/1913707","19-1913707")</f>
        <v>0</v>
      </c>
      <c r="B299" t="s">
        <v>57</v>
      </c>
      <c r="C299" t="s">
        <v>100</v>
      </c>
      <c r="D299" t="s">
        <v>214</v>
      </c>
      <c r="E299" t="s">
        <v>266</v>
      </c>
      <c r="G299" t="s">
        <v>617</v>
      </c>
      <c r="H299" t="s">
        <v>1349</v>
      </c>
      <c r="J299" t="s">
        <v>2335</v>
      </c>
      <c r="K299" t="s">
        <v>3027</v>
      </c>
      <c r="L299" t="s">
        <v>3329</v>
      </c>
      <c r="M299" t="s">
        <v>3379</v>
      </c>
      <c r="N299">
        <v>10468</v>
      </c>
      <c r="O299" t="s">
        <v>3380</v>
      </c>
      <c r="P299" t="s">
        <v>3381</v>
      </c>
      <c r="Q299" t="s">
        <v>3383</v>
      </c>
      <c r="R299" t="s">
        <v>3652</v>
      </c>
      <c r="S299">
        <v>0</v>
      </c>
      <c r="T299" t="s">
        <v>4196</v>
      </c>
      <c r="W299" t="s">
        <v>4238</v>
      </c>
      <c r="X299" t="s">
        <v>3382</v>
      </c>
      <c r="Y299" t="s">
        <v>3382</v>
      </c>
      <c r="AA299" t="s">
        <v>4259</v>
      </c>
      <c r="AC299">
        <v>0</v>
      </c>
      <c r="AD299">
        <v>1080.44</v>
      </c>
      <c r="AE299">
        <v>2.5</v>
      </c>
      <c r="AJ299">
        <v>21</v>
      </c>
      <c r="AK299" t="s">
        <v>6266</v>
      </c>
      <c r="AL299">
        <v>1</v>
      </c>
      <c r="AM299">
        <v>0</v>
      </c>
      <c r="AN299">
        <v>0</v>
      </c>
      <c r="AS299" t="s">
        <v>6298</v>
      </c>
      <c r="AT299">
        <v>0</v>
      </c>
      <c r="AX299" t="s">
        <v>6385</v>
      </c>
      <c r="BA299" t="s">
        <v>6479</v>
      </c>
      <c r="BD299" t="s">
        <v>266</v>
      </c>
      <c r="BE299" t="s">
        <v>5312</v>
      </c>
    </row>
    <row r="300" spans="1:57">
      <c r="A300" s="1">
        <f>HYPERLINK("https://lsnyc.legalserver.org/matter/dynamic-profile/view/1913917","19-1913917")</f>
        <v>0</v>
      </c>
      <c r="B300" t="s">
        <v>57</v>
      </c>
      <c r="C300" t="s">
        <v>100</v>
      </c>
      <c r="D300" t="s">
        <v>214</v>
      </c>
      <c r="E300" t="s">
        <v>249</v>
      </c>
      <c r="G300" t="s">
        <v>834</v>
      </c>
      <c r="H300" t="s">
        <v>1561</v>
      </c>
      <c r="J300" t="s">
        <v>2336</v>
      </c>
      <c r="K300" t="s">
        <v>3019</v>
      </c>
      <c r="L300" t="s">
        <v>3329</v>
      </c>
      <c r="M300" t="s">
        <v>3379</v>
      </c>
      <c r="N300">
        <v>10467</v>
      </c>
      <c r="O300" t="s">
        <v>3380</v>
      </c>
      <c r="P300" t="s">
        <v>3381</v>
      </c>
      <c r="Q300" t="s">
        <v>3383</v>
      </c>
      <c r="R300" t="s">
        <v>3653</v>
      </c>
      <c r="S300">
        <v>2</v>
      </c>
      <c r="T300" t="s">
        <v>4196</v>
      </c>
      <c r="W300" t="s">
        <v>4238</v>
      </c>
      <c r="X300" t="s">
        <v>3382</v>
      </c>
      <c r="Y300" t="s">
        <v>3382</v>
      </c>
      <c r="AA300" t="s">
        <v>4256</v>
      </c>
      <c r="AC300">
        <v>0</v>
      </c>
      <c r="AD300">
        <v>1340.7</v>
      </c>
      <c r="AE300">
        <v>4</v>
      </c>
      <c r="AG300" t="s">
        <v>4572</v>
      </c>
      <c r="AH300" t="s">
        <v>5275</v>
      </c>
      <c r="AI300" t="s">
        <v>5634</v>
      </c>
      <c r="AJ300">
        <v>61</v>
      </c>
      <c r="AK300" t="s">
        <v>6267</v>
      </c>
      <c r="AL300">
        <v>2</v>
      </c>
      <c r="AM300">
        <v>4</v>
      </c>
      <c r="AN300">
        <v>63.14</v>
      </c>
      <c r="AS300" t="s">
        <v>6298</v>
      </c>
      <c r="AT300">
        <v>21840</v>
      </c>
      <c r="AX300" t="s">
        <v>6385</v>
      </c>
      <c r="BA300" t="s">
        <v>6473</v>
      </c>
      <c r="BD300" t="s">
        <v>275</v>
      </c>
      <c r="BE300" t="s">
        <v>6703</v>
      </c>
    </row>
    <row r="301" spans="1:57">
      <c r="A301" s="1">
        <f>HYPERLINK("https://lsnyc.legalserver.org/matter/dynamic-profile/view/1914333","19-1914333")</f>
        <v>0</v>
      </c>
      <c r="B301" t="s">
        <v>57</v>
      </c>
      <c r="C301" t="s">
        <v>100</v>
      </c>
      <c r="D301" t="s">
        <v>214</v>
      </c>
      <c r="E301" t="s">
        <v>224</v>
      </c>
      <c r="G301" t="s">
        <v>835</v>
      </c>
      <c r="H301" t="s">
        <v>1562</v>
      </c>
      <c r="J301" t="s">
        <v>2337</v>
      </c>
      <c r="K301" t="s">
        <v>3006</v>
      </c>
      <c r="L301" t="s">
        <v>3329</v>
      </c>
      <c r="M301" t="s">
        <v>3379</v>
      </c>
      <c r="N301">
        <v>10466</v>
      </c>
      <c r="O301" t="s">
        <v>3380</v>
      </c>
      <c r="P301" t="s">
        <v>3381</v>
      </c>
      <c r="Q301" t="s">
        <v>3384</v>
      </c>
      <c r="R301" t="s">
        <v>3654</v>
      </c>
      <c r="S301">
        <v>5</v>
      </c>
      <c r="T301" t="s">
        <v>4196</v>
      </c>
      <c r="W301" t="s">
        <v>4239</v>
      </c>
      <c r="X301" t="s">
        <v>3382</v>
      </c>
      <c r="Y301" t="s">
        <v>3382</v>
      </c>
      <c r="AA301" t="s">
        <v>4256</v>
      </c>
      <c r="AB301" t="s">
        <v>4265</v>
      </c>
      <c r="AC301">
        <v>0</v>
      </c>
      <c r="AD301">
        <v>1923</v>
      </c>
      <c r="AE301">
        <v>2.3</v>
      </c>
      <c r="AG301" t="s">
        <v>4418</v>
      </c>
      <c r="AI301" t="s">
        <v>5635</v>
      </c>
      <c r="AJ301">
        <v>41</v>
      </c>
      <c r="AK301" t="s">
        <v>6273</v>
      </c>
      <c r="AL301">
        <v>2</v>
      </c>
      <c r="AM301">
        <v>0</v>
      </c>
      <c r="AN301">
        <v>11.07</v>
      </c>
      <c r="AR301" t="s">
        <v>6290</v>
      </c>
      <c r="AS301" t="s">
        <v>6298</v>
      </c>
      <c r="AT301">
        <v>1872</v>
      </c>
      <c r="AX301" t="s">
        <v>6387</v>
      </c>
      <c r="BA301" t="s">
        <v>6478</v>
      </c>
      <c r="BD301" t="s">
        <v>243</v>
      </c>
      <c r="BE301" t="s">
        <v>6702</v>
      </c>
    </row>
    <row r="302" spans="1:57">
      <c r="A302" s="1">
        <f>HYPERLINK("https://lsnyc.legalserver.org/matter/dynamic-profile/view/1911521","19-1911521")</f>
        <v>0</v>
      </c>
      <c r="B302" t="s">
        <v>57</v>
      </c>
      <c r="C302" t="s">
        <v>100</v>
      </c>
      <c r="D302" t="s">
        <v>214</v>
      </c>
      <c r="E302" t="s">
        <v>334</v>
      </c>
      <c r="G302" t="s">
        <v>836</v>
      </c>
      <c r="H302" t="s">
        <v>931</v>
      </c>
      <c r="J302" t="s">
        <v>2338</v>
      </c>
      <c r="K302" t="s">
        <v>3114</v>
      </c>
      <c r="L302" t="s">
        <v>3329</v>
      </c>
      <c r="M302" t="s">
        <v>3379</v>
      </c>
      <c r="N302">
        <v>10462</v>
      </c>
      <c r="O302" t="s">
        <v>3380</v>
      </c>
      <c r="P302" t="s">
        <v>3381</v>
      </c>
      <c r="R302" t="s">
        <v>3655</v>
      </c>
      <c r="S302">
        <v>19</v>
      </c>
      <c r="T302" t="s">
        <v>4197</v>
      </c>
      <c r="U302" t="s">
        <v>4223</v>
      </c>
      <c r="W302" t="s">
        <v>4238</v>
      </c>
      <c r="X302" t="s">
        <v>3382</v>
      </c>
      <c r="Y302" t="s">
        <v>3382</v>
      </c>
      <c r="AA302" t="s">
        <v>4256</v>
      </c>
      <c r="AC302">
        <v>0</v>
      </c>
      <c r="AD302">
        <v>1610</v>
      </c>
      <c r="AE302">
        <v>3.5</v>
      </c>
      <c r="AG302" t="s">
        <v>4573</v>
      </c>
      <c r="AI302" t="s">
        <v>5636</v>
      </c>
      <c r="AJ302">
        <v>64</v>
      </c>
      <c r="AK302" t="s">
        <v>6273</v>
      </c>
      <c r="AL302">
        <v>3</v>
      </c>
      <c r="AM302">
        <v>0</v>
      </c>
      <c r="AN302">
        <v>42.42</v>
      </c>
      <c r="AS302" t="s">
        <v>6298</v>
      </c>
      <c r="AT302">
        <v>9048</v>
      </c>
      <c r="AX302" t="s">
        <v>6387</v>
      </c>
      <c r="BA302" t="s">
        <v>6521</v>
      </c>
      <c r="BD302" t="s">
        <v>225</v>
      </c>
      <c r="BE302" t="s">
        <v>6702</v>
      </c>
    </row>
    <row r="303" spans="1:57">
      <c r="A303" s="1">
        <f>HYPERLINK("https://lsnyc.legalserver.org/matter/dynamic-profile/view/1913961","19-1913961")</f>
        <v>0</v>
      </c>
      <c r="B303" t="s">
        <v>57</v>
      </c>
      <c r="C303" t="s">
        <v>100</v>
      </c>
      <c r="D303" t="s">
        <v>214</v>
      </c>
      <c r="E303" t="s">
        <v>249</v>
      </c>
      <c r="G303" t="s">
        <v>836</v>
      </c>
      <c r="H303" t="s">
        <v>1563</v>
      </c>
      <c r="J303" t="s">
        <v>2339</v>
      </c>
      <c r="K303" t="s">
        <v>3127</v>
      </c>
      <c r="L303" t="s">
        <v>3329</v>
      </c>
      <c r="M303" t="s">
        <v>3379</v>
      </c>
      <c r="N303">
        <v>10462</v>
      </c>
      <c r="O303" t="s">
        <v>3380</v>
      </c>
      <c r="P303" t="s">
        <v>3381</v>
      </c>
      <c r="Q303" t="s">
        <v>3383</v>
      </c>
      <c r="R303" t="s">
        <v>3656</v>
      </c>
      <c r="S303">
        <v>1</v>
      </c>
      <c r="T303" t="s">
        <v>4196</v>
      </c>
      <c r="W303" t="s">
        <v>4238</v>
      </c>
      <c r="X303" t="s">
        <v>3382</v>
      </c>
      <c r="Y303" t="s">
        <v>3382</v>
      </c>
      <c r="AA303" t="s">
        <v>4256</v>
      </c>
      <c r="AC303">
        <v>0</v>
      </c>
      <c r="AD303">
        <v>1400</v>
      </c>
      <c r="AE303">
        <v>6</v>
      </c>
      <c r="AG303" t="s">
        <v>4574</v>
      </c>
      <c r="AI303" t="s">
        <v>5637</v>
      </c>
      <c r="AJ303">
        <v>15</v>
      </c>
      <c r="AK303" t="s">
        <v>6266</v>
      </c>
      <c r="AL303">
        <v>1</v>
      </c>
      <c r="AM303">
        <v>1</v>
      </c>
      <c r="AN303">
        <v>184.51</v>
      </c>
      <c r="AS303" t="s">
        <v>6298</v>
      </c>
      <c r="AT303">
        <v>31200</v>
      </c>
      <c r="AX303" t="s">
        <v>6385</v>
      </c>
      <c r="BA303" t="s">
        <v>6477</v>
      </c>
      <c r="BD303" t="s">
        <v>237</v>
      </c>
      <c r="BE303" t="s">
        <v>6702</v>
      </c>
    </row>
    <row r="304" spans="1:57">
      <c r="A304" s="1">
        <f>HYPERLINK("https://lsnyc.legalserver.org/matter/dynamic-profile/view/1897470","19-1897470")</f>
        <v>0</v>
      </c>
      <c r="B304" t="s">
        <v>57</v>
      </c>
      <c r="C304" t="s">
        <v>100</v>
      </c>
      <c r="D304" t="s">
        <v>214</v>
      </c>
      <c r="E304" t="s">
        <v>335</v>
      </c>
      <c r="G304" t="s">
        <v>837</v>
      </c>
      <c r="H304" t="s">
        <v>1564</v>
      </c>
      <c r="J304" t="s">
        <v>2191</v>
      </c>
      <c r="K304">
        <v>512</v>
      </c>
      <c r="L304" t="s">
        <v>3329</v>
      </c>
      <c r="M304" t="s">
        <v>3379</v>
      </c>
      <c r="N304">
        <v>10457</v>
      </c>
      <c r="O304" t="s">
        <v>3380</v>
      </c>
      <c r="P304" t="s">
        <v>3382</v>
      </c>
      <c r="Q304" t="s">
        <v>3383</v>
      </c>
      <c r="R304" t="s">
        <v>3657</v>
      </c>
      <c r="S304">
        <v>10</v>
      </c>
      <c r="T304" t="s">
        <v>4196</v>
      </c>
      <c r="U304" t="s">
        <v>4223</v>
      </c>
      <c r="W304" t="s">
        <v>4238</v>
      </c>
      <c r="X304" t="s">
        <v>3382</v>
      </c>
      <c r="Y304" t="s">
        <v>3382</v>
      </c>
      <c r="AA304" t="s">
        <v>4256</v>
      </c>
      <c r="AB304" t="s">
        <v>4261</v>
      </c>
      <c r="AC304">
        <v>0</v>
      </c>
      <c r="AD304">
        <v>1200</v>
      </c>
      <c r="AE304">
        <v>12.75</v>
      </c>
      <c r="AG304" t="s">
        <v>4575</v>
      </c>
      <c r="AI304" t="s">
        <v>5638</v>
      </c>
      <c r="AJ304">
        <v>99</v>
      </c>
      <c r="AK304" t="s">
        <v>6271</v>
      </c>
      <c r="AL304">
        <v>1</v>
      </c>
      <c r="AM304">
        <v>0</v>
      </c>
      <c r="AN304">
        <v>37.09</v>
      </c>
      <c r="AR304" t="s">
        <v>6290</v>
      </c>
      <c r="AS304" t="s">
        <v>6298</v>
      </c>
      <c r="AT304">
        <v>4632</v>
      </c>
      <c r="AW304" t="s">
        <v>6374</v>
      </c>
      <c r="AX304" t="s">
        <v>6385</v>
      </c>
      <c r="BA304" t="s">
        <v>6482</v>
      </c>
      <c r="BD304" t="s">
        <v>228</v>
      </c>
      <c r="BE304" t="s">
        <v>6702</v>
      </c>
    </row>
    <row r="305" spans="1:57">
      <c r="A305" s="1">
        <f>HYPERLINK("https://lsnyc.legalserver.org/matter/dynamic-profile/view/1911103","19-1911103")</f>
        <v>0</v>
      </c>
      <c r="B305" t="s">
        <v>57</v>
      </c>
      <c r="C305" t="s">
        <v>100</v>
      </c>
      <c r="D305" t="s">
        <v>214</v>
      </c>
      <c r="E305" t="s">
        <v>234</v>
      </c>
      <c r="G305" t="s">
        <v>838</v>
      </c>
      <c r="H305" t="s">
        <v>1565</v>
      </c>
      <c r="J305" t="s">
        <v>2340</v>
      </c>
      <c r="K305" t="s">
        <v>3010</v>
      </c>
      <c r="L305" t="s">
        <v>3329</v>
      </c>
      <c r="M305" t="s">
        <v>3379</v>
      </c>
      <c r="N305">
        <v>10457</v>
      </c>
      <c r="O305" t="s">
        <v>3380</v>
      </c>
      <c r="P305" t="s">
        <v>3381</v>
      </c>
      <c r="Q305" t="s">
        <v>3383</v>
      </c>
      <c r="R305" t="s">
        <v>3658</v>
      </c>
      <c r="S305">
        <v>3</v>
      </c>
      <c r="T305" t="s">
        <v>4196</v>
      </c>
      <c r="U305" t="s">
        <v>4223</v>
      </c>
      <c r="W305" t="s">
        <v>4238</v>
      </c>
      <c r="X305" t="s">
        <v>3382</v>
      </c>
      <c r="Y305" t="s">
        <v>3382</v>
      </c>
      <c r="AA305" t="s">
        <v>4256</v>
      </c>
      <c r="AC305">
        <v>0</v>
      </c>
      <c r="AD305">
        <v>1163</v>
      </c>
      <c r="AE305">
        <v>3.5</v>
      </c>
      <c r="AG305" t="s">
        <v>4576</v>
      </c>
      <c r="AH305" t="s">
        <v>5276</v>
      </c>
      <c r="AI305" t="s">
        <v>5639</v>
      </c>
      <c r="AJ305">
        <v>59</v>
      </c>
      <c r="AK305" t="s">
        <v>6267</v>
      </c>
      <c r="AL305">
        <v>1</v>
      </c>
      <c r="AM305">
        <v>0</v>
      </c>
      <c r="AN305">
        <v>166.53</v>
      </c>
      <c r="AR305" t="s">
        <v>5312</v>
      </c>
      <c r="AS305" t="s">
        <v>6299</v>
      </c>
      <c r="AT305">
        <v>20800</v>
      </c>
      <c r="AX305" t="s">
        <v>6385</v>
      </c>
      <c r="BA305" t="s">
        <v>6473</v>
      </c>
      <c r="BD305" t="s">
        <v>293</v>
      </c>
      <c r="BE305" t="s">
        <v>6703</v>
      </c>
    </row>
    <row r="306" spans="1:57">
      <c r="A306" s="1">
        <f>HYPERLINK("https://lsnyc.legalserver.org/matter/dynamic-profile/view/1913934","19-1913934")</f>
        <v>0</v>
      </c>
      <c r="B306" t="s">
        <v>57</v>
      </c>
      <c r="C306" t="s">
        <v>100</v>
      </c>
      <c r="D306" t="s">
        <v>214</v>
      </c>
      <c r="E306" t="s">
        <v>249</v>
      </c>
      <c r="G306" t="s">
        <v>839</v>
      </c>
      <c r="H306" t="s">
        <v>1566</v>
      </c>
      <c r="J306" t="s">
        <v>2341</v>
      </c>
      <c r="K306">
        <v>402</v>
      </c>
      <c r="L306" t="s">
        <v>3329</v>
      </c>
      <c r="M306" t="s">
        <v>3379</v>
      </c>
      <c r="N306">
        <v>10457</v>
      </c>
      <c r="O306" t="s">
        <v>3380</v>
      </c>
      <c r="P306" t="s">
        <v>3381</v>
      </c>
      <c r="Q306" t="s">
        <v>3387</v>
      </c>
      <c r="R306" t="s">
        <v>3659</v>
      </c>
      <c r="S306">
        <v>5</v>
      </c>
      <c r="T306" t="s">
        <v>4196</v>
      </c>
      <c r="W306" t="s">
        <v>4238</v>
      </c>
      <c r="X306" t="s">
        <v>3382</v>
      </c>
      <c r="Y306" t="s">
        <v>3382</v>
      </c>
      <c r="AA306" t="s">
        <v>4256</v>
      </c>
      <c r="AC306">
        <v>0</v>
      </c>
      <c r="AD306">
        <v>1017</v>
      </c>
      <c r="AE306">
        <v>1.5</v>
      </c>
      <c r="AG306" t="s">
        <v>4577</v>
      </c>
      <c r="AI306" t="s">
        <v>5640</v>
      </c>
      <c r="AJ306">
        <v>281</v>
      </c>
      <c r="AK306" t="s">
        <v>6266</v>
      </c>
      <c r="AL306">
        <v>1</v>
      </c>
      <c r="AM306">
        <v>2</v>
      </c>
      <c r="AN306">
        <v>195.97</v>
      </c>
      <c r="AR306" t="s">
        <v>5312</v>
      </c>
      <c r="AS306" t="s">
        <v>6298</v>
      </c>
      <c r="AT306">
        <v>41800</v>
      </c>
      <c r="AX306" t="s">
        <v>6390</v>
      </c>
      <c r="BA306" t="s">
        <v>6480</v>
      </c>
      <c r="BD306" t="s">
        <v>249</v>
      </c>
      <c r="BE306" t="s">
        <v>6702</v>
      </c>
    </row>
    <row r="307" spans="1:57">
      <c r="A307" s="1">
        <f>HYPERLINK("https://lsnyc.legalserver.org/matter/dynamic-profile/view/1914589","19-1914589")</f>
        <v>0</v>
      </c>
      <c r="B307" t="s">
        <v>57</v>
      </c>
      <c r="C307" t="s">
        <v>100</v>
      </c>
      <c r="D307" t="s">
        <v>214</v>
      </c>
      <c r="E307" t="s">
        <v>267</v>
      </c>
      <c r="G307" t="s">
        <v>840</v>
      </c>
      <c r="H307" t="s">
        <v>1567</v>
      </c>
      <c r="J307" t="s">
        <v>2342</v>
      </c>
      <c r="K307" t="s">
        <v>3128</v>
      </c>
      <c r="L307" t="s">
        <v>3329</v>
      </c>
      <c r="M307" t="s">
        <v>3379</v>
      </c>
      <c r="N307">
        <v>10453</v>
      </c>
      <c r="O307" t="s">
        <v>3380</v>
      </c>
      <c r="P307" t="s">
        <v>3381</v>
      </c>
      <c r="R307" t="s">
        <v>3660</v>
      </c>
      <c r="S307">
        <v>3</v>
      </c>
      <c r="T307" t="s">
        <v>4197</v>
      </c>
      <c r="U307" t="s">
        <v>4225</v>
      </c>
      <c r="W307" t="s">
        <v>4239</v>
      </c>
      <c r="X307" t="s">
        <v>3382</v>
      </c>
      <c r="Y307" t="s">
        <v>3382</v>
      </c>
      <c r="AA307" t="s">
        <v>4256</v>
      </c>
      <c r="AB307" t="s">
        <v>4263</v>
      </c>
      <c r="AC307">
        <v>0</v>
      </c>
      <c r="AD307">
        <v>200</v>
      </c>
      <c r="AE307">
        <v>0</v>
      </c>
      <c r="AG307" t="s">
        <v>4578</v>
      </c>
      <c r="AI307" t="s">
        <v>5641</v>
      </c>
      <c r="AJ307">
        <v>225</v>
      </c>
      <c r="AK307" t="s">
        <v>6267</v>
      </c>
      <c r="AL307">
        <v>1</v>
      </c>
      <c r="AM307">
        <v>0</v>
      </c>
      <c r="AN307">
        <v>112.43</v>
      </c>
      <c r="AR307" t="s">
        <v>6290</v>
      </c>
      <c r="AS307" t="s">
        <v>6298</v>
      </c>
      <c r="AT307">
        <v>14042</v>
      </c>
      <c r="AX307" t="s">
        <v>6387</v>
      </c>
      <c r="BA307" t="s">
        <v>6488</v>
      </c>
      <c r="BE307" t="s">
        <v>6702</v>
      </c>
    </row>
    <row r="308" spans="1:57">
      <c r="A308" s="1">
        <f>HYPERLINK("https://lsnyc.legalserver.org/matter/dynamic-profile/view/1914627","19-1914627")</f>
        <v>0</v>
      </c>
      <c r="B308" t="s">
        <v>57</v>
      </c>
      <c r="C308" t="s">
        <v>100</v>
      </c>
      <c r="D308" t="s">
        <v>214</v>
      </c>
      <c r="E308" t="s">
        <v>267</v>
      </c>
      <c r="G308" t="s">
        <v>841</v>
      </c>
      <c r="H308" t="s">
        <v>1568</v>
      </c>
      <c r="J308" t="s">
        <v>2343</v>
      </c>
      <c r="K308" t="s">
        <v>3129</v>
      </c>
      <c r="L308" t="s">
        <v>3329</v>
      </c>
      <c r="M308" t="s">
        <v>3379</v>
      </c>
      <c r="N308">
        <v>10451</v>
      </c>
      <c r="O308" t="s">
        <v>3380</v>
      </c>
      <c r="P308" t="s">
        <v>3381</v>
      </c>
      <c r="Q308" t="s">
        <v>3384</v>
      </c>
      <c r="R308" t="s">
        <v>3661</v>
      </c>
      <c r="S308">
        <v>35</v>
      </c>
      <c r="T308" t="s">
        <v>4196</v>
      </c>
      <c r="W308" t="s">
        <v>4239</v>
      </c>
      <c r="X308" t="s">
        <v>3382</v>
      </c>
      <c r="Y308" t="s">
        <v>3380</v>
      </c>
      <c r="AA308" t="s">
        <v>4256</v>
      </c>
      <c r="AC308">
        <v>0</v>
      </c>
      <c r="AD308">
        <v>810.6</v>
      </c>
      <c r="AE308">
        <v>10</v>
      </c>
      <c r="AG308" t="s">
        <v>4579</v>
      </c>
      <c r="AI308" t="s">
        <v>5642</v>
      </c>
      <c r="AJ308">
        <v>125</v>
      </c>
      <c r="AK308" t="s">
        <v>6270</v>
      </c>
      <c r="AL308">
        <v>4</v>
      </c>
      <c r="AM308">
        <v>0</v>
      </c>
      <c r="AN308">
        <v>118.74</v>
      </c>
      <c r="AT308">
        <v>30576</v>
      </c>
      <c r="AX308" t="s">
        <v>6387</v>
      </c>
      <c r="BA308" t="s">
        <v>6477</v>
      </c>
      <c r="BD308" t="s">
        <v>341</v>
      </c>
      <c r="BE308" t="s">
        <v>6702</v>
      </c>
    </row>
    <row r="309" spans="1:57">
      <c r="A309" s="1">
        <f>HYPERLINK("https://lsnyc.legalserver.org/matter/dynamic-profile/view/1895872","19-1895872")</f>
        <v>0</v>
      </c>
      <c r="B309" t="s">
        <v>57</v>
      </c>
      <c r="C309" t="s">
        <v>101</v>
      </c>
      <c r="D309" t="s">
        <v>215</v>
      </c>
      <c r="E309" t="s">
        <v>336</v>
      </c>
      <c r="F309" t="s">
        <v>327</v>
      </c>
      <c r="G309" t="s">
        <v>842</v>
      </c>
      <c r="H309" t="s">
        <v>1569</v>
      </c>
      <c r="J309" t="s">
        <v>2344</v>
      </c>
      <c r="K309" t="s">
        <v>3010</v>
      </c>
      <c r="L309" t="s">
        <v>3329</v>
      </c>
      <c r="M309" t="s">
        <v>3379</v>
      </c>
      <c r="N309">
        <v>10467</v>
      </c>
      <c r="O309" t="s">
        <v>3382</v>
      </c>
      <c r="P309" t="s">
        <v>3380</v>
      </c>
      <c r="Q309" t="s">
        <v>3383</v>
      </c>
      <c r="R309" t="s">
        <v>3662</v>
      </c>
      <c r="S309">
        <v>4</v>
      </c>
      <c r="T309" t="s">
        <v>4196</v>
      </c>
      <c r="U309" t="s">
        <v>4223</v>
      </c>
      <c r="V309" t="s">
        <v>4231</v>
      </c>
      <c r="W309" t="s">
        <v>4238</v>
      </c>
      <c r="X309" t="s">
        <v>3382</v>
      </c>
      <c r="AA309" t="s">
        <v>4256</v>
      </c>
      <c r="AB309" t="s">
        <v>4263</v>
      </c>
      <c r="AC309">
        <v>0</v>
      </c>
      <c r="AD309">
        <v>1962.23</v>
      </c>
      <c r="AE309">
        <v>6.55</v>
      </c>
      <c r="AF309" t="s">
        <v>4274</v>
      </c>
      <c r="AG309" t="s">
        <v>4580</v>
      </c>
      <c r="AI309" t="s">
        <v>5643</v>
      </c>
      <c r="AJ309">
        <v>32</v>
      </c>
      <c r="AK309" t="s">
        <v>6267</v>
      </c>
      <c r="AL309">
        <v>2</v>
      </c>
      <c r="AM309">
        <v>2</v>
      </c>
      <c r="AN309">
        <v>184.98</v>
      </c>
      <c r="AQ309" t="s">
        <v>6286</v>
      </c>
      <c r="AR309" t="s">
        <v>5312</v>
      </c>
      <c r="AS309" t="s">
        <v>6298</v>
      </c>
      <c r="AT309">
        <v>47632</v>
      </c>
      <c r="AW309" t="s">
        <v>6375</v>
      </c>
      <c r="AX309" t="s">
        <v>6386</v>
      </c>
      <c r="BA309" t="s">
        <v>6477</v>
      </c>
      <c r="BD309" t="s">
        <v>308</v>
      </c>
    </row>
    <row r="310" spans="1:57">
      <c r="A310" s="1">
        <f>HYPERLINK("https://lsnyc.legalserver.org/matter/dynamic-profile/view/1883678","18-1883678")</f>
        <v>0</v>
      </c>
      <c r="B310" t="s">
        <v>57</v>
      </c>
      <c r="C310" t="s">
        <v>101</v>
      </c>
      <c r="D310" t="s">
        <v>215</v>
      </c>
      <c r="E310" t="s">
        <v>337</v>
      </c>
      <c r="F310" t="s">
        <v>249</v>
      </c>
      <c r="G310" t="s">
        <v>843</v>
      </c>
      <c r="H310" t="s">
        <v>1570</v>
      </c>
      <c r="J310" t="s">
        <v>2345</v>
      </c>
      <c r="K310" t="s">
        <v>3130</v>
      </c>
      <c r="L310" t="s">
        <v>3329</v>
      </c>
      <c r="M310" t="s">
        <v>3379</v>
      </c>
      <c r="N310">
        <v>10457</v>
      </c>
      <c r="O310" t="s">
        <v>3381</v>
      </c>
      <c r="P310" t="s">
        <v>3381</v>
      </c>
      <c r="Q310" t="s">
        <v>3386</v>
      </c>
      <c r="R310" t="s">
        <v>3663</v>
      </c>
      <c r="S310">
        <v>13</v>
      </c>
      <c r="T310" t="s">
        <v>4196</v>
      </c>
      <c r="U310" t="s">
        <v>4223</v>
      </c>
      <c r="V310" t="s">
        <v>4231</v>
      </c>
      <c r="W310" t="s">
        <v>4238</v>
      </c>
      <c r="X310" t="s">
        <v>3382</v>
      </c>
      <c r="Y310" t="s">
        <v>3382</v>
      </c>
      <c r="AA310" t="s">
        <v>4256</v>
      </c>
      <c r="AB310" t="s">
        <v>4261</v>
      </c>
      <c r="AC310">
        <v>0</v>
      </c>
      <c r="AD310">
        <v>765.5700000000001</v>
      </c>
      <c r="AE310">
        <v>46.95</v>
      </c>
      <c r="AF310" t="s">
        <v>4275</v>
      </c>
      <c r="AG310" t="s">
        <v>4581</v>
      </c>
      <c r="AI310" t="s">
        <v>5644</v>
      </c>
      <c r="AJ310">
        <v>74</v>
      </c>
      <c r="AK310" t="s">
        <v>6267</v>
      </c>
      <c r="AL310">
        <v>3</v>
      </c>
      <c r="AM310">
        <v>2</v>
      </c>
      <c r="AN310">
        <v>106.05</v>
      </c>
      <c r="AQ310" t="s">
        <v>6286</v>
      </c>
      <c r="AR310" t="s">
        <v>5312</v>
      </c>
      <c r="AS310" t="s">
        <v>6298</v>
      </c>
      <c r="AT310">
        <v>31200</v>
      </c>
      <c r="AW310" t="s">
        <v>6344</v>
      </c>
      <c r="AX310" t="s">
        <v>101</v>
      </c>
      <c r="BA310" t="s">
        <v>6477</v>
      </c>
      <c r="BD310" t="s">
        <v>223</v>
      </c>
    </row>
    <row r="311" spans="1:57">
      <c r="A311" s="1">
        <f>HYPERLINK("https://lsnyc.legalserver.org/matter/dynamic-profile/view/1895469","19-1895469")</f>
        <v>0</v>
      </c>
      <c r="B311" t="s">
        <v>57</v>
      </c>
      <c r="C311" t="s">
        <v>101</v>
      </c>
      <c r="D311" t="s">
        <v>215</v>
      </c>
      <c r="E311" t="s">
        <v>303</v>
      </c>
      <c r="F311" t="s">
        <v>575</v>
      </c>
      <c r="G311" t="s">
        <v>582</v>
      </c>
      <c r="H311" t="s">
        <v>1353</v>
      </c>
      <c r="J311" t="s">
        <v>2326</v>
      </c>
      <c r="K311" t="s">
        <v>3131</v>
      </c>
      <c r="L311" t="s">
        <v>3329</v>
      </c>
      <c r="M311" t="s">
        <v>3379</v>
      </c>
      <c r="N311">
        <v>10453</v>
      </c>
      <c r="O311" t="s">
        <v>3380</v>
      </c>
      <c r="P311" t="s">
        <v>3380</v>
      </c>
      <c r="Q311" t="s">
        <v>3384</v>
      </c>
      <c r="R311" t="s">
        <v>3664</v>
      </c>
      <c r="S311">
        <v>0</v>
      </c>
      <c r="T311" t="s">
        <v>4199</v>
      </c>
      <c r="U311" t="s">
        <v>4225</v>
      </c>
      <c r="V311" t="s">
        <v>4230</v>
      </c>
      <c r="W311" t="s">
        <v>4239</v>
      </c>
      <c r="X311" t="s">
        <v>3382</v>
      </c>
      <c r="AA311" t="s">
        <v>4256</v>
      </c>
      <c r="AB311" t="s">
        <v>4261</v>
      </c>
      <c r="AC311">
        <v>0</v>
      </c>
      <c r="AD311">
        <v>1174</v>
      </c>
      <c r="AE311">
        <v>2</v>
      </c>
      <c r="AF311" t="s">
        <v>4268</v>
      </c>
      <c r="AG311" t="s">
        <v>4582</v>
      </c>
      <c r="AI311" t="s">
        <v>5645</v>
      </c>
      <c r="AJ311">
        <v>43</v>
      </c>
      <c r="AK311" t="s">
        <v>6266</v>
      </c>
      <c r="AL311">
        <v>1</v>
      </c>
      <c r="AM311">
        <v>1</v>
      </c>
      <c r="AN311">
        <v>105.31</v>
      </c>
      <c r="AS311" t="s">
        <v>6298</v>
      </c>
      <c r="AT311">
        <v>17808</v>
      </c>
      <c r="AX311" t="s">
        <v>6405</v>
      </c>
      <c r="BA311" t="s">
        <v>6537</v>
      </c>
      <c r="BD311" t="s">
        <v>411</v>
      </c>
      <c r="BE311" t="s">
        <v>6702</v>
      </c>
    </row>
    <row r="312" spans="1:57">
      <c r="A312" s="1">
        <f>HYPERLINK("https://lsnyc.legalserver.org/matter/dynamic-profile/view/1889494","19-1889494")</f>
        <v>0</v>
      </c>
      <c r="B312" t="s">
        <v>57</v>
      </c>
      <c r="C312" t="s">
        <v>101</v>
      </c>
      <c r="D312" t="s">
        <v>215</v>
      </c>
      <c r="E312" t="s">
        <v>338</v>
      </c>
      <c r="F312" t="s">
        <v>249</v>
      </c>
      <c r="G312" t="s">
        <v>844</v>
      </c>
      <c r="H312" t="s">
        <v>1571</v>
      </c>
      <c r="J312" t="s">
        <v>2346</v>
      </c>
      <c r="K312" t="s">
        <v>2997</v>
      </c>
      <c r="L312" t="s">
        <v>3329</v>
      </c>
      <c r="M312" t="s">
        <v>3379</v>
      </c>
      <c r="N312">
        <v>10451</v>
      </c>
      <c r="O312" t="s">
        <v>3381</v>
      </c>
      <c r="P312" t="s">
        <v>3381</v>
      </c>
      <c r="Q312" t="s">
        <v>3391</v>
      </c>
      <c r="R312" t="s">
        <v>3665</v>
      </c>
      <c r="S312">
        <v>40</v>
      </c>
      <c r="T312" t="s">
        <v>4204</v>
      </c>
      <c r="U312" t="s">
        <v>4223</v>
      </c>
      <c r="V312" t="s">
        <v>4235</v>
      </c>
      <c r="W312" t="s">
        <v>4239</v>
      </c>
      <c r="X312" t="s">
        <v>3382</v>
      </c>
      <c r="Y312" t="s">
        <v>3382</v>
      </c>
      <c r="AA312" t="s">
        <v>4256</v>
      </c>
      <c r="AB312" t="s">
        <v>4261</v>
      </c>
      <c r="AC312">
        <v>0</v>
      </c>
      <c r="AD312">
        <v>0</v>
      </c>
      <c r="AE312">
        <v>27.85</v>
      </c>
      <c r="AF312" t="s">
        <v>4272</v>
      </c>
      <c r="AJ312">
        <v>103</v>
      </c>
      <c r="AK312" t="s">
        <v>6267</v>
      </c>
      <c r="AL312">
        <v>2</v>
      </c>
      <c r="AM312">
        <v>0</v>
      </c>
      <c r="AN312">
        <v>70.95999999999999</v>
      </c>
      <c r="AR312" t="s">
        <v>6293</v>
      </c>
      <c r="AS312" t="s">
        <v>6298</v>
      </c>
      <c r="AT312">
        <v>12000</v>
      </c>
      <c r="AW312" t="s">
        <v>6344</v>
      </c>
      <c r="AX312" t="s">
        <v>101</v>
      </c>
      <c r="BA312" t="s">
        <v>6487</v>
      </c>
      <c r="BD312" t="s">
        <v>396</v>
      </c>
    </row>
    <row r="313" spans="1:57">
      <c r="A313" s="1">
        <f>HYPERLINK("https://lsnyc.legalserver.org/matter/dynamic-profile/view/1903894","19-1903894")</f>
        <v>0</v>
      </c>
      <c r="B313" t="s">
        <v>57</v>
      </c>
      <c r="C313" t="s">
        <v>101</v>
      </c>
      <c r="D313" t="s">
        <v>215</v>
      </c>
      <c r="E313" t="s">
        <v>339</v>
      </c>
      <c r="F313" t="s">
        <v>249</v>
      </c>
      <c r="G313" t="s">
        <v>845</v>
      </c>
      <c r="H313" t="s">
        <v>1572</v>
      </c>
      <c r="J313" t="s">
        <v>2347</v>
      </c>
      <c r="K313" t="s">
        <v>3132</v>
      </c>
      <c r="L313" t="s">
        <v>3329</v>
      </c>
      <c r="M313" t="s">
        <v>3379</v>
      </c>
      <c r="N313">
        <v>10451</v>
      </c>
      <c r="O313" t="s">
        <v>3382</v>
      </c>
      <c r="P313" t="s">
        <v>3381</v>
      </c>
      <c r="R313" t="s">
        <v>3666</v>
      </c>
      <c r="S313">
        <v>22</v>
      </c>
      <c r="T313" t="s">
        <v>4197</v>
      </c>
      <c r="U313" t="s">
        <v>4223</v>
      </c>
      <c r="V313" t="s">
        <v>4231</v>
      </c>
      <c r="W313" t="s">
        <v>4239</v>
      </c>
      <c r="X313" t="s">
        <v>3382</v>
      </c>
      <c r="Y313" t="s">
        <v>3382</v>
      </c>
      <c r="AA313" t="s">
        <v>4256</v>
      </c>
      <c r="AC313">
        <v>0</v>
      </c>
      <c r="AD313">
        <v>0</v>
      </c>
      <c r="AE313">
        <v>6.6</v>
      </c>
      <c r="AF313" t="s">
        <v>4269</v>
      </c>
      <c r="AG313" t="s">
        <v>4583</v>
      </c>
      <c r="AJ313">
        <v>11</v>
      </c>
      <c r="AL313">
        <v>1</v>
      </c>
      <c r="AM313">
        <v>0</v>
      </c>
      <c r="AN313">
        <v>72.92</v>
      </c>
      <c r="AS313" t="s">
        <v>6298</v>
      </c>
      <c r="AT313">
        <v>9108</v>
      </c>
      <c r="AW313" t="s">
        <v>6376</v>
      </c>
      <c r="AX313" t="s">
        <v>6387</v>
      </c>
      <c r="BA313" t="s">
        <v>6482</v>
      </c>
      <c r="BD313" t="s">
        <v>250</v>
      </c>
      <c r="BE313" t="s">
        <v>5312</v>
      </c>
    </row>
    <row r="314" spans="1:57">
      <c r="A314" s="1">
        <f>HYPERLINK("https://lsnyc.legalserver.org/matter/dynamic-profile/view/1895913","19-1895913")</f>
        <v>0</v>
      </c>
      <c r="B314" t="s">
        <v>57</v>
      </c>
      <c r="C314" t="s">
        <v>101</v>
      </c>
      <c r="D314" t="s">
        <v>215</v>
      </c>
      <c r="E314" t="s">
        <v>336</v>
      </c>
      <c r="F314" t="s">
        <v>295</v>
      </c>
      <c r="G314" t="s">
        <v>736</v>
      </c>
      <c r="H314" t="s">
        <v>1420</v>
      </c>
      <c r="J314" t="s">
        <v>2223</v>
      </c>
      <c r="K314" t="s">
        <v>3080</v>
      </c>
      <c r="L314" t="s">
        <v>3329</v>
      </c>
      <c r="M314" t="s">
        <v>3379</v>
      </c>
      <c r="N314">
        <v>10451</v>
      </c>
      <c r="O314" t="s">
        <v>3380</v>
      </c>
      <c r="P314" t="s">
        <v>3381</v>
      </c>
      <c r="S314">
        <v>0</v>
      </c>
      <c r="U314" t="s">
        <v>4226</v>
      </c>
      <c r="V314" t="s">
        <v>4236</v>
      </c>
      <c r="W314" t="s">
        <v>4239</v>
      </c>
      <c r="X314" t="s">
        <v>3382</v>
      </c>
      <c r="AA314" t="s">
        <v>4259</v>
      </c>
      <c r="AC314">
        <v>0</v>
      </c>
      <c r="AD314">
        <v>0</v>
      </c>
      <c r="AE314">
        <v>3</v>
      </c>
      <c r="AF314" t="s">
        <v>4276</v>
      </c>
      <c r="AG314" t="s">
        <v>4451</v>
      </c>
      <c r="AI314" t="s">
        <v>5529</v>
      </c>
      <c r="AJ314">
        <v>10</v>
      </c>
      <c r="AK314" t="s">
        <v>6270</v>
      </c>
      <c r="AL314">
        <v>1</v>
      </c>
      <c r="AM314">
        <v>3</v>
      </c>
      <c r="AN314">
        <v>126.21</v>
      </c>
      <c r="AQ314" t="s">
        <v>6286</v>
      </c>
      <c r="AT314">
        <v>32500</v>
      </c>
      <c r="AX314" t="s">
        <v>6386</v>
      </c>
      <c r="BA314" t="s">
        <v>6473</v>
      </c>
      <c r="BD314" t="s">
        <v>513</v>
      </c>
      <c r="BE314" t="s">
        <v>6702</v>
      </c>
    </row>
    <row r="315" spans="1:57">
      <c r="A315" s="1">
        <f>HYPERLINK("https://lsnyc.legalserver.org/matter/dynamic-profile/view/1906580","19-1906580")</f>
        <v>0</v>
      </c>
      <c r="B315" t="s">
        <v>57</v>
      </c>
      <c r="C315" t="s">
        <v>102</v>
      </c>
      <c r="D315" t="s">
        <v>215</v>
      </c>
      <c r="E315" t="s">
        <v>340</v>
      </c>
      <c r="F315" t="s">
        <v>224</v>
      </c>
      <c r="G315" t="s">
        <v>846</v>
      </c>
      <c r="H315" t="s">
        <v>1573</v>
      </c>
      <c r="J315" t="s">
        <v>2348</v>
      </c>
      <c r="K315" t="s">
        <v>3096</v>
      </c>
      <c r="L315" t="s">
        <v>3329</v>
      </c>
      <c r="M315" t="s">
        <v>3379</v>
      </c>
      <c r="N315">
        <v>10471</v>
      </c>
      <c r="O315" t="s">
        <v>3380</v>
      </c>
      <c r="P315" t="s">
        <v>3381</v>
      </c>
      <c r="Q315" t="s">
        <v>3396</v>
      </c>
      <c r="R315" t="s">
        <v>3667</v>
      </c>
      <c r="S315">
        <v>60</v>
      </c>
      <c r="T315" t="s">
        <v>4196</v>
      </c>
      <c r="U315" t="s">
        <v>4225</v>
      </c>
      <c r="V315" t="s">
        <v>4230</v>
      </c>
      <c r="W315" t="s">
        <v>4239</v>
      </c>
      <c r="X315" t="s">
        <v>3382</v>
      </c>
      <c r="Y315" t="s">
        <v>3382</v>
      </c>
      <c r="AA315" t="s">
        <v>4256</v>
      </c>
      <c r="AC315">
        <v>0</v>
      </c>
      <c r="AD315">
        <v>1300</v>
      </c>
      <c r="AE315">
        <v>2</v>
      </c>
      <c r="AF315" t="s">
        <v>4268</v>
      </c>
      <c r="AG315" t="s">
        <v>4584</v>
      </c>
      <c r="AI315" t="s">
        <v>5646</v>
      </c>
      <c r="AJ315">
        <v>180</v>
      </c>
      <c r="AK315" t="s">
        <v>6275</v>
      </c>
      <c r="AL315">
        <v>1</v>
      </c>
      <c r="AM315">
        <v>0</v>
      </c>
      <c r="AN315">
        <v>77.81999999999999</v>
      </c>
      <c r="AR315" t="s">
        <v>5312</v>
      </c>
      <c r="AS315" t="s">
        <v>6298</v>
      </c>
      <c r="AT315">
        <v>9720</v>
      </c>
      <c r="AX315" t="s">
        <v>6390</v>
      </c>
      <c r="BA315" t="s">
        <v>6487</v>
      </c>
      <c r="BD315" t="s">
        <v>340</v>
      </c>
      <c r="BE315" t="s">
        <v>6702</v>
      </c>
    </row>
    <row r="316" spans="1:57">
      <c r="A316" s="1">
        <f>HYPERLINK("https://lsnyc.legalserver.org/matter/dynamic-profile/view/1912377","19-1912377")</f>
        <v>0</v>
      </c>
      <c r="B316" t="s">
        <v>57</v>
      </c>
      <c r="C316" t="s">
        <v>102</v>
      </c>
      <c r="D316" t="s">
        <v>214</v>
      </c>
      <c r="E316" t="s">
        <v>268</v>
      </c>
      <c r="G316" t="s">
        <v>847</v>
      </c>
      <c r="H316" t="s">
        <v>1574</v>
      </c>
      <c r="J316" t="s">
        <v>2349</v>
      </c>
      <c r="K316" t="s">
        <v>3133</v>
      </c>
      <c r="L316" t="s">
        <v>3329</v>
      </c>
      <c r="M316" t="s">
        <v>3379</v>
      </c>
      <c r="N316">
        <v>10468</v>
      </c>
      <c r="O316" t="s">
        <v>3380</v>
      </c>
      <c r="P316" t="s">
        <v>3381</v>
      </c>
      <c r="Q316" t="s">
        <v>3383</v>
      </c>
      <c r="R316" t="s">
        <v>3668</v>
      </c>
      <c r="S316">
        <v>10</v>
      </c>
      <c r="T316" t="s">
        <v>4196</v>
      </c>
      <c r="U316" t="s">
        <v>4223</v>
      </c>
      <c r="W316" t="s">
        <v>4238</v>
      </c>
      <c r="X316" t="s">
        <v>3382</v>
      </c>
      <c r="Y316" t="s">
        <v>3382</v>
      </c>
      <c r="AA316" t="s">
        <v>4256</v>
      </c>
      <c r="AB316" t="s">
        <v>4263</v>
      </c>
      <c r="AC316">
        <v>0</v>
      </c>
      <c r="AD316">
        <v>1278</v>
      </c>
      <c r="AE316">
        <v>15.4</v>
      </c>
      <c r="AG316" t="s">
        <v>4585</v>
      </c>
      <c r="AH316">
        <v>374967431</v>
      </c>
      <c r="AJ316">
        <v>52</v>
      </c>
      <c r="AK316" t="s">
        <v>6267</v>
      </c>
      <c r="AL316">
        <v>1</v>
      </c>
      <c r="AM316">
        <v>0</v>
      </c>
      <c r="AN316">
        <v>240.19</v>
      </c>
      <c r="AR316" t="s">
        <v>5312</v>
      </c>
      <c r="AS316" t="s">
        <v>6298</v>
      </c>
      <c r="AT316">
        <v>30000.12</v>
      </c>
      <c r="AX316" t="s">
        <v>6395</v>
      </c>
      <c r="AY316" t="s">
        <v>6459</v>
      </c>
      <c r="AZ316" t="s">
        <v>6467</v>
      </c>
      <c r="BA316" t="s">
        <v>6501</v>
      </c>
      <c r="BB316" t="s">
        <v>6602</v>
      </c>
      <c r="BC316" t="s">
        <v>6612</v>
      </c>
      <c r="BD316" t="s">
        <v>305</v>
      </c>
      <c r="BE316" t="s">
        <v>6702</v>
      </c>
    </row>
    <row r="317" spans="1:57">
      <c r="A317" s="1">
        <f>HYPERLINK("https://lsnyc.legalserver.org/matter/dynamic-profile/view/1909392","19-1909392")</f>
        <v>0</v>
      </c>
      <c r="B317" t="s">
        <v>57</v>
      </c>
      <c r="C317" t="s">
        <v>102</v>
      </c>
      <c r="D317" t="s">
        <v>214</v>
      </c>
      <c r="E317" t="s">
        <v>301</v>
      </c>
      <c r="G317" t="s">
        <v>848</v>
      </c>
      <c r="H317" t="s">
        <v>1575</v>
      </c>
      <c r="J317" t="s">
        <v>2350</v>
      </c>
      <c r="K317">
        <v>2</v>
      </c>
      <c r="L317" t="s">
        <v>3329</v>
      </c>
      <c r="M317" t="s">
        <v>3379</v>
      </c>
      <c r="N317">
        <v>10467</v>
      </c>
      <c r="O317" t="s">
        <v>3380</v>
      </c>
      <c r="P317" t="s">
        <v>3381</v>
      </c>
      <c r="Q317" t="s">
        <v>3383</v>
      </c>
      <c r="R317" t="s">
        <v>3669</v>
      </c>
      <c r="S317">
        <v>8</v>
      </c>
      <c r="T317" t="s">
        <v>4196</v>
      </c>
      <c r="U317" t="s">
        <v>4223</v>
      </c>
      <c r="W317" t="s">
        <v>4238</v>
      </c>
      <c r="X317" t="s">
        <v>3382</v>
      </c>
      <c r="Y317" t="s">
        <v>3382</v>
      </c>
      <c r="AA317" t="s">
        <v>4256</v>
      </c>
      <c r="AB317" t="s">
        <v>4261</v>
      </c>
      <c r="AC317">
        <v>0</v>
      </c>
      <c r="AD317">
        <v>1350</v>
      </c>
      <c r="AE317">
        <v>5.7</v>
      </c>
      <c r="AG317" t="s">
        <v>4586</v>
      </c>
      <c r="AI317" t="s">
        <v>5647</v>
      </c>
      <c r="AJ317">
        <v>3</v>
      </c>
      <c r="AK317" t="s">
        <v>6268</v>
      </c>
      <c r="AL317">
        <v>1</v>
      </c>
      <c r="AM317">
        <v>0</v>
      </c>
      <c r="AN317">
        <v>67.25</v>
      </c>
      <c r="AR317" t="s">
        <v>5312</v>
      </c>
      <c r="AS317" t="s">
        <v>6298</v>
      </c>
      <c r="AT317">
        <v>8400</v>
      </c>
      <c r="AX317" t="s">
        <v>99</v>
      </c>
      <c r="BA317" t="s">
        <v>3391</v>
      </c>
      <c r="BD317" t="s">
        <v>253</v>
      </c>
      <c r="BE317" t="s">
        <v>6702</v>
      </c>
    </row>
    <row r="318" spans="1:57">
      <c r="A318" s="1">
        <f>HYPERLINK("https://lsnyc.legalserver.org/matter/dynamic-profile/view/1914772","19-1914772")</f>
        <v>0</v>
      </c>
      <c r="B318" t="s">
        <v>57</v>
      </c>
      <c r="C318" t="s">
        <v>102</v>
      </c>
      <c r="D318" t="s">
        <v>214</v>
      </c>
      <c r="E318" t="s">
        <v>341</v>
      </c>
      <c r="G318" t="s">
        <v>650</v>
      </c>
      <c r="H318" t="s">
        <v>1576</v>
      </c>
      <c r="J318" t="s">
        <v>2351</v>
      </c>
      <c r="K318" t="s">
        <v>3016</v>
      </c>
      <c r="L318" t="s">
        <v>3329</v>
      </c>
      <c r="M318" t="s">
        <v>3379</v>
      </c>
      <c r="N318">
        <v>10466</v>
      </c>
      <c r="O318" t="s">
        <v>3381</v>
      </c>
      <c r="P318" t="s">
        <v>3381</v>
      </c>
      <c r="R318" t="s">
        <v>3670</v>
      </c>
      <c r="S318">
        <v>10</v>
      </c>
      <c r="T318" t="s">
        <v>4201</v>
      </c>
      <c r="U318" t="s">
        <v>4227</v>
      </c>
      <c r="W318" t="s">
        <v>4239</v>
      </c>
      <c r="X318" t="s">
        <v>3382</v>
      </c>
      <c r="Y318" t="s">
        <v>3382</v>
      </c>
      <c r="AA318" t="s">
        <v>4258</v>
      </c>
      <c r="AC318">
        <v>0</v>
      </c>
      <c r="AD318">
        <v>1056</v>
      </c>
      <c r="AE318">
        <v>1.3</v>
      </c>
      <c r="AG318" t="s">
        <v>4587</v>
      </c>
      <c r="AI318" t="s">
        <v>5648</v>
      </c>
      <c r="AJ318">
        <v>0</v>
      </c>
      <c r="AK318" t="s">
        <v>6270</v>
      </c>
      <c r="AL318">
        <v>2</v>
      </c>
      <c r="AM318">
        <v>2</v>
      </c>
      <c r="AN318">
        <v>143.38</v>
      </c>
      <c r="AS318" t="s">
        <v>6299</v>
      </c>
      <c r="AT318">
        <v>36920</v>
      </c>
      <c r="AX318" t="s">
        <v>6395</v>
      </c>
      <c r="BA318" t="s">
        <v>6473</v>
      </c>
      <c r="BD318" t="s">
        <v>243</v>
      </c>
    </row>
    <row r="319" spans="1:57">
      <c r="A319" s="1">
        <f>HYPERLINK("https://lsnyc.legalserver.org/matter/dynamic-profile/view/1911787","19-1911787")</f>
        <v>0</v>
      </c>
      <c r="B319" t="s">
        <v>57</v>
      </c>
      <c r="C319" t="s">
        <v>102</v>
      </c>
      <c r="D319" t="s">
        <v>214</v>
      </c>
      <c r="E319" t="s">
        <v>342</v>
      </c>
      <c r="G319" t="s">
        <v>849</v>
      </c>
      <c r="H319" t="s">
        <v>1577</v>
      </c>
      <c r="J319" t="s">
        <v>2352</v>
      </c>
      <c r="K319" t="s">
        <v>3055</v>
      </c>
      <c r="L319" t="s">
        <v>3329</v>
      </c>
      <c r="M319" t="s">
        <v>3379</v>
      </c>
      <c r="N319">
        <v>10460</v>
      </c>
      <c r="O319" t="s">
        <v>3380</v>
      </c>
      <c r="P319" t="s">
        <v>3381</v>
      </c>
      <c r="R319" t="s">
        <v>3671</v>
      </c>
      <c r="S319">
        <v>0</v>
      </c>
      <c r="T319" t="s">
        <v>4197</v>
      </c>
      <c r="U319" t="s">
        <v>4224</v>
      </c>
      <c r="W319" t="s">
        <v>4238</v>
      </c>
      <c r="X319" t="s">
        <v>3382</v>
      </c>
      <c r="Y319" t="s">
        <v>3382</v>
      </c>
      <c r="AA319" t="s">
        <v>4258</v>
      </c>
      <c r="AB319" t="s">
        <v>4261</v>
      </c>
      <c r="AC319">
        <v>0</v>
      </c>
      <c r="AD319">
        <v>0</v>
      </c>
      <c r="AE319">
        <v>1.2</v>
      </c>
      <c r="AG319" t="s">
        <v>4588</v>
      </c>
      <c r="AI319" t="s">
        <v>5649</v>
      </c>
      <c r="AJ319">
        <v>21</v>
      </c>
      <c r="AK319" t="s">
        <v>6267</v>
      </c>
      <c r="AL319">
        <v>1</v>
      </c>
      <c r="AM319">
        <v>0</v>
      </c>
      <c r="AN319">
        <v>93</v>
      </c>
      <c r="AR319" t="s">
        <v>6290</v>
      </c>
      <c r="AS319" t="s">
        <v>6298</v>
      </c>
      <c r="AT319">
        <v>11616</v>
      </c>
      <c r="AW319" t="s">
        <v>6377</v>
      </c>
      <c r="AX319" t="s">
        <v>6387</v>
      </c>
      <c r="BA319" t="s">
        <v>6482</v>
      </c>
      <c r="BD319" t="s">
        <v>259</v>
      </c>
      <c r="BE319" t="s">
        <v>6702</v>
      </c>
    </row>
    <row r="320" spans="1:57">
      <c r="A320" s="1">
        <f>HYPERLINK("https://lsnyc.legalserver.org/matter/dynamic-profile/view/1908350","19-1908350")</f>
        <v>0</v>
      </c>
      <c r="B320" t="s">
        <v>57</v>
      </c>
      <c r="C320" t="s">
        <v>102</v>
      </c>
      <c r="D320" t="s">
        <v>214</v>
      </c>
      <c r="E320" t="s">
        <v>307</v>
      </c>
      <c r="G320" t="s">
        <v>850</v>
      </c>
      <c r="H320" t="s">
        <v>1531</v>
      </c>
      <c r="J320" t="s">
        <v>2127</v>
      </c>
      <c r="K320" t="s">
        <v>3134</v>
      </c>
      <c r="L320" t="s">
        <v>3329</v>
      </c>
      <c r="M320" t="s">
        <v>3379</v>
      </c>
      <c r="N320">
        <v>10457</v>
      </c>
      <c r="O320" t="s">
        <v>3380</v>
      </c>
      <c r="P320" t="s">
        <v>3381</v>
      </c>
      <c r="Q320" t="s">
        <v>3384</v>
      </c>
      <c r="R320" t="s">
        <v>3672</v>
      </c>
      <c r="S320">
        <v>3</v>
      </c>
      <c r="T320" t="s">
        <v>4197</v>
      </c>
      <c r="U320" t="s">
        <v>4225</v>
      </c>
      <c r="W320" t="s">
        <v>4238</v>
      </c>
      <c r="X320" t="s">
        <v>3382</v>
      </c>
      <c r="Y320" t="s">
        <v>3382</v>
      </c>
      <c r="AA320" t="s">
        <v>4256</v>
      </c>
      <c r="AC320">
        <v>0</v>
      </c>
      <c r="AD320">
        <v>985</v>
      </c>
      <c r="AE320">
        <v>5.3</v>
      </c>
      <c r="AG320" t="s">
        <v>4589</v>
      </c>
      <c r="AH320" t="s">
        <v>5277</v>
      </c>
      <c r="AI320" t="s">
        <v>5650</v>
      </c>
      <c r="AJ320">
        <v>70</v>
      </c>
      <c r="AK320" t="s">
        <v>6266</v>
      </c>
      <c r="AL320">
        <v>1</v>
      </c>
      <c r="AM320">
        <v>1</v>
      </c>
      <c r="AN320">
        <v>20.69</v>
      </c>
      <c r="AR320" t="s">
        <v>5312</v>
      </c>
      <c r="AS320" t="s">
        <v>6298</v>
      </c>
      <c r="AT320">
        <v>3498</v>
      </c>
      <c r="AX320" t="s">
        <v>6397</v>
      </c>
      <c r="BA320" t="s">
        <v>6538</v>
      </c>
      <c r="BD320" t="s">
        <v>504</v>
      </c>
      <c r="BE320" t="s">
        <v>6702</v>
      </c>
    </row>
    <row r="321" spans="1:57">
      <c r="A321" s="1">
        <f>HYPERLINK("https://lsnyc.legalserver.org/matter/dynamic-profile/view/1912490","19-1912490")</f>
        <v>0</v>
      </c>
      <c r="B321" t="s">
        <v>57</v>
      </c>
      <c r="C321" t="s">
        <v>102</v>
      </c>
      <c r="D321" t="s">
        <v>214</v>
      </c>
      <c r="E321" t="s">
        <v>221</v>
      </c>
      <c r="G321" t="s">
        <v>851</v>
      </c>
      <c r="H321" t="s">
        <v>1578</v>
      </c>
      <c r="J321" t="s">
        <v>2353</v>
      </c>
      <c r="K321">
        <v>315</v>
      </c>
      <c r="L321" t="s">
        <v>3329</v>
      </c>
      <c r="M321" t="s">
        <v>3379</v>
      </c>
      <c r="N321">
        <v>10457</v>
      </c>
      <c r="O321" t="s">
        <v>3380</v>
      </c>
      <c r="P321" t="s">
        <v>3381</v>
      </c>
      <c r="Q321" t="s">
        <v>3384</v>
      </c>
      <c r="R321" t="s">
        <v>3673</v>
      </c>
      <c r="S321">
        <v>22</v>
      </c>
      <c r="T321" t="s">
        <v>4197</v>
      </c>
      <c r="U321" t="s">
        <v>4223</v>
      </c>
      <c r="W321" t="s">
        <v>4238</v>
      </c>
      <c r="X321" t="s">
        <v>3382</v>
      </c>
      <c r="Y321" t="s">
        <v>3382</v>
      </c>
      <c r="AA321" t="s">
        <v>4256</v>
      </c>
      <c r="AB321" t="s">
        <v>4261</v>
      </c>
      <c r="AC321">
        <v>0</v>
      </c>
      <c r="AD321">
        <v>560</v>
      </c>
      <c r="AE321">
        <v>3.8</v>
      </c>
      <c r="AG321" t="s">
        <v>4590</v>
      </c>
      <c r="AI321" t="s">
        <v>5651</v>
      </c>
      <c r="AJ321">
        <v>84</v>
      </c>
      <c r="AK321" t="s">
        <v>6271</v>
      </c>
      <c r="AL321">
        <v>1</v>
      </c>
      <c r="AM321">
        <v>0</v>
      </c>
      <c r="AN321">
        <v>312.25</v>
      </c>
      <c r="AR321" t="s">
        <v>6290</v>
      </c>
      <c r="AS321" t="s">
        <v>6298</v>
      </c>
      <c r="AT321">
        <v>39000</v>
      </c>
      <c r="AW321" t="s">
        <v>6365</v>
      </c>
      <c r="AX321" t="s">
        <v>6395</v>
      </c>
      <c r="BA321" t="s">
        <v>6477</v>
      </c>
      <c r="BD321" t="s">
        <v>218</v>
      </c>
      <c r="BE321" t="s">
        <v>6702</v>
      </c>
    </row>
    <row r="322" spans="1:57">
      <c r="A322" s="1">
        <f>HYPERLINK("https://lsnyc.legalserver.org/matter/dynamic-profile/view/1908526","19-1908526")</f>
        <v>0</v>
      </c>
      <c r="B322" t="s">
        <v>57</v>
      </c>
      <c r="C322" t="s">
        <v>103</v>
      </c>
      <c r="D322" t="s">
        <v>215</v>
      </c>
      <c r="E322" t="s">
        <v>301</v>
      </c>
      <c r="F322" t="s">
        <v>528</v>
      </c>
      <c r="G322" t="s">
        <v>852</v>
      </c>
      <c r="H322" t="s">
        <v>1579</v>
      </c>
      <c r="J322" t="s">
        <v>2354</v>
      </c>
      <c r="L322" t="s">
        <v>3329</v>
      </c>
      <c r="M322" t="s">
        <v>3379</v>
      </c>
      <c r="N322">
        <v>10463</v>
      </c>
      <c r="O322" t="s">
        <v>3382</v>
      </c>
      <c r="P322" t="s">
        <v>3381</v>
      </c>
      <c r="Q322" t="s">
        <v>3385</v>
      </c>
      <c r="S322">
        <v>0</v>
      </c>
      <c r="U322" t="s">
        <v>4224</v>
      </c>
      <c r="V322" t="s">
        <v>4230</v>
      </c>
      <c r="W322" t="s">
        <v>4239</v>
      </c>
      <c r="X322" t="s">
        <v>3382</v>
      </c>
      <c r="Y322" t="s">
        <v>3382</v>
      </c>
      <c r="AA322" t="s">
        <v>4256</v>
      </c>
      <c r="AC322">
        <v>0</v>
      </c>
      <c r="AD322">
        <v>0</v>
      </c>
      <c r="AE322">
        <v>0.8</v>
      </c>
      <c r="AF322" t="s">
        <v>4268</v>
      </c>
      <c r="AG322" t="s">
        <v>4591</v>
      </c>
      <c r="AI322" t="s">
        <v>5652</v>
      </c>
      <c r="AJ322">
        <v>0</v>
      </c>
      <c r="AL322">
        <v>1</v>
      </c>
      <c r="AM322">
        <v>0</v>
      </c>
      <c r="AN322">
        <v>70.34999999999999</v>
      </c>
      <c r="AS322" t="s">
        <v>6298</v>
      </c>
      <c r="AT322">
        <v>8786.4</v>
      </c>
      <c r="AX322" t="s">
        <v>6385</v>
      </c>
      <c r="BA322" t="s">
        <v>6539</v>
      </c>
      <c r="BD322" t="s">
        <v>528</v>
      </c>
      <c r="BE322" t="s">
        <v>5312</v>
      </c>
    </row>
    <row r="323" spans="1:57">
      <c r="A323" s="1">
        <f>HYPERLINK("https://lsnyc.legalserver.org/matter/dynamic-profile/view/1913228","19-1913228")</f>
        <v>0</v>
      </c>
      <c r="B323" t="s">
        <v>57</v>
      </c>
      <c r="C323" t="s">
        <v>103</v>
      </c>
      <c r="D323" t="s">
        <v>214</v>
      </c>
      <c r="E323" t="s">
        <v>228</v>
      </c>
      <c r="G323" t="s">
        <v>853</v>
      </c>
      <c r="H323" t="s">
        <v>1580</v>
      </c>
      <c r="J323" t="s">
        <v>2355</v>
      </c>
      <c r="K323" t="s">
        <v>3135</v>
      </c>
      <c r="L323" t="s">
        <v>3329</v>
      </c>
      <c r="M323" t="s">
        <v>3379</v>
      </c>
      <c r="N323">
        <v>10451</v>
      </c>
      <c r="O323" t="s">
        <v>3381</v>
      </c>
      <c r="P323" t="s">
        <v>3381</v>
      </c>
      <c r="Q323" t="s">
        <v>3386</v>
      </c>
      <c r="S323">
        <v>30</v>
      </c>
      <c r="T323" t="s">
        <v>4203</v>
      </c>
      <c r="U323" t="s">
        <v>4225</v>
      </c>
      <c r="W323" t="s">
        <v>4239</v>
      </c>
      <c r="X323" t="s">
        <v>3382</v>
      </c>
      <c r="AA323" t="s">
        <v>4256</v>
      </c>
      <c r="AC323">
        <v>0</v>
      </c>
      <c r="AD323">
        <v>1400</v>
      </c>
      <c r="AE323">
        <v>0.8</v>
      </c>
      <c r="AG323" t="s">
        <v>4592</v>
      </c>
      <c r="AI323" t="s">
        <v>5653</v>
      </c>
      <c r="AJ323">
        <v>150</v>
      </c>
      <c r="AK323" t="s">
        <v>6266</v>
      </c>
      <c r="AL323">
        <v>1</v>
      </c>
      <c r="AM323">
        <v>0</v>
      </c>
      <c r="AN323">
        <v>200.16</v>
      </c>
      <c r="AR323" t="s">
        <v>6293</v>
      </c>
      <c r="AS323" t="s">
        <v>6298</v>
      </c>
      <c r="AT323">
        <v>25000</v>
      </c>
      <c r="AX323" t="s">
        <v>6404</v>
      </c>
      <c r="BA323" t="s">
        <v>6487</v>
      </c>
      <c r="BD323" t="s">
        <v>270</v>
      </c>
    </row>
    <row r="324" spans="1:57">
      <c r="A324" s="1">
        <f>HYPERLINK("https://lsnyc.legalserver.org/matter/dynamic-profile/view/1913620","19-1913620")</f>
        <v>0</v>
      </c>
      <c r="B324" t="s">
        <v>57</v>
      </c>
      <c r="C324" t="s">
        <v>104</v>
      </c>
      <c r="D324" t="s">
        <v>214</v>
      </c>
      <c r="E324" t="s">
        <v>251</v>
      </c>
      <c r="G324" t="s">
        <v>854</v>
      </c>
      <c r="H324" t="s">
        <v>1581</v>
      </c>
      <c r="J324" t="s">
        <v>2356</v>
      </c>
      <c r="K324" t="s">
        <v>3104</v>
      </c>
      <c r="L324" t="s">
        <v>3329</v>
      </c>
      <c r="M324" t="s">
        <v>3379</v>
      </c>
      <c r="N324">
        <v>10473</v>
      </c>
      <c r="O324" t="s">
        <v>3380</v>
      </c>
      <c r="P324" t="s">
        <v>3381</v>
      </c>
      <c r="Q324" t="s">
        <v>3386</v>
      </c>
      <c r="R324" t="s">
        <v>3674</v>
      </c>
      <c r="S324">
        <v>13</v>
      </c>
      <c r="T324" t="s">
        <v>4197</v>
      </c>
      <c r="W324" t="s">
        <v>4239</v>
      </c>
      <c r="X324" t="s">
        <v>3382</v>
      </c>
      <c r="Y324" t="s">
        <v>3382</v>
      </c>
      <c r="AA324" t="s">
        <v>4256</v>
      </c>
      <c r="AC324">
        <v>0</v>
      </c>
      <c r="AD324">
        <v>1017.01</v>
      </c>
      <c r="AE324">
        <v>1.5</v>
      </c>
      <c r="AG324" t="s">
        <v>4593</v>
      </c>
      <c r="AH324" t="s">
        <v>5278</v>
      </c>
      <c r="AI324" t="s">
        <v>5654</v>
      </c>
      <c r="AJ324">
        <v>226</v>
      </c>
      <c r="AK324" t="s">
        <v>6267</v>
      </c>
      <c r="AL324">
        <v>1</v>
      </c>
      <c r="AM324">
        <v>1</v>
      </c>
      <c r="AN324">
        <v>29.83</v>
      </c>
      <c r="AS324" t="s">
        <v>6298</v>
      </c>
      <c r="AT324">
        <v>5044</v>
      </c>
      <c r="AX324" t="s">
        <v>6387</v>
      </c>
      <c r="BA324" t="s">
        <v>6521</v>
      </c>
      <c r="BD324" t="s">
        <v>218</v>
      </c>
      <c r="BE324" t="s">
        <v>6702</v>
      </c>
    </row>
    <row r="325" spans="1:57">
      <c r="A325" s="1">
        <f>HYPERLINK("https://lsnyc.legalserver.org/matter/dynamic-profile/view/1913794","19-1913794")</f>
        <v>0</v>
      </c>
      <c r="B325" t="s">
        <v>57</v>
      </c>
      <c r="C325" t="s">
        <v>104</v>
      </c>
      <c r="D325" t="s">
        <v>214</v>
      </c>
      <c r="E325" t="s">
        <v>222</v>
      </c>
      <c r="G325" t="s">
        <v>855</v>
      </c>
      <c r="H325" t="s">
        <v>1582</v>
      </c>
      <c r="J325" t="s">
        <v>2357</v>
      </c>
      <c r="K325" t="s">
        <v>3136</v>
      </c>
      <c r="L325" t="s">
        <v>3329</v>
      </c>
      <c r="M325" t="s">
        <v>3379</v>
      </c>
      <c r="N325">
        <v>10468</v>
      </c>
      <c r="O325" t="s">
        <v>3380</v>
      </c>
      <c r="P325" t="s">
        <v>3381</v>
      </c>
      <c r="Q325" t="s">
        <v>3387</v>
      </c>
      <c r="R325" t="s">
        <v>3675</v>
      </c>
      <c r="S325">
        <v>11</v>
      </c>
      <c r="T325" t="s">
        <v>4196</v>
      </c>
      <c r="W325" t="s">
        <v>4238</v>
      </c>
      <c r="X325" t="s">
        <v>3382</v>
      </c>
      <c r="Y325" t="s">
        <v>3380</v>
      </c>
      <c r="AA325" t="s">
        <v>4256</v>
      </c>
      <c r="AC325">
        <v>0</v>
      </c>
      <c r="AD325">
        <v>1056.08</v>
      </c>
      <c r="AE325">
        <v>1.9</v>
      </c>
      <c r="AG325" t="s">
        <v>4594</v>
      </c>
      <c r="AH325" t="s">
        <v>5279</v>
      </c>
      <c r="AI325" t="s">
        <v>5655</v>
      </c>
      <c r="AJ325">
        <v>30</v>
      </c>
      <c r="AL325">
        <v>1</v>
      </c>
      <c r="AM325">
        <v>2</v>
      </c>
      <c r="AN325">
        <v>74.84</v>
      </c>
      <c r="AS325" t="s">
        <v>6298</v>
      </c>
      <c r="AT325">
        <v>15964</v>
      </c>
      <c r="AX325" t="s">
        <v>6393</v>
      </c>
      <c r="BA325" t="s">
        <v>6485</v>
      </c>
      <c r="BD325" t="s">
        <v>217</v>
      </c>
      <c r="BE325" t="s">
        <v>6702</v>
      </c>
    </row>
    <row r="326" spans="1:57">
      <c r="A326" s="1">
        <f>HYPERLINK("https://lsnyc.legalserver.org/matter/dynamic-profile/view/1890413","19-1890413")</f>
        <v>0</v>
      </c>
      <c r="B326" t="s">
        <v>57</v>
      </c>
      <c r="C326" t="s">
        <v>104</v>
      </c>
      <c r="D326" t="s">
        <v>214</v>
      </c>
      <c r="E326" t="s">
        <v>343</v>
      </c>
      <c r="G326" t="s">
        <v>856</v>
      </c>
      <c r="H326" t="s">
        <v>1583</v>
      </c>
      <c r="J326" t="s">
        <v>2358</v>
      </c>
      <c r="K326" t="s">
        <v>3012</v>
      </c>
      <c r="L326" t="s">
        <v>3329</v>
      </c>
      <c r="M326" t="s">
        <v>3379</v>
      </c>
      <c r="N326">
        <v>10457</v>
      </c>
      <c r="O326" t="s">
        <v>3380</v>
      </c>
      <c r="P326" t="s">
        <v>3380</v>
      </c>
      <c r="Q326" t="s">
        <v>3383</v>
      </c>
      <c r="R326" t="s">
        <v>3676</v>
      </c>
      <c r="S326">
        <v>15</v>
      </c>
      <c r="T326" t="s">
        <v>4197</v>
      </c>
      <c r="U326" t="s">
        <v>4223</v>
      </c>
      <c r="W326" t="s">
        <v>4238</v>
      </c>
      <c r="X326" t="s">
        <v>3382</v>
      </c>
      <c r="Y326" t="s">
        <v>3382</v>
      </c>
      <c r="AA326" t="s">
        <v>4256</v>
      </c>
      <c r="AB326" t="s">
        <v>4261</v>
      </c>
      <c r="AC326">
        <v>0</v>
      </c>
      <c r="AD326">
        <v>1059.78</v>
      </c>
      <c r="AE326">
        <v>52.2</v>
      </c>
      <c r="AG326" t="s">
        <v>4595</v>
      </c>
      <c r="AI326" t="s">
        <v>5656</v>
      </c>
      <c r="AJ326">
        <v>7</v>
      </c>
      <c r="AK326" t="s">
        <v>6271</v>
      </c>
      <c r="AL326">
        <v>2</v>
      </c>
      <c r="AM326">
        <v>0</v>
      </c>
      <c r="AN326">
        <v>176.2</v>
      </c>
      <c r="AR326" t="s">
        <v>3391</v>
      </c>
      <c r="AS326" t="s">
        <v>6298</v>
      </c>
      <c r="AT326">
        <v>29796</v>
      </c>
      <c r="AW326" t="s">
        <v>6378</v>
      </c>
      <c r="AX326" t="s">
        <v>6390</v>
      </c>
      <c r="BA326" t="s">
        <v>6477</v>
      </c>
      <c r="BD326" t="s">
        <v>219</v>
      </c>
    </row>
    <row r="327" spans="1:57">
      <c r="A327" s="1">
        <f>HYPERLINK("https://lsnyc.legalserver.org/matter/dynamic-profile/view/1914585","19-1914585")</f>
        <v>0</v>
      </c>
      <c r="B327" t="s">
        <v>57</v>
      </c>
      <c r="C327" t="s">
        <v>104</v>
      </c>
      <c r="D327" t="s">
        <v>214</v>
      </c>
      <c r="E327" t="s">
        <v>267</v>
      </c>
      <c r="G327" t="s">
        <v>857</v>
      </c>
      <c r="H327" t="s">
        <v>1584</v>
      </c>
      <c r="J327" t="s">
        <v>2359</v>
      </c>
      <c r="K327">
        <v>22</v>
      </c>
      <c r="L327" t="s">
        <v>3329</v>
      </c>
      <c r="M327" t="s">
        <v>3379</v>
      </c>
      <c r="N327">
        <v>10457</v>
      </c>
      <c r="O327" t="s">
        <v>3381</v>
      </c>
      <c r="P327" t="s">
        <v>3381</v>
      </c>
      <c r="Q327" t="s">
        <v>3387</v>
      </c>
      <c r="R327" t="s">
        <v>3677</v>
      </c>
      <c r="S327">
        <v>20</v>
      </c>
      <c r="T327" t="s">
        <v>4196</v>
      </c>
      <c r="U327" t="s">
        <v>4223</v>
      </c>
      <c r="W327" t="s">
        <v>4238</v>
      </c>
      <c r="X327" t="s">
        <v>3382</v>
      </c>
      <c r="Y327" t="s">
        <v>3380</v>
      </c>
      <c r="AA327" t="s">
        <v>4256</v>
      </c>
      <c r="AC327">
        <v>0</v>
      </c>
      <c r="AD327">
        <v>939.11</v>
      </c>
      <c r="AE327">
        <v>1</v>
      </c>
      <c r="AG327" t="s">
        <v>4596</v>
      </c>
      <c r="AI327" t="s">
        <v>5657</v>
      </c>
      <c r="AJ327">
        <v>0</v>
      </c>
      <c r="AK327" t="s">
        <v>6267</v>
      </c>
      <c r="AL327">
        <v>1</v>
      </c>
      <c r="AM327">
        <v>2</v>
      </c>
      <c r="AN327">
        <v>118.36</v>
      </c>
      <c r="AS327" t="s">
        <v>6298</v>
      </c>
      <c r="AT327">
        <v>25246</v>
      </c>
      <c r="AX327" t="s">
        <v>6393</v>
      </c>
      <c r="BA327" t="s">
        <v>6477</v>
      </c>
      <c r="BD327" t="s">
        <v>341</v>
      </c>
      <c r="BE327" t="s">
        <v>6702</v>
      </c>
    </row>
    <row r="328" spans="1:57">
      <c r="A328" s="1">
        <f>HYPERLINK("https://lsnyc.legalserver.org/matter/dynamic-profile/view/1912571","19-1912571")</f>
        <v>0</v>
      </c>
      <c r="B328" t="s">
        <v>57</v>
      </c>
      <c r="C328" t="s">
        <v>105</v>
      </c>
      <c r="D328" t="s">
        <v>214</v>
      </c>
      <c r="E328" t="s">
        <v>225</v>
      </c>
      <c r="G328" t="s">
        <v>858</v>
      </c>
      <c r="H328" t="s">
        <v>1585</v>
      </c>
      <c r="J328" t="s">
        <v>2360</v>
      </c>
      <c r="K328" t="s">
        <v>3137</v>
      </c>
      <c r="L328" t="s">
        <v>3329</v>
      </c>
      <c r="M328" t="s">
        <v>3379</v>
      </c>
      <c r="N328">
        <v>10458</v>
      </c>
      <c r="O328" t="s">
        <v>3380</v>
      </c>
      <c r="P328" t="s">
        <v>3381</v>
      </c>
      <c r="Q328" t="s">
        <v>3386</v>
      </c>
      <c r="R328" t="s">
        <v>3678</v>
      </c>
      <c r="S328">
        <v>8</v>
      </c>
      <c r="T328" t="s">
        <v>4197</v>
      </c>
      <c r="W328" t="s">
        <v>4239</v>
      </c>
      <c r="X328" t="s">
        <v>3382</v>
      </c>
      <c r="Y328" t="s">
        <v>3382</v>
      </c>
      <c r="AA328" t="s">
        <v>4256</v>
      </c>
      <c r="AC328">
        <v>0</v>
      </c>
      <c r="AD328">
        <v>1150</v>
      </c>
      <c r="AE328">
        <v>2</v>
      </c>
      <c r="AG328" t="s">
        <v>4597</v>
      </c>
      <c r="AI328" t="s">
        <v>5658</v>
      </c>
      <c r="AJ328">
        <v>94</v>
      </c>
      <c r="AK328" t="s">
        <v>6267</v>
      </c>
      <c r="AL328">
        <v>1</v>
      </c>
      <c r="AM328">
        <v>0</v>
      </c>
      <c r="AN328">
        <v>72.90000000000001</v>
      </c>
      <c r="AR328" t="s">
        <v>6292</v>
      </c>
      <c r="AS328" t="s">
        <v>6299</v>
      </c>
      <c r="AT328">
        <v>9105.360000000001</v>
      </c>
      <c r="AX328" t="s">
        <v>6394</v>
      </c>
      <c r="BA328" t="s">
        <v>6482</v>
      </c>
      <c r="BD328" t="s">
        <v>249</v>
      </c>
      <c r="BE328" t="s">
        <v>6702</v>
      </c>
    </row>
    <row r="329" spans="1:57">
      <c r="A329" s="1">
        <f>HYPERLINK("https://lsnyc.legalserver.org/matter/dynamic-profile/view/1909667","19-1909667")</f>
        <v>0</v>
      </c>
      <c r="B329" t="s">
        <v>57</v>
      </c>
      <c r="C329" t="s">
        <v>105</v>
      </c>
      <c r="D329" t="s">
        <v>214</v>
      </c>
      <c r="E329" t="s">
        <v>330</v>
      </c>
      <c r="G329" t="s">
        <v>859</v>
      </c>
      <c r="H329" t="s">
        <v>1438</v>
      </c>
      <c r="J329" t="s">
        <v>2361</v>
      </c>
      <c r="L329" t="s">
        <v>3329</v>
      </c>
      <c r="M329" t="s">
        <v>3379</v>
      </c>
      <c r="N329">
        <v>10457</v>
      </c>
      <c r="O329" t="s">
        <v>3380</v>
      </c>
      <c r="P329" t="s">
        <v>3381</v>
      </c>
      <c r="Q329" t="s">
        <v>3383</v>
      </c>
      <c r="R329" t="s">
        <v>3679</v>
      </c>
      <c r="S329">
        <v>5</v>
      </c>
      <c r="T329" t="s">
        <v>4196</v>
      </c>
      <c r="U329" t="s">
        <v>4223</v>
      </c>
      <c r="W329" t="s">
        <v>4238</v>
      </c>
      <c r="X329" t="s">
        <v>3382</v>
      </c>
      <c r="Y329" t="s">
        <v>3382</v>
      </c>
      <c r="AA329" t="s">
        <v>4256</v>
      </c>
      <c r="AC329">
        <v>0</v>
      </c>
      <c r="AD329">
        <v>1112.26</v>
      </c>
      <c r="AE329">
        <v>20.4</v>
      </c>
      <c r="AG329" t="s">
        <v>4598</v>
      </c>
      <c r="AH329" t="s">
        <v>5280</v>
      </c>
      <c r="AI329" t="s">
        <v>5659</v>
      </c>
      <c r="AJ329">
        <v>86</v>
      </c>
      <c r="AK329" t="s">
        <v>6267</v>
      </c>
      <c r="AL329">
        <v>2</v>
      </c>
      <c r="AM329">
        <v>0</v>
      </c>
      <c r="AN329">
        <v>60.32</v>
      </c>
      <c r="AR329" t="s">
        <v>3391</v>
      </c>
      <c r="AT329">
        <v>10200</v>
      </c>
      <c r="AX329" t="s">
        <v>6394</v>
      </c>
      <c r="BA329" t="s">
        <v>6499</v>
      </c>
      <c r="BD329" t="s">
        <v>231</v>
      </c>
      <c r="BE329" t="s">
        <v>6702</v>
      </c>
    </row>
    <row r="330" spans="1:57">
      <c r="A330" s="1">
        <f>HYPERLINK("https://lsnyc.legalserver.org/matter/dynamic-profile/view/1896736","19-1896736")</f>
        <v>0</v>
      </c>
      <c r="B330" t="s">
        <v>57</v>
      </c>
      <c r="C330" t="s">
        <v>106</v>
      </c>
      <c r="D330" t="s">
        <v>214</v>
      </c>
      <c r="E330" t="s">
        <v>344</v>
      </c>
      <c r="G330" t="s">
        <v>860</v>
      </c>
      <c r="H330" t="s">
        <v>1586</v>
      </c>
      <c r="J330" t="s">
        <v>2362</v>
      </c>
      <c r="K330" t="s">
        <v>3018</v>
      </c>
      <c r="L330" t="s">
        <v>3329</v>
      </c>
      <c r="M330" t="s">
        <v>3379</v>
      </c>
      <c r="N330">
        <v>10470</v>
      </c>
      <c r="O330" t="s">
        <v>3380</v>
      </c>
      <c r="P330" t="s">
        <v>3380</v>
      </c>
      <c r="Q330" t="s">
        <v>3384</v>
      </c>
      <c r="R330" t="s">
        <v>3680</v>
      </c>
      <c r="S330">
        <v>3</v>
      </c>
      <c r="T330" t="s">
        <v>4197</v>
      </c>
      <c r="U330" t="s">
        <v>4225</v>
      </c>
      <c r="W330" t="s">
        <v>4239</v>
      </c>
      <c r="X330" t="s">
        <v>3382</v>
      </c>
      <c r="AA330" t="s">
        <v>4256</v>
      </c>
      <c r="AB330" t="s">
        <v>4261</v>
      </c>
      <c r="AC330">
        <v>0</v>
      </c>
      <c r="AD330">
        <v>925</v>
      </c>
      <c r="AE330">
        <v>12</v>
      </c>
      <c r="AG330" t="s">
        <v>4599</v>
      </c>
      <c r="AI330" t="s">
        <v>5660</v>
      </c>
      <c r="AJ330">
        <v>22</v>
      </c>
      <c r="AK330" t="s">
        <v>6267</v>
      </c>
      <c r="AL330">
        <v>1</v>
      </c>
      <c r="AM330">
        <v>0</v>
      </c>
      <c r="AN330">
        <v>640.51</v>
      </c>
      <c r="AR330" t="s">
        <v>5312</v>
      </c>
      <c r="AS330" t="s">
        <v>6298</v>
      </c>
      <c r="AT330">
        <v>80000</v>
      </c>
      <c r="AW330" t="s">
        <v>6379</v>
      </c>
      <c r="AX330" t="s">
        <v>6405</v>
      </c>
      <c r="BA330" t="s">
        <v>6477</v>
      </c>
      <c r="BD330" t="s">
        <v>331</v>
      </c>
    </row>
    <row r="331" spans="1:57">
      <c r="A331" s="1">
        <f>HYPERLINK("https://lsnyc.legalserver.org/matter/dynamic-profile/view/1892722","19-1892722")</f>
        <v>0</v>
      </c>
      <c r="B331" t="s">
        <v>57</v>
      </c>
      <c r="C331" t="s">
        <v>106</v>
      </c>
      <c r="D331" t="s">
        <v>214</v>
      </c>
      <c r="E331" t="s">
        <v>345</v>
      </c>
      <c r="G331" t="s">
        <v>861</v>
      </c>
      <c r="H331" t="s">
        <v>1587</v>
      </c>
      <c r="J331" t="s">
        <v>2363</v>
      </c>
      <c r="K331">
        <v>2</v>
      </c>
      <c r="L331" t="s">
        <v>3329</v>
      </c>
      <c r="M331" t="s">
        <v>3379</v>
      </c>
      <c r="N331">
        <v>10469</v>
      </c>
      <c r="O331" t="s">
        <v>3380</v>
      </c>
      <c r="P331" t="s">
        <v>3380</v>
      </c>
      <c r="Q331" t="s">
        <v>3384</v>
      </c>
      <c r="R331" t="s">
        <v>3681</v>
      </c>
      <c r="S331">
        <v>1</v>
      </c>
      <c r="T331" t="s">
        <v>4197</v>
      </c>
      <c r="U331" t="s">
        <v>4225</v>
      </c>
      <c r="W331" t="s">
        <v>4239</v>
      </c>
      <c r="X331" t="s">
        <v>3382</v>
      </c>
      <c r="Y331" t="s">
        <v>3382</v>
      </c>
      <c r="AA331" t="s">
        <v>4256</v>
      </c>
      <c r="AC331">
        <v>0</v>
      </c>
      <c r="AD331">
        <v>758.1</v>
      </c>
      <c r="AE331">
        <v>5.5</v>
      </c>
      <c r="AG331" t="s">
        <v>4600</v>
      </c>
      <c r="AJ331">
        <v>3</v>
      </c>
      <c r="AK331" t="s">
        <v>6274</v>
      </c>
      <c r="AL331">
        <v>2</v>
      </c>
      <c r="AM331">
        <v>0</v>
      </c>
      <c r="AN331">
        <v>223.54</v>
      </c>
      <c r="AQ331" t="s">
        <v>6287</v>
      </c>
      <c r="AR331" t="s">
        <v>6296</v>
      </c>
      <c r="AS331" t="s">
        <v>6298</v>
      </c>
      <c r="AT331">
        <v>37800</v>
      </c>
      <c r="AW331" t="s">
        <v>6380</v>
      </c>
      <c r="AX331" t="s">
        <v>6386</v>
      </c>
      <c r="BA331" t="s">
        <v>3391</v>
      </c>
      <c r="BD331" t="s">
        <v>6638</v>
      </c>
    </row>
    <row r="332" spans="1:57">
      <c r="A332" s="1">
        <f>HYPERLINK("https://lsnyc.legalserver.org/matter/dynamic-profile/view/1908502","19-1908502")</f>
        <v>0</v>
      </c>
      <c r="B332" t="s">
        <v>57</v>
      </c>
      <c r="C332" t="s">
        <v>106</v>
      </c>
      <c r="D332" t="s">
        <v>214</v>
      </c>
      <c r="E332" t="s">
        <v>326</v>
      </c>
      <c r="G332" t="s">
        <v>862</v>
      </c>
      <c r="H332" t="s">
        <v>1588</v>
      </c>
      <c r="J332" t="s">
        <v>2364</v>
      </c>
      <c r="K332" t="s">
        <v>3016</v>
      </c>
      <c r="L332" t="s">
        <v>3329</v>
      </c>
      <c r="M332" t="s">
        <v>3379</v>
      </c>
      <c r="N332">
        <v>10468</v>
      </c>
      <c r="O332" t="s">
        <v>3380</v>
      </c>
      <c r="P332" t="s">
        <v>3381</v>
      </c>
      <c r="Q332" t="s">
        <v>3383</v>
      </c>
      <c r="R332" t="s">
        <v>3682</v>
      </c>
      <c r="S332">
        <v>5</v>
      </c>
      <c r="T332" t="s">
        <v>4196</v>
      </c>
      <c r="U332" t="s">
        <v>4223</v>
      </c>
      <c r="W332" t="s">
        <v>4238</v>
      </c>
      <c r="X332" t="s">
        <v>3382</v>
      </c>
      <c r="Y332" t="s">
        <v>3382</v>
      </c>
      <c r="AA332" t="s">
        <v>4256</v>
      </c>
      <c r="AC332">
        <v>0</v>
      </c>
      <c r="AD332">
        <v>1408</v>
      </c>
      <c r="AE332">
        <v>6</v>
      </c>
      <c r="AG332" t="s">
        <v>4601</v>
      </c>
      <c r="AI332" t="s">
        <v>5661</v>
      </c>
      <c r="AJ332">
        <v>66</v>
      </c>
      <c r="AK332" t="s">
        <v>6267</v>
      </c>
      <c r="AL332">
        <v>2</v>
      </c>
      <c r="AM332">
        <v>3</v>
      </c>
      <c r="AN332">
        <v>208.82</v>
      </c>
      <c r="AR332" t="s">
        <v>5312</v>
      </c>
      <c r="AS332" t="s">
        <v>6298</v>
      </c>
      <c r="AT332">
        <v>63000</v>
      </c>
      <c r="AX332" t="s">
        <v>99</v>
      </c>
      <c r="BA332" t="s">
        <v>6477</v>
      </c>
      <c r="BD332" t="s">
        <v>243</v>
      </c>
      <c r="BE332" t="s">
        <v>6703</v>
      </c>
    </row>
    <row r="333" spans="1:57">
      <c r="A333" s="1">
        <f>HYPERLINK("https://lsnyc.legalserver.org/matter/dynamic-profile/view/1911875","19-1911875")</f>
        <v>0</v>
      </c>
      <c r="B333" t="s">
        <v>57</v>
      </c>
      <c r="C333" t="s">
        <v>106</v>
      </c>
      <c r="D333" t="s">
        <v>214</v>
      </c>
      <c r="E333" t="s">
        <v>342</v>
      </c>
      <c r="G333" t="s">
        <v>863</v>
      </c>
      <c r="H333" t="s">
        <v>1589</v>
      </c>
      <c r="J333" t="s">
        <v>2365</v>
      </c>
      <c r="K333" t="s">
        <v>3047</v>
      </c>
      <c r="L333" t="s">
        <v>3329</v>
      </c>
      <c r="M333" t="s">
        <v>3379</v>
      </c>
      <c r="N333">
        <v>10467</v>
      </c>
      <c r="O333" t="s">
        <v>3380</v>
      </c>
      <c r="P333" t="s">
        <v>3381</v>
      </c>
      <c r="Q333" t="s">
        <v>3384</v>
      </c>
      <c r="R333" t="s">
        <v>3683</v>
      </c>
      <c r="S333">
        <v>8</v>
      </c>
      <c r="T333" t="s">
        <v>4197</v>
      </c>
      <c r="U333" t="s">
        <v>4224</v>
      </c>
      <c r="W333" t="s">
        <v>4238</v>
      </c>
      <c r="X333" t="s">
        <v>3382</v>
      </c>
      <c r="Y333" t="s">
        <v>3382</v>
      </c>
      <c r="AA333" t="s">
        <v>4256</v>
      </c>
      <c r="AC333">
        <v>0</v>
      </c>
      <c r="AD333">
        <v>1800</v>
      </c>
      <c r="AE333">
        <v>1.75</v>
      </c>
      <c r="AG333" t="s">
        <v>4602</v>
      </c>
      <c r="AJ333">
        <v>3</v>
      </c>
      <c r="AK333" t="s">
        <v>6274</v>
      </c>
      <c r="AL333">
        <v>3</v>
      </c>
      <c r="AM333">
        <v>2</v>
      </c>
      <c r="AN333">
        <v>129.27</v>
      </c>
      <c r="AR333" t="s">
        <v>6289</v>
      </c>
      <c r="AS333" t="s">
        <v>6299</v>
      </c>
      <c r="AT333">
        <v>39000</v>
      </c>
      <c r="AX333" t="s">
        <v>6397</v>
      </c>
      <c r="BA333" t="s">
        <v>6473</v>
      </c>
      <c r="BD333" t="s">
        <v>249</v>
      </c>
    </row>
    <row r="334" spans="1:57">
      <c r="A334" s="1">
        <f>HYPERLINK("https://lsnyc.legalserver.org/matter/dynamic-profile/view/1898018","19-1898018")</f>
        <v>0</v>
      </c>
      <c r="B334" t="s">
        <v>57</v>
      </c>
      <c r="C334" t="s">
        <v>106</v>
      </c>
      <c r="D334" t="s">
        <v>214</v>
      </c>
      <c r="E334" t="s">
        <v>346</v>
      </c>
      <c r="G334" t="s">
        <v>864</v>
      </c>
      <c r="H334" t="s">
        <v>1496</v>
      </c>
      <c r="J334" t="s">
        <v>2366</v>
      </c>
      <c r="K334" t="s">
        <v>3036</v>
      </c>
      <c r="L334" t="s">
        <v>3329</v>
      </c>
      <c r="M334" t="s">
        <v>3379</v>
      </c>
      <c r="N334">
        <v>10467</v>
      </c>
      <c r="O334" t="s">
        <v>3380</v>
      </c>
      <c r="P334" t="s">
        <v>3380</v>
      </c>
      <c r="Q334" t="s">
        <v>3383</v>
      </c>
      <c r="R334" t="s">
        <v>3684</v>
      </c>
      <c r="S334">
        <v>3</v>
      </c>
      <c r="T334" t="s">
        <v>4196</v>
      </c>
      <c r="U334" t="s">
        <v>4223</v>
      </c>
      <c r="W334" t="s">
        <v>4238</v>
      </c>
      <c r="X334" t="s">
        <v>3382</v>
      </c>
      <c r="Y334" t="s">
        <v>3382</v>
      </c>
      <c r="AA334" t="s">
        <v>4256</v>
      </c>
      <c r="AC334">
        <v>0</v>
      </c>
      <c r="AD334">
        <v>1681</v>
      </c>
      <c r="AE334">
        <v>14</v>
      </c>
      <c r="AG334" t="s">
        <v>4603</v>
      </c>
      <c r="AH334" t="s">
        <v>5281</v>
      </c>
      <c r="AI334" t="s">
        <v>5662</v>
      </c>
      <c r="AJ334">
        <v>50</v>
      </c>
      <c r="AL334">
        <v>1</v>
      </c>
      <c r="AM334">
        <v>1</v>
      </c>
      <c r="AN334">
        <v>153.76</v>
      </c>
      <c r="AR334" t="s">
        <v>5312</v>
      </c>
      <c r="AS334" t="s">
        <v>6298</v>
      </c>
      <c r="AT334">
        <v>26000</v>
      </c>
      <c r="AX334" t="s">
        <v>99</v>
      </c>
      <c r="BA334" t="s">
        <v>6477</v>
      </c>
      <c r="BD334" t="s">
        <v>284</v>
      </c>
      <c r="BE334" t="s">
        <v>6702</v>
      </c>
    </row>
    <row r="335" spans="1:57">
      <c r="A335" s="1">
        <f>HYPERLINK("https://lsnyc.legalserver.org/matter/dynamic-profile/view/1901971","19-1901971")</f>
        <v>0</v>
      </c>
      <c r="B335" t="s">
        <v>57</v>
      </c>
      <c r="C335" t="s">
        <v>106</v>
      </c>
      <c r="D335" t="s">
        <v>214</v>
      </c>
      <c r="E335" t="s">
        <v>240</v>
      </c>
      <c r="G335" t="s">
        <v>865</v>
      </c>
      <c r="H335" t="s">
        <v>1590</v>
      </c>
      <c r="J335" t="s">
        <v>2367</v>
      </c>
      <c r="K335" t="s">
        <v>3011</v>
      </c>
      <c r="L335" t="s">
        <v>3329</v>
      </c>
      <c r="M335" t="s">
        <v>3379</v>
      </c>
      <c r="N335">
        <v>10467</v>
      </c>
      <c r="O335" t="s">
        <v>3380</v>
      </c>
      <c r="P335" t="s">
        <v>3381</v>
      </c>
      <c r="Q335" t="s">
        <v>3384</v>
      </c>
      <c r="R335" t="s">
        <v>3685</v>
      </c>
      <c r="S335">
        <v>3</v>
      </c>
      <c r="T335" t="s">
        <v>4196</v>
      </c>
      <c r="U335" t="s">
        <v>4223</v>
      </c>
      <c r="W335" t="s">
        <v>4238</v>
      </c>
      <c r="X335" t="s">
        <v>3382</v>
      </c>
      <c r="Y335" t="s">
        <v>3382</v>
      </c>
      <c r="AA335" t="s">
        <v>4256</v>
      </c>
      <c r="AC335">
        <v>0</v>
      </c>
      <c r="AD335">
        <v>1285</v>
      </c>
      <c r="AE335">
        <v>14.5</v>
      </c>
      <c r="AG335" t="s">
        <v>4604</v>
      </c>
      <c r="AJ335">
        <v>75</v>
      </c>
      <c r="AL335">
        <v>1</v>
      </c>
      <c r="AM335">
        <v>4</v>
      </c>
      <c r="AN335">
        <v>23.86</v>
      </c>
      <c r="AR335" t="s">
        <v>5312</v>
      </c>
      <c r="AS335" t="s">
        <v>6299</v>
      </c>
      <c r="AT335">
        <v>7200</v>
      </c>
      <c r="AX335" t="s">
        <v>6397</v>
      </c>
      <c r="BA335" t="s">
        <v>6521</v>
      </c>
      <c r="BD335" t="s">
        <v>275</v>
      </c>
      <c r="BE335" t="s">
        <v>6702</v>
      </c>
    </row>
    <row r="336" spans="1:57">
      <c r="A336" s="1">
        <f>HYPERLINK("https://lsnyc.legalserver.org/matter/dynamic-profile/view/1908270","19-1908270")</f>
        <v>0</v>
      </c>
      <c r="B336" t="s">
        <v>57</v>
      </c>
      <c r="C336" t="s">
        <v>106</v>
      </c>
      <c r="D336" t="s">
        <v>214</v>
      </c>
      <c r="E336" t="s">
        <v>347</v>
      </c>
      <c r="G336" t="s">
        <v>866</v>
      </c>
      <c r="H336" t="s">
        <v>1591</v>
      </c>
      <c r="J336" t="s">
        <v>2368</v>
      </c>
      <c r="K336" t="s">
        <v>3011</v>
      </c>
      <c r="L336" t="s">
        <v>3329</v>
      </c>
      <c r="M336" t="s">
        <v>3379</v>
      </c>
      <c r="N336">
        <v>10467</v>
      </c>
      <c r="O336" t="s">
        <v>3380</v>
      </c>
      <c r="P336" t="s">
        <v>3381</v>
      </c>
      <c r="Q336" t="s">
        <v>3383</v>
      </c>
      <c r="R336" t="s">
        <v>3686</v>
      </c>
      <c r="S336">
        <v>5</v>
      </c>
      <c r="T336" t="s">
        <v>4196</v>
      </c>
      <c r="U336" t="s">
        <v>4223</v>
      </c>
      <c r="W336" t="s">
        <v>4238</v>
      </c>
      <c r="X336" t="s">
        <v>3382</v>
      </c>
      <c r="Y336" t="s">
        <v>3382</v>
      </c>
      <c r="AA336" t="s">
        <v>4256</v>
      </c>
      <c r="AC336">
        <v>0</v>
      </c>
      <c r="AD336">
        <v>1325</v>
      </c>
      <c r="AE336">
        <v>19.5</v>
      </c>
      <c r="AG336" t="s">
        <v>4605</v>
      </c>
      <c r="AI336" t="s">
        <v>5663</v>
      </c>
      <c r="AJ336">
        <v>49</v>
      </c>
      <c r="AK336" t="s">
        <v>6266</v>
      </c>
      <c r="AL336">
        <v>3</v>
      </c>
      <c r="AM336">
        <v>0</v>
      </c>
      <c r="AN336">
        <v>170.65</v>
      </c>
      <c r="AR336" t="s">
        <v>5312</v>
      </c>
      <c r="AS336" t="s">
        <v>6299</v>
      </c>
      <c r="AT336">
        <v>36400</v>
      </c>
      <c r="AX336" t="s">
        <v>99</v>
      </c>
      <c r="BA336" t="s">
        <v>6477</v>
      </c>
      <c r="BD336" t="s">
        <v>224</v>
      </c>
      <c r="BE336" t="s">
        <v>6702</v>
      </c>
    </row>
    <row r="337" spans="1:57">
      <c r="A337" s="1">
        <f>HYPERLINK("https://lsnyc.legalserver.org/matter/dynamic-profile/view/1909665","19-1909665")</f>
        <v>0</v>
      </c>
      <c r="B337" t="s">
        <v>57</v>
      </c>
      <c r="C337" t="s">
        <v>106</v>
      </c>
      <c r="D337" t="s">
        <v>214</v>
      </c>
      <c r="E337" t="s">
        <v>327</v>
      </c>
      <c r="G337" t="s">
        <v>867</v>
      </c>
      <c r="H337" t="s">
        <v>1335</v>
      </c>
      <c r="J337" t="s">
        <v>2369</v>
      </c>
      <c r="K337" t="s">
        <v>3011</v>
      </c>
      <c r="L337" t="s">
        <v>3329</v>
      </c>
      <c r="M337" t="s">
        <v>3379</v>
      </c>
      <c r="N337">
        <v>10467</v>
      </c>
      <c r="O337" t="s">
        <v>3380</v>
      </c>
      <c r="P337" t="s">
        <v>3381</v>
      </c>
      <c r="Q337" t="s">
        <v>3383</v>
      </c>
      <c r="R337" t="s">
        <v>3687</v>
      </c>
      <c r="S337">
        <v>1</v>
      </c>
      <c r="T337" t="s">
        <v>4196</v>
      </c>
      <c r="W337" t="s">
        <v>4238</v>
      </c>
      <c r="X337" t="s">
        <v>3382</v>
      </c>
      <c r="Y337" t="s">
        <v>3382</v>
      </c>
      <c r="AA337" t="s">
        <v>4256</v>
      </c>
      <c r="AC337">
        <v>0</v>
      </c>
      <c r="AD337">
        <v>1421</v>
      </c>
      <c r="AE337">
        <v>2</v>
      </c>
      <c r="AG337" t="s">
        <v>4606</v>
      </c>
      <c r="AI337" t="s">
        <v>5664</v>
      </c>
      <c r="AJ337">
        <v>52</v>
      </c>
      <c r="AK337" t="s">
        <v>6267</v>
      </c>
      <c r="AL337">
        <v>1</v>
      </c>
      <c r="AM337">
        <v>2</v>
      </c>
      <c r="AN337">
        <v>124.86</v>
      </c>
      <c r="AR337" t="s">
        <v>5312</v>
      </c>
      <c r="AS337" t="s">
        <v>6298</v>
      </c>
      <c r="AT337">
        <v>26632</v>
      </c>
      <c r="AX337" t="s">
        <v>99</v>
      </c>
      <c r="BA337" t="s">
        <v>6477</v>
      </c>
      <c r="BD337" t="s">
        <v>279</v>
      </c>
      <c r="BE337" t="s">
        <v>6702</v>
      </c>
    </row>
    <row r="338" spans="1:57">
      <c r="A338" s="1">
        <f>HYPERLINK("https://lsnyc.legalserver.org/matter/dynamic-profile/view/1910540","19-1910540")</f>
        <v>0</v>
      </c>
      <c r="B338" t="s">
        <v>57</v>
      </c>
      <c r="C338" t="s">
        <v>106</v>
      </c>
      <c r="D338" t="s">
        <v>214</v>
      </c>
      <c r="E338" t="s">
        <v>238</v>
      </c>
      <c r="G338" t="s">
        <v>868</v>
      </c>
      <c r="H338" t="s">
        <v>1592</v>
      </c>
      <c r="J338" t="s">
        <v>2370</v>
      </c>
      <c r="K338" t="s">
        <v>3027</v>
      </c>
      <c r="L338" t="s">
        <v>3329</v>
      </c>
      <c r="M338" t="s">
        <v>3379</v>
      </c>
      <c r="N338">
        <v>10467</v>
      </c>
      <c r="O338" t="s">
        <v>3380</v>
      </c>
      <c r="P338" t="s">
        <v>3381</v>
      </c>
      <c r="Q338" t="s">
        <v>3383</v>
      </c>
      <c r="R338" t="s">
        <v>3688</v>
      </c>
      <c r="S338">
        <v>3</v>
      </c>
      <c r="T338" t="s">
        <v>4196</v>
      </c>
      <c r="U338" t="s">
        <v>4223</v>
      </c>
      <c r="W338" t="s">
        <v>4238</v>
      </c>
      <c r="X338" t="s">
        <v>3382</v>
      </c>
      <c r="Y338" t="s">
        <v>3382</v>
      </c>
      <c r="AA338" t="s">
        <v>4256</v>
      </c>
      <c r="AC338">
        <v>0</v>
      </c>
      <c r="AD338">
        <v>1588</v>
      </c>
      <c r="AE338">
        <v>4.5</v>
      </c>
      <c r="AG338" t="s">
        <v>4607</v>
      </c>
      <c r="AI338" t="s">
        <v>5665</v>
      </c>
      <c r="AJ338">
        <v>32</v>
      </c>
      <c r="AK338" t="s">
        <v>6266</v>
      </c>
      <c r="AL338">
        <v>2</v>
      </c>
      <c r="AM338">
        <v>3</v>
      </c>
      <c r="AN338">
        <v>106.07</v>
      </c>
      <c r="AR338" t="s">
        <v>5312</v>
      </c>
      <c r="AS338" t="s">
        <v>6298</v>
      </c>
      <c r="AT338">
        <v>32000</v>
      </c>
      <c r="AX338" t="s">
        <v>99</v>
      </c>
      <c r="BA338" t="s">
        <v>6477</v>
      </c>
      <c r="BD338" t="s">
        <v>259</v>
      </c>
      <c r="BE338" t="s">
        <v>6702</v>
      </c>
    </row>
    <row r="339" spans="1:57">
      <c r="A339" s="1">
        <f>HYPERLINK("https://lsnyc.legalserver.org/matter/dynamic-profile/view/1901742","19-1901742")</f>
        <v>0</v>
      </c>
      <c r="B339" t="s">
        <v>57</v>
      </c>
      <c r="C339" t="s">
        <v>106</v>
      </c>
      <c r="D339" t="s">
        <v>214</v>
      </c>
      <c r="E339" t="s">
        <v>261</v>
      </c>
      <c r="G339" t="s">
        <v>869</v>
      </c>
      <c r="H339" t="s">
        <v>1360</v>
      </c>
      <c r="J339" t="s">
        <v>2371</v>
      </c>
      <c r="K339" t="s">
        <v>3048</v>
      </c>
      <c r="L339" t="s">
        <v>3329</v>
      </c>
      <c r="M339" t="s">
        <v>3379</v>
      </c>
      <c r="N339">
        <v>10467</v>
      </c>
      <c r="O339" t="s">
        <v>3380</v>
      </c>
      <c r="P339" t="s">
        <v>3381</v>
      </c>
      <c r="S339">
        <v>0</v>
      </c>
      <c r="U339" t="s">
        <v>4223</v>
      </c>
      <c r="W339" t="s">
        <v>4238</v>
      </c>
      <c r="X339" t="s">
        <v>3382</v>
      </c>
      <c r="AA339" t="s">
        <v>4256</v>
      </c>
      <c r="AC339">
        <v>0</v>
      </c>
      <c r="AD339">
        <v>0</v>
      </c>
      <c r="AE339">
        <v>10</v>
      </c>
      <c r="AG339" t="s">
        <v>4608</v>
      </c>
      <c r="AI339" t="s">
        <v>5666</v>
      </c>
      <c r="AJ339">
        <v>73</v>
      </c>
      <c r="AL339">
        <v>4</v>
      </c>
      <c r="AM339">
        <v>0</v>
      </c>
      <c r="AN339">
        <v>0</v>
      </c>
      <c r="AS339" t="s">
        <v>6299</v>
      </c>
      <c r="AT339">
        <v>0</v>
      </c>
      <c r="AX339" t="s">
        <v>99</v>
      </c>
      <c r="BA339" t="s">
        <v>6518</v>
      </c>
      <c r="BD339" t="s">
        <v>275</v>
      </c>
      <c r="BE339" t="s">
        <v>6702</v>
      </c>
    </row>
    <row r="340" spans="1:57">
      <c r="A340" s="1">
        <f>HYPERLINK("https://lsnyc.legalserver.org/matter/dynamic-profile/view/1892244","19-1892244")</f>
        <v>0</v>
      </c>
      <c r="B340" t="s">
        <v>57</v>
      </c>
      <c r="C340" t="s">
        <v>106</v>
      </c>
      <c r="D340" t="s">
        <v>214</v>
      </c>
      <c r="E340" t="s">
        <v>348</v>
      </c>
      <c r="G340" t="s">
        <v>870</v>
      </c>
      <c r="H340" t="s">
        <v>1593</v>
      </c>
      <c r="J340" t="s">
        <v>2372</v>
      </c>
      <c r="K340" t="s">
        <v>3040</v>
      </c>
      <c r="L340" t="s">
        <v>3329</v>
      </c>
      <c r="M340" t="s">
        <v>3379</v>
      </c>
      <c r="N340">
        <v>10466</v>
      </c>
      <c r="O340" t="s">
        <v>3380</v>
      </c>
      <c r="P340" t="s">
        <v>3380</v>
      </c>
      <c r="Q340" t="s">
        <v>3384</v>
      </c>
      <c r="R340" t="s">
        <v>3689</v>
      </c>
      <c r="S340">
        <v>4</v>
      </c>
      <c r="T340" t="s">
        <v>4197</v>
      </c>
      <c r="U340" t="s">
        <v>4224</v>
      </c>
      <c r="W340" t="s">
        <v>4239</v>
      </c>
      <c r="X340" t="s">
        <v>3382</v>
      </c>
      <c r="AA340" t="s">
        <v>4256</v>
      </c>
      <c r="AB340" t="s">
        <v>4265</v>
      </c>
      <c r="AC340">
        <v>0</v>
      </c>
      <c r="AD340">
        <v>1340</v>
      </c>
      <c r="AE340">
        <v>9</v>
      </c>
      <c r="AG340" t="s">
        <v>4609</v>
      </c>
      <c r="AH340" t="s">
        <v>5282</v>
      </c>
      <c r="AI340" t="s">
        <v>5667</v>
      </c>
      <c r="AJ340">
        <v>21</v>
      </c>
      <c r="AK340" t="s">
        <v>6275</v>
      </c>
      <c r="AL340">
        <v>1</v>
      </c>
      <c r="AM340">
        <v>0</v>
      </c>
      <c r="AN340">
        <v>112.85</v>
      </c>
      <c r="AQ340" t="s">
        <v>6287</v>
      </c>
      <c r="AR340" t="s">
        <v>5312</v>
      </c>
      <c r="AS340" t="s">
        <v>6298</v>
      </c>
      <c r="AT340">
        <v>14095</v>
      </c>
      <c r="AW340" t="s">
        <v>6381</v>
      </c>
      <c r="AX340" t="s">
        <v>6405</v>
      </c>
      <c r="BA340" t="s">
        <v>6477</v>
      </c>
      <c r="BD340" t="s">
        <v>6639</v>
      </c>
    </row>
    <row r="341" spans="1:57">
      <c r="A341" s="1">
        <f>HYPERLINK("https://lsnyc.legalserver.org/matter/dynamic-profile/view/1909147","19-1909147")</f>
        <v>0</v>
      </c>
      <c r="B341" t="s">
        <v>57</v>
      </c>
      <c r="C341" t="s">
        <v>106</v>
      </c>
      <c r="D341" t="s">
        <v>214</v>
      </c>
      <c r="E341" t="s">
        <v>318</v>
      </c>
      <c r="G341" t="s">
        <v>871</v>
      </c>
      <c r="H341" t="s">
        <v>1594</v>
      </c>
      <c r="J341" t="s">
        <v>2373</v>
      </c>
      <c r="K341" t="s">
        <v>3138</v>
      </c>
      <c r="L341" t="s">
        <v>3329</v>
      </c>
      <c r="M341" t="s">
        <v>3379</v>
      </c>
      <c r="N341">
        <v>10465</v>
      </c>
      <c r="O341" t="s">
        <v>3382</v>
      </c>
      <c r="P341" t="s">
        <v>3381</v>
      </c>
      <c r="Q341" t="s">
        <v>3389</v>
      </c>
      <c r="R341" t="s">
        <v>3690</v>
      </c>
      <c r="S341">
        <v>3</v>
      </c>
      <c r="T341" t="s">
        <v>4197</v>
      </c>
      <c r="W341" t="s">
        <v>4239</v>
      </c>
      <c r="X341" t="s">
        <v>3382</v>
      </c>
      <c r="Y341" t="s">
        <v>3382</v>
      </c>
      <c r="AA341" t="s">
        <v>4256</v>
      </c>
      <c r="AC341">
        <v>0</v>
      </c>
      <c r="AD341">
        <v>900</v>
      </c>
      <c r="AE341">
        <v>4</v>
      </c>
      <c r="AG341" t="s">
        <v>4610</v>
      </c>
      <c r="AI341" t="s">
        <v>5668</v>
      </c>
      <c r="AJ341">
        <v>3</v>
      </c>
      <c r="AK341" t="s">
        <v>6268</v>
      </c>
      <c r="AL341">
        <v>1</v>
      </c>
      <c r="AM341">
        <v>2</v>
      </c>
      <c r="AN341">
        <v>0</v>
      </c>
      <c r="AS341" t="s">
        <v>6298</v>
      </c>
      <c r="AT341">
        <v>0</v>
      </c>
      <c r="AX341" t="s">
        <v>6387</v>
      </c>
      <c r="BA341" t="s">
        <v>6479</v>
      </c>
      <c r="BD341" t="s">
        <v>495</v>
      </c>
      <c r="BE341" t="s">
        <v>5312</v>
      </c>
    </row>
    <row r="342" spans="1:57">
      <c r="A342" s="1">
        <f>HYPERLINK("https://lsnyc.legalserver.org/matter/dynamic-profile/view/1901255","19-1901255")</f>
        <v>0</v>
      </c>
      <c r="B342" t="s">
        <v>57</v>
      </c>
      <c r="C342" t="s">
        <v>106</v>
      </c>
      <c r="D342" t="s">
        <v>214</v>
      </c>
      <c r="E342" t="s">
        <v>256</v>
      </c>
      <c r="G342" t="s">
        <v>872</v>
      </c>
      <c r="H342" t="s">
        <v>1595</v>
      </c>
      <c r="J342" t="s">
        <v>2374</v>
      </c>
      <c r="K342" t="s">
        <v>3050</v>
      </c>
      <c r="L342" t="s">
        <v>3329</v>
      </c>
      <c r="M342" t="s">
        <v>3379</v>
      </c>
      <c r="N342">
        <v>10462</v>
      </c>
      <c r="O342" t="s">
        <v>3380</v>
      </c>
      <c r="P342" t="s">
        <v>3381</v>
      </c>
      <c r="R342" t="s">
        <v>3691</v>
      </c>
      <c r="S342">
        <v>0</v>
      </c>
      <c r="T342" t="s">
        <v>4196</v>
      </c>
      <c r="W342" t="s">
        <v>4238</v>
      </c>
      <c r="X342" t="s">
        <v>3382</v>
      </c>
      <c r="Y342" t="s">
        <v>3382</v>
      </c>
      <c r="AA342" t="s">
        <v>4256</v>
      </c>
      <c r="AC342">
        <v>0</v>
      </c>
      <c r="AD342">
        <v>1336.1</v>
      </c>
      <c r="AE342">
        <v>2</v>
      </c>
      <c r="AG342" t="s">
        <v>4611</v>
      </c>
      <c r="AI342" t="s">
        <v>5669</v>
      </c>
      <c r="AJ342">
        <v>0</v>
      </c>
      <c r="AK342" t="s">
        <v>6267</v>
      </c>
      <c r="AL342">
        <v>1</v>
      </c>
      <c r="AM342">
        <v>0</v>
      </c>
      <c r="AN342">
        <v>232.11</v>
      </c>
      <c r="AS342" t="s">
        <v>6298</v>
      </c>
      <c r="AT342">
        <v>28990</v>
      </c>
      <c r="AW342" t="s">
        <v>6382</v>
      </c>
      <c r="AX342" t="s">
        <v>6387</v>
      </c>
      <c r="BA342" t="s">
        <v>6477</v>
      </c>
      <c r="BD342" t="s">
        <v>351</v>
      </c>
      <c r="BE342" t="s">
        <v>6702</v>
      </c>
    </row>
    <row r="343" spans="1:57">
      <c r="A343" s="1">
        <f>HYPERLINK("https://lsnyc.legalserver.org/matter/dynamic-profile/view/1908520","19-1908520")</f>
        <v>0</v>
      </c>
      <c r="B343" t="s">
        <v>57</v>
      </c>
      <c r="C343" t="s">
        <v>106</v>
      </c>
      <c r="D343" t="s">
        <v>214</v>
      </c>
      <c r="E343" t="s">
        <v>326</v>
      </c>
      <c r="G343" t="s">
        <v>727</v>
      </c>
      <c r="H343" t="s">
        <v>1455</v>
      </c>
      <c r="J343" t="s">
        <v>2375</v>
      </c>
      <c r="K343">
        <v>1</v>
      </c>
      <c r="L343" t="s">
        <v>3329</v>
      </c>
      <c r="M343" t="s">
        <v>3379</v>
      </c>
      <c r="N343">
        <v>10462</v>
      </c>
      <c r="O343" t="s">
        <v>3380</v>
      </c>
      <c r="P343" t="s">
        <v>3381</v>
      </c>
      <c r="Q343" t="s">
        <v>3383</v>
      </c>
      <c r="R343" t="s">
        <v>3692</v>
      </c>
      <c r="S343">
        <v>1</v>
      </c>
      <c r="T343" t="s">
        <v>4196</v>
      </c>
      <c r="U343" t="s">
        <v>4223</v>
      </c>
      <c r="W343" t="s">
        <v>4238</v>
      </c>
      <c r="X343" t="s">
        <v>3382</v>
      </c>
      <c r="Y343" t="s">
        <v>3382</v>
      </c>
      <c r="AA343" t="s">
        <v>4256</v>
      </c>
      <c r="AC343">
        <v>0</v>
      </c>
      <c r="AD343">
        <v>1700</v>
      </c>
      <c r="AE343">
        <v>6</v>
      </c>
      <c r="AG343" t="s">
        <v>4612</v>
      </c>
      <c r="AI343" t="s">
        <v>5670</v>
      </c>
      <c r="AJ343">
        <v>3</v>
      </c>
      <c r="AL343">
        <v>2</v>
      </c>
      <c r="AM343">
        <v>1</v>
      </c>
      <c r="AN343">
        <v>140.65</v>
      </c>
      <c r="AR343" t="s">
        <v>5312</v>
      </c>
      <c r="AS343" t="s">
        <v>6298</v>
      </c>
      <c r="AT343">
        <v>30000</v>
      </c>
      <c r="AX343" t="s">
        <v>99</v>
      </c>
      <c r="BA343" t="s">
        <v>6477</v>
      </c>
      <c r="BD343" t="s">
        <v>279</v>
      </c>
      <c r="BE343" t="s">
        <v>6702</v>
      </c>
    </row>
    <row r="344" spans="1:57">
      <c r="A344" s="1">
        <f>HYPERLINK("https://lsnyc.legalserver.org/matter/dynamic-profile/view/1902906","19-1902906")</f>
        <v>0</v>
      </c>
      <c r="B344" t="s">
        <v>57</v>
      </c>
      <c r="C344" t="s">
        <v>106</v>
      </c>
      <c r="D344" t="s">
        <v>214</v>
      </c>
      <c r="E344" t="s">
        <v>264</v>
      </c>
      <c r="G344" t="s">
        <v>873</v>
      </c>
      <c r="H344" t="s">
        <v>1596</v>
      </c>
      <c r="J344" t="s">
        <v>2376</v>
      </c>
      <c r="K344" t="s">
        <v>3036</v>
      </c>
      <c r="L344" t="s">
        <v>3329</v>
      </c>
      <c r="M344" t="s">
        <v>3379</v>
      </c>
      <c r="N344">
        <v>10460</v>
      </c>
      <c r="O344" t="s">
        <v>3380</v>
      </c>
      <c r="P344" t="s">
        <v>3381</v>
      </c>
      <c r="Q344" t="s">
        <v>3396</v>
      </c>
      <c r="S344">
        <v>10</v>
      </c>
      <c r="T344" t="s">
        <v>4196</v>
      </c>
      <c r="U344" t="s">
        <v>4223</v>
      </c>
      <c r="W344" t="s">
        <v>4239</v>
      </c>
      <c r="X344" t="s">
        <v>3382</v>
      </c>
      <c r="AA344" t="s">
        <v>4256</v>
      </c>
      <c r="AC344">
        <v>0</v>
      </c>
      <c r="AD344">
        <v>1400</v>
      </c>
      <c r="AE344">
        <v>44</v>
      </c>
      <c r="AG344" t="s">
        <v>4613</v>
      </c>
      <c r="AH344" t="s">
        <v>5283</v>
      </c>
      <c r="AI344" t="s">
        <v>5671</v>
      </c>
      <c r="AJ344">
        <v>19</v>
      </c>
      <c r="AL344">
        <v>2</v>
      </c>
      <c r="AM344">
        <v>4</v>
      </c>
      <c r="AN344">
        <v>84.04000000000001</v>
      </c>
      <c r="AS344" t="s">
        <v>6298</v>
      </c>
      <c r="AT344">
        <v>29069.6</v>
      </c>
      <c r="AX344" t="s">
        <v>6386</v>
      </c>
      <c r="BA344" t="s">
        <v>6495</v>
      </c>
      <c r="BD344" t="s">
        <v>248</v>
      </c>
      <c r="BE344" t="s">
        <v>6702</v>
      </c>
    </row>
    <row r="345" spans="1:57">
      <c r="A345" s="1">
        <f>HYPERLINK("https://lsnyc.legalserver.org/matter/dynamic-profile/view/1900502","19-1900502")</f>
        <v>0</v>
      </c>
      <c r="B345" t="s">
        <v>57</v>
      </c>
      <c r="C345" t="s">
        <v>106</v>
      </c>
      <c r="D345" t="s">
        <v>214</v>
      </c>
      <c r="E345" t="s">
        <v>349</v>
      </c>
      <c r="G345" t="s">
        <v>632</v>
      </c>
      <c r="H345" t="s">
        <v>1597</v>
      </c>
      <c r="J345" t="s">
        <v>2064</v>
      </c>
      <c r="K345" t="s">
        <v>3139</v>
      </c>
      <c r="L345" t="s">
        <v>3329</v>
      </c>
      <c r="M345" t="s">
        <v>3379</v>
      </c>
      <c r="N345">
        <v>10457</v>
      </c>
      <c r="O345" t="s">
        <v>3380</v>
      </c>
      <c r="P345" t="s">
        <v>3381</v>
      </c>
      <c r="Q345" t="s">
        <v>3383</v>
      </c>
      <c r="R345" t="s">
        <v>3693</v>
      </c>
      <c r="S345">
        <v>0</v>
      </c>
      <c r="T345" t="s">
        <v>4197</v>
      </c>
      <c r="U345" t="s">
        <v>4223</v>
      </c>
      <c r="W345" t="s">
        <v>4238</v>
      </c>
      <c r="X345" t="s">
        <v>3382</v>
      </c>
      <c r="Y345" t="s">
        <v>3382</v>
      </c>
      <c r="AA345" t="s">
        <v>4256</v>
      </c>
      <c r="AC345">
        <v>0</v>
      </c>
      <c r="AD345">
        <v>1213.21</v>
      </c>
      <c r="AE345">
        <v>15.5</v>
      </c>
      <c r="AG345" t="s">
        <v>4614</v>
      </c>
      <c r="AI345" t="s">
        <v>5672</v>
      </c>
      <c r="AJ345">
        <v>89</v>
      </c>
      <c r="AK345" t="s">
        <v>6266</v>
      </c>
      <c r="AL345">
        <v>2</v>
      </c>
      <c r="AM345">
        <v>1</v>
      </c>
      <c r="AN345">
        <v>73.14</v>
      </c>
      <c r="AR345" t="s">
        <v>5312</v>
      </c>
      <c r="AS345" t="s">
        <v>6298</v>
      </c>
      <c r="AT345">
        <v>15600</v>
      </c>
      <c r="AX345" t="s">
        <v>99</v>
      </c>
      <c r="BA345" t="s">
        <v>6473</v>
      </c>
      <c r="BD345" t="s">
        <v>287</v>
      </c>
      <c r="BE345" t="s">
        <v>6702</v>
      </c>
    </row>
    <row r="346" spans="1:57">
      <c r="A346" s="1">
        <f>HYPERLINK("https://lsnyc.legalserver.org/matter/dynamic-profile/view/1902925","19-1902925")</f>
        <v>0</v>
      </c>
      <c r="B346" t="s">
        <v>57</v>
      </c>
      <c r="C346" t="s">
        <v>106</v>
      </c>
      <c r="D346" t="s">
        <v>214</v>
      </c>
      <c r="E346" t="s">
        <v>264</v>
      </c>
      <c r="G346" t="s">
        <v>874</v>
      </c>
      <c r="H346" t="s">
        <v>1521</v>
      </c>
      <c r="J346" t="s">
        <v>2377</v>
      </c>
      <c r="K346" t="s">
        <v>3140</v>
      </c>
      <c r="L346" t="s">
        <v>3329</v>
      </c>
      <c r="M346" t="s">
        <v>3379</v>
      </c>
      <c r="N346">
        <v>10456</v>
      </c>
      <c r="O346" t="s">
        <v>3382</v>
      </c>
      <c r="P346" t="s">
        <v>3381</v>
      </c>
      <c r="R346" t="s">
        <v>3694</v>
      </c>
      <c r="S346">
        <v>3</v>
      </c>
      <c r="T346" t="s">
        <v>4196</v>
      </c>
      <c r="U346" t="s">
        <v>4225</v>
      </c>
      <c r="W346" t="s">
        <v>4239</v>
      </c>
      <c r="X346" t="s">
        <v>3382</v>
      </c>
      <c r="Y346" t="s">
        <v>3382</v>
      </c>
      <c r="AA346" t="s">
        <v>4256</v>
      </c>
      <c r="AB346" t="s">
        <v>4265</v>
      </c>
      <c r="AC346">
        <v>0</v>
      </c>
      <c r="AD346">
        <v>799</v>
      </c>
      <c r="AE346">
        <v>3.5</v>
      </c>
      <c r="AG346" t="s">
        <v>4615</v>
      </c>
      <c r="AI346" t="s">
        <v>5673</v>
      </c>
      <c r="AJ346">
        <v>69</v>
      </c>
      <c r="AL346">
        <v>1</v>
      </c>
      <c r="AM346">
        <v>0</v>
      </c>
      <c r="AN346">
        <v>123.03</v>
      </c>
      <c r="AS346" t="s">
        <v>6298</v>
      </c>
      <c r="AT346">
        <v>15366</v>
      </c>
      <c r="AW346" t="s">
        <v>6383</v>
      </c>
      <c r="AX346" t="s">
        <v>6387</v>
      </c>
      <c r="BA346" t="s">
        <v>6477</v>
      </c>
      <c r="BD346" t="s">
        <v>365</v>
      </c>
      <c r="BE346" t="s">
        <v>5312</v>
      </c>
    </row>
    <row r="347" spans="1:57">
      <c r="A347" s="1">
        <f>HYPERLINK("https://lsnyc.legalserver.org/matter/dynamic-profile/view/1898041","19-1898041")</f>
        <v>0</v>
      </c>
      <c r="B347" t="s">
        <v>57</v>
      </c>
      <c r="C347" t="s">
        <v>106</v>
      </c>
      <c r="D347" t="s">
        <v>214</v>
      </c>
      <c r="E347" t="s">
        <v>346</v>
      </c>
      <c r="G347" t="s">
        <v>875</v>
      </c>
      <c r="H347" t="s">
        <v>1598</v>
      </c>
      <c r="J347" t="s">
        <v>2378</v>
      </c>
      <c r="K347">
        <v>524</v>
      </c>
      <c r="L347" t="s">
        <v>3329</v>
      </c>
      <c r="M347" t="s">
        <v>3379</v>
      </c>
      <c r="N347">
        <v>10453</v>
      </c>
      <c r="O347" t="s">
        <v>3380</v>
      </c>
      <c r="P347" t="s">
        <v>3380</v>
      </c>
      <c r="Q347" t="s">
        <v>3383</v>
      </c>
      <c r="R347" t="s">
        <v>3695</v>
      </c>
      <c r="S347">
        <v>33</v>
      </c>
      <c r="T347" t="s">
        <v>4196</v>
      </c>
      <c r="W347" t="s">
        <v>4239</v>
      </c>
      <c r="X347" t="s">
        <v>3382</v>
      </c>
      <c r="Y347" t="s">
        <v>3382</v>
      </c>
      <c r="AA347" t="s">
        <v>4256</v>
      </c>
      <c r="AC347">
        <v>0</v>
      </c>
      <c r="AD347">
        <v>1196.5</v>
      </c>
      <c r="AE347">
        <v>20.5</v>
      </c>
      <c r="AG347" t="s">
        <v>4616</v>
      </c>
      <c r="AH347" t="s">
        <v>5284</v>
      </c>
      <c r="AI347" t="s">
        <v>5674</v>
      </c>
      <c r="AJ347">
        <v>146</v>
      </c>
      <c r="AK347" t="s">
        <v>6267</v>
      </c>
      <c r="AL347">
        <v>1</v>
      </c>
      <c r="AM347">
        <v>0</v>
      </c>
      <c r="AN347">
        <v>82.72</v>
      </c>
      <c r="AR347" t="s">
        <v>5312</v>
      </c>
      <c r="AS347" t="s">
        <v>6298</v>
      </c>
      <c r="AT347">
        <v>10332</v>
      </c>
      <c r="AX347" t="s">
        <v>99</v>
      </c>
      <c r="BA347" t="s">
        <v>6492</v>
      </c>
      <c r="BD347" t="s">
        <v>6640</v>
      </c>
      <c r="BE347" t="s">
        <v>6703</v>
      </c>
    </row>
    <row r="348" spans="1:57">
      <c r="A348" s="1">
        <f>HYPERLINK("https://lsnyc.legalserver.org/matter/dynamic-profile/view/1896037","19-1896037")</f>
        <v>0</v>
      </c>
      <c r="B348" t="s">
        <v>58</v>
      </c>
      <c r="C348" t="s">
        <v>107</v>
      </c>
      <c r="D348" t="s">
        <v>214</v>
      </c>
      <c r="E348" t="s">
        <v>350</v>
      </c>
      <c r="G348" t="s">
        <v>876</v>
      </c>
      <c r="H348" t="s">
        <v>1389</v>
      </c>
      <c r="J348" t="s">
        <v>2379</v>
      </c>
      <c r="K348" t="s">
        <v>3021</v>
      </c>
      <c r="L348" t="s">
        <v>3332</v>
      </c>
      <c r="M348" t="s">
        <v>3379</v>
      </c>
      <c r="N348">
        <v>11238</v>
      </c>
      <c r="O348" t="s">
        <v>3381</v>
      </c>
      <c r="P348" t="s">
        <v>3381</v>
      </c>
      <c r="Q348" t="s">
        <v>3386</v>
      </c>
      <c r="R348" t="s">
        <v>3696</v>
      </c>
      <c r="S348">
        <v>30</v>
      </c>
      <c r="T348" t="s">
        <v>4196</v>
      </c>
      <c r="U348" t="s">
        <v>4223</v>
      </c>
      <c r="W348" t="s">
        <v>4240</v>
      </c>
      <c r="X348" t="s">
        <v>3382</v>
      </c>
      <c r="Y348" t="s">
        <v>3382</v>
      </c>
      <c r="AA348" t="s">
        <v>4256</v>
      </c>
      <c r="AC348">
        <v>0</v>
      </c>
      <c r="AD348">
        <v>981.67</v>
      </c>
      <c r="AE348">
        <v>35.65</v>
      </c>
      <c r="AG348" t="s">
        <v>4617</v>
      </c>
      <c r="AI348" t="s">
        <v>5675</v>
      </c>
      <c r="AJ348">
        <v>7</v>
      </c>
      <c r="AK348" t="s">
        <v>6267</v>
      </c>
      <c r="AL348">
        <v>1</v>
      </c>
      <c r="AM348">
        <v>0</v>
      </c>
      <c r="AN348">
        <v>20.82</v>
      </c>
      <c r="AR348" t="s">
        <v>5312</v>
      </c>
      <c r="AS348" t="s">
        <v>6298</v>
      </c>
      <c r="AT348">
        <v>2600</v>
      </c>
      <c r="AX348" t="s">
        <v>6406</v>
      </c>
      <c r="BA348" t="s">
        <v>6503</v>
      </c>
      <c r="BD348" t="s">
        <v>228</v>
      </c>
    </row>
    <row r="349" spans="1:57">
      <c r="A349" s="1">
        <f>HYPERLINK("https://lsnyc.legalserver.org/matter/dynamic-profile/view/1909965","19-1909965")</f>
        <v>0</v>
      </c>
      <c r="B349" t="s">
        <v>58</v>
      </c>
      <c r="C349" t="s">
        <v>108</v>
      </c>
      <c r="D349" t="s">
        <v>214</v>
      </c>
      <c r="E349" t="s">
        <v>238</v>
      </c>
      <c r="G349" t="s">
        <v>877</v>
      </c>
      <c r="H349" t="s">
        <v>1464</v>
      </c>
      <c r="J349" t="s">
        <v>2380</v>
      </c>
      <c r="K349">
        <v>4</v>
      </c>
      <c r="L349" t="s">
        <v>3332</v>
      </c>
      <c r="M349" t="s">
        <v>3379</v>
      </c>
      <c r="N349">
        <v>11231</v>
      </c>
      <c r="O349" t="s">
        <v>3382</v>
      </c>
      <c r="P349" t="s">
        <v>3381</v>
      </c>
      <c r="Q349" t="s">
        <v>3385</v>
      </c>
      <c r="S349">
        <v>13</v>
      </c>
      <c r="U349" t="s">
        <v>4226</v>
      </c>
      <c r="W349" t="s">
        <v>4240</v>
      </c>
      <c r="X349" t="s">
        <v>3382</v>
      </c>
      <c r="AA349" t="s">
        <v>4256</v>
      </c>
      <c r="AC349">
        <v>0</v>
      </c>
      <c r="AD349">
        <v>670</v>
      </c>
      <c r="AE349">
        <v>0.1</v>
      </c>
      <c r="AG349" t="s">
        <v>4618</v>
      </c>
      <c r="AJ349">
        <v>12</v>
      </c>
      <c r="AK349" t="s">
        <v>6267</v>
      </c>
      <c r="AL349">
        <v>1</v>
      </c>
      <c r="AM349">
        <v>1</v>
      </c>
      <c r="AN349">
        <v>56.77</v>
      </c>
      <c r="AS349" t="s">
        <v>6298</v>
      </c>
      <c r="AT349">
        <v>9600</v>
      </c>
      <c r="AX349" t="s">
        <v>6407</v>
      </c>
      <c r="BA349" t="s">
        <v>6540</v>
      </c>
      <c r="BD349" t="s">
        <v>300</v>
      </c>
    </row>
    <row r="350" spans="1:57">
      <c r="A350" s="1">
        <f>HYPERLINK("https://lsnyc.legalserver.org/matter/dynamic-profile/view/1905035","19-1905035")</f>
        <v>0</v>
      </c>
      <c r="B350" t="s">
        <v>58</v>
      </c>
      <c r="C350" t="s">
        <v>109</v>
      </c>
      <c r="D350" t="s">
        <v>214</v>
      </c>
      <c r="E350" t="s">
        <v>351</v>
      </c>
      <c r="G350" t="s">
        <v>878</v>
      </c>
      <c r="H350" t="s">
        <v>1599</v>
      </c>
      <c r="J350" t="s">
        <v>2381</v>
      </c>
      <c r="K350" t="s">
        <v>3141</v>
      </c>
      <c r="L350" t="s">
        <v>3332</v>
      </c>
      <c r="M350" t="s">
        <v>3379</v>
      </c>
      <c r="N350">
        <v>11226</v>
      </c>
      <c r="O350" t="s">
        <v>3381</v>
      </c>
      <c r="P350" t="s">
        <v>3381</v>
      </c>
      <c r="S350">
        <v>0</v>
      </c>
      <c r="T350" t="s">
        <v>4199</v>
      </c>
      <c r="W350" t="s">
        <v>4240</v>
      </c>
      <c r="X350" t="s">
        <v>3382</v>
      </c>
      <c r="AA350" t="s">
        <v>4256</v>
      </c>
      <c r="AC350">
        <v>0</v>
      </c>
      <c r="AD350">
        <v>0</v>
      </c>
      <c r="AE350">
        <v>0.3</v>
      </c>
      <c r="AG350" t="s">
        <v>4619</v>
      </c>
      <c r="AI350" t="s">
        <v>5676</v>
      </c>
      <c r="AJ350">
        <v>0</v>
      </c>
      <c r="AL350">
        <v>2</v>
      </c>
      <c r="AM350">
        <v>0</v>
      </c>
      <c r="AN350">
        <v>1.42</v>
      </c>
      <c r="AS350" t="s">
        <v>6298</v>
      </c>
      <c r="AT350">
        <v>240</v>
      </c>
      <c r="AX350" t="s">
        <v>6408</v>
      </c>
      <c r="BA350" t="s">
        <v>6477</v>
      </c>
      <c r="BD350" t="s">
        <v>381</v>
      </c>
    </row>
    <row r="351" spans="1:57">
      <c r="A351" s="1">
        <f>HYPERLINK("https://lsnyc.legalserver.org/matter/dynamic-profile/view/1878644","18-1878644")</f>
        <v>0</v>
      </c>
      <c r="B351" t="s">
        <v>58</v>
      </c>
      <c r="C351" t="s">
        <v>109</v>
      </c>
      <c r="D351" t="s">
        <v>214</v>
      </c>
      <c r="E351" t="s">
        <v>352</v>
      </c>
      <c r="G351" t="s">
        <v>879</v>
      </c>
      <c r="H351" t="s">
        <v>1600</v>
      </c>
      <c r="J351" t="s">
        <v>2382</v>
      </c>
      <c r="K351" t="s">
        <v>3142</v>
      </c>
      <c r="L351" t="s">
        <v>3332</v>
      </c>
      <c r="M351" t="s">
        <v>3379</v>
      </c>
      <c r="N351">
        <v>11225</v>
      </c>
      <c r="O351" t="s">
        <v>3382</v>
      </c>
      <c r="P351" t="s">
        <v>3381</v>
      </c>
      <c r="S351">
        <v>0</v>
      </c>
      <c r="T351" t="s">
        <v>4199</v>
      </c>
      <c r="U351" t="s">
        <v>4223</v>
      </c>
      <c r="W351" t="s">
        <v>4240</v>
      </c>
      <c r="X351" t="s">
        <v>3382</v>
      </c>
      <c r="AA351" t="s">
        <v>4256</v>
      </c>
      <c r="AC351">
        <v>0</v>
      </c>
      <c r="AD351">
        <v>0</v>
      </c>
      <c r="AE351">
        <v>58.5</v>
      </c>
      <c r="AG351" t="s">
        <v>4620</v>
      </c>
      <c r="AJ351">
        <v>0</v>
      </c>
      <c r="AL351">
        <v>3</v>
      </c>
      <c r="AM351">
        <v>1</v>
      </c>
      <c r="AN351">
        <v>124.3</v>
      </c>
      <c r="AQ351" t="s">
        <v>6288</v>
      </c>
      <c r="AS351" t="s">
        <v>6298</v>
      </c>
      <c r="AT351">
        <v>31200</v>
      </c>
      <c r="AX351" t="s">
        <v>6407</v>
      </c>
      <c r="BA351" t="s">
        <v>6477</v>
      </c>
      <c r="BD351" t="s">
        <v>280</v>
      </c>
    </row>
    <row r="352" spans="1:57">
      <c r="A352" s="1">
        <f>HYPERLINK("https://lsnyc.legalserver.org/matter/dynamic-profile/view/1892047","19-1892047")</f>
        <v>0</v>
      </c>
      <c r="B352" t="s">
        <v>58</v>
      </c>
      <c r="C352" t="s">
        <v>109</v>
      </c>
      <c r="D352" t="s">
        <v>215</v>
      </c>
      <c r="E352" t="s">
        <v>353</v>
      </c>
      <c r="F352" t="s">
        <v>246</v>
      </c>
      <c r="G352" t="s">
        <v>880</v>
      </c>
      <c r="H352" t="s">
        <v>1601</v>
      </c>
      <c r="J352" t="s">
        <v>2383</v>
      </c>
      <c r="K352">
        <v>11</v>
      </c>
      <c r="L352" t="s">
        <v>3332</v>
      </c>
      <c r="M352" t="s">
        <v>3379</v>
      </c>
      <c r="N352">
        <v>11225</v>
      </c>
      <c r="O352" t="s">
        <v>3381</v>
      </c>
      <c r="P352" t="s">
        <v>3381</v>
      </c>
      <c r="Q352" t="s">
        <v>3397</v>
      </c>
      <c r="R352" t="s">
        <v>3697</v>
      </c>
      <c r="S352">
        <v>40</v>
      </c>
      <c r="T352" t="s">
        <v>4196</v>
      </c>
      <c r="U352" t="s">
        <v>4223</v>
      </c>
      <c r="V352" t="s">
        <v>4231</v>
      </c>
      <c r="W352" t="s">
        <v>4241</v>
      </c>
      <c r="X352" t="s">
        <v>3382</v>
      </c>
      <c r="AA352" t="s">
        <v>4256</v>
      </c>
      <c r="AC352">
        <v>0</v>
      </c>
      <c r="AD352">
        <v>713.16</v>
      </c>
      <c r="AE352">
        <v>63.4</v>
      </c>
      <c r="AF352" t="s">
        <v>4269</v>
      </c>
      <c r="AG352" t="s">
        <v>4621</v>
      </c>
      <c r="AI352" t="s">
        <v>5677</v>
      </c>
      <c r="AJ352">
        <v>16</v>
      </c>
      <c r="AK352" t="s">
        <v>6267</v>
      </c>
      <c r="AL352">
        <v>3</v>
      </c>
      <c r="AM352">
        <v>0</v>
      </c>
      <c r="AN352">
        <v>10.3</v>
      </c>
      <c r="AQ352" t="s">
        <v>6287</v>
      </c>
      <c r="AR352" t="s">
        <v>5312</v>
      </c>
      <c r="AS352" t="s">
        <v>6298</v>
      </c>
      <c r="AT352">
        <v>2196</v>
      </c>
      <c r="AX352" t="s">
        <v>6409</v>
      </c>
      <c r="BA352" t="s">
        <v>6483</v>
      </c>
      <c r="BD352" t="s">
        <v>246</v>
      </c>
    </row>
    <row r="353" spans="1:57">
      <c r="A353" s="1">
        <f>HYPERLINK("https://lsnyc.legalserver.org/matter/dynamic-profile/view/1905030","19-1905030")</f>
        <v>0</v>
      </c>
      <c r="B353" t="s">
        <v>58</v>
      </c>
      <c r="C353" t="s">
        <v>109</v>
      </c>
      <c r="D353" t="s">
        <v>215</v>
      </c>
      <c r="E353" t="s">
        <v>351</v>
      </c>
      <c r="F353" t="s">
        <v>246</v>
      </c>
      <c r="G353" t="s">
        <v>880</v>
      </c>
      <c r="H353" t="s">
        <v>1601</v>
      </c>
      <c r="J353" t="s">
        <v>2383</v>
      </c>
      <c r="K353">
        <v>11</v>
      </c>
      <c r="L353" t="s">
        <v>3332</v>
      </c>
      <c r="M353" t="s">
        <v>3379</v>
      </c>
      <c r="N353">
        <v>11225</v>
      </c>
      <c r="O353" t="s">
        <v>3381</v>
      </c>
      <c r="P353" t="s">
        <v>3381</v>
      </c>
      <c r="S353">
        <v>0</v>
      </c>
      <c r="T353" t="s">
        <v>4196</v>
      </c>
      <c r="U353" t="s">
        <v>4223</v>
      </c>
      <c r="V353" t="s">
        <v>4237</v>
      </c>
      <c r="W353" t="s">
        <v>4241</v>
      </c>
      <c r="X353" t="s">
        <v>3382</v>
      </c>
      <c r="Z353" t="s">
        <v>4241</v>
      </c>
      <c r="AA353" t="s">
        <v>4256</v>
      </c>
      <c r="AC353">
        <v>0</v>
      </c>
      <c r="AD353">
        <v>0</v>
      </c>
      <c r="AE353">
        <v>11.7</v>
      </c>
      <c r="AF353" t="s">
        <v>4269</v>
      </c>
      <c r="AG353" t="s">
        <v>4621</v>
      </c>
      <c r="AI353" t="s">
        <v>5677</v>
      </c>
      <c r="AJ353">
        <v>0</v>
      </c>
      <c r="AL353">
        <v>3</v>
      </c>
      <c r="AM353">
        <v>0</v>
      </c>
      <c r="AN353">
        <v>0</v>
      </c>
      <c r="AS353" t="s">
        <v>6298</v>
      </c>
      <c r="AT353">
        <v>0</v>
      </c>
      <c r="AX353" t="s">
        <v>6408</v>
      </c>
      <c r="BA353" t="s">
        <v>6486</v>
      </c>
      <c r="BD353" t="s">
        <v>295</v>
      </c>
    </row>
    <row r="354" spans="1:57">
      <c r="A354" s="1">
        <f>HYPERLINK("https://lsnyc.legalserver.org/matter/dynamic-profile/view/1899139","19-1899139")</f>
        <v>0</v>
      </c>
      <c r="B354" t="s">
        <v>58</v>
      </c>
      <c r="C354" t="s">
        <v>109</v>
      </c>
      <c r="D354" t="s">
        <v>214</v>
      </c>
      <c r="E354" t="s">
        <v>314</v>
      </c>
      <c r="G354" t="s">
        <v>881</v>
      </c>
      <c r="H354" t="s">
        <v>1602</v>
      </c>
      <c r="J354" t="s">
        <v>2384</v>
      </c>
      <c r="K354" t="s">
        <v>3030</v>
      </c>
      <c r="L354" t="s">
        <v>3332</v>
      </c>
      <c r="M354" t="s">
        <v>3379</v>
      </c>
      <c r="N354">
        <v>11221</v>
      </c>
      <c r="O354" t="s">
        <v>3381</v>
      </c>
      <c r="P354" t="s">
        <v>3381</v>
      </c>
      <c r="Q354" t="s">
        <v>3386</v>
      </c>
      <c r="S354">
        <v>8</v>
      </c>
      <c r="T354" t="s">
        <v>4209</v>
      </c>
      <c r="U354" t="s">
        <v>4229</v>
      </c>
      <c r="W354" t="s">
        <v>4240</v>
      </c>
      <c r="X354" t="s">
        <v>3382</v>
      </c>
      <c r="AA354" t="s">
        <v>4256</v>
      </c>
      <c r="AC354">
        <v>0</v>
      </c>
      <c r="AD354">
        <v>129300</v>
      </c>
      <c r="AE354">
        <v>46.05</v>
      </c>
      <c r="AG354" t="s">
        <v>4622</v>
      </c>
      <c r="AI354" t="s">
        <v>5678</v>
      </c>
      <c r="AJ354">
        <v>6</v>
      </c>
      <c r="AK354" t="s">
        <v>6267</v>
      </c>
      <c r="AL354">
        <v>1</v>
      </c>
      <c r="AM354">
        <v>0</v>
      </c>
      <c r="AN354">
        <v>124.9</v>
      </c>
      <c r="AS354" t="s">
        <v>6298</v>
      </c>
      <c r="AT354">
        <v>15600</v>
      </c>
      <c r="AX354" t="s">
        <v>6407</v>
      </c>
      <c r="BA354" t="s">
        <v>6477</v>
      </c>
      <c r="BD354" t="s">
        <v>218</v>
      </c>
    </row>
    <row r="355" spans="1:57">
      <c r="A355" s="1">
        <f>HYPERLINK("https://lsnyc.legalserver.org/matter/dynamic-profile/view/1907840","19-1907840")</f>
        <v>0</v>
      </c>
      <c r="B355" t="s">
        <v>58</v>
      </c>
      <c r="C355" t="s">
        <v>109</v>
      </c>
      <c r="D355" t="s">
        <v>214</v>
      </c>
      <c r="E355" t="s">
        <v>326</v>
      </c>
      <c r="G355" t="s">
        <v>646</v>
      </c>
      <c r="H355" t="s">
        <v>737</v>
      </c>
      <c r="J355" t="s">
        <v>2385</v>
      </c>
      <c r="K355" t="s">
        <v>3015</v>
      </c>
      <c r="L355" t="s">
        <v>3332</v>
      </c>
      <c r="M355" t="s">
        <v>3379</v>
      </c>
      <c r="N355">
        <v>11212</v>
      </c>
      <c r="O355" t="s">
        <v>3381</v>
      </c>
      <c r="P355" t="s">
        <v>3381</v>
      </c>
      <c r="Q355" t="s">
        <v>3386</v>
      </c>
      <c r="R355" t="s">
        <v>3698</v>
      </c>
      <c r="S355">
        <v>0</v>
      </c>
      <c r="T355" t="s">
        <v>4196</v>
      </c>
      <c r="U355" t="s">
        <v>4225</v>
      </c>
      <c r="W355" t="s">
        <v>4240</v>
      </c>
      <c r="X355" t="s">
        <v>3382</v>
      </c>
      <c r="AA355" t="s">
        <v>4258</v>
      </c>
      <c r="AC355">
        <v>0</v>
      </c>
      <c r="AD355">
        <v>0</v>
      </c>
      <c r="AE355">
        <v>0</v>
      </c>
      <c r="AG355" t="s">
        <v>4611</v>
      </c>
      <c r="AI355" t="s">
        <v>5679</v>
      </c>
      <c r="AJ355">
        <v>0</v>
      </c>
      <c r="AK355" t="s">
        <v>6270</v>
      </c>
      <c r="AL355">
        <v>2</v>
      </c>
      <c r="AM355">
        <v>3</v>
      </c>
      <c r="AN355">
        <v>0</v>
      </c>
      <c r="AS355" t="s">
        <v>6298</v>
      </c>
      <c r="AT355">
        <v>0</v>
      </c>
      <c r="AX355" t="s">
        <v>6407</v>
      </c>
      <c r="BA355" t="s">
        <v>6479</v>
      </c>
    </row>
    <row r="356" spans="1:57">
      <c r="A356" s="1">
        <f>HYPERLINK("https://lsnyc.legalserver.org/matter/dynamic-profile/view/1855408","18-1855408")</f>
        <v>0</v>
      </c>
      <c r="B356" t="s">
        <v>58</v>
      </c>
      <c r="C356" t="s">
        <v>110</v>
      </c>
      <c r="D356" t="s">
        <v>214</v>
      </c>
      <c r="E356" t="s">
        <v>354</v>
      </c>
      <c r="G356" t="s">
        <v>882</v>
      </c>
      <c r="H356" t="s">
        <v>1603</v>
      </c>
      <c r="J356" t="s">
        <v>2386</v>
      </c>
      <c r="K356" t="s">
        <v>3143</v>
      </c>
      <c r="L356" t="s">
        <v>3332</v>
      </c>
      <c r="M356" t="s">
        <v>3379</v>
      </c>
      <c r="N356">
        <v>11236</v>
      </c>
      <c r="O356" t="s">
        <v>3382</v>
      </c>
      <c r="P356" t="s">
        <v>3381</v>
      </c>
      <c r="R356" t="s">
        <v>3699</v>
      </c>
      <c r="S356">
        <v>0</v>
      </c>
      <c r="T356" t="s">
        <v>4196</v>
      </c>
      <c r="U356" t="s">
        <v>4223</v>
      </c>
      <c r="W356" t="s">
        <v>4240</v>
      </c>
      <c r="X356" t="s">
        <v>3382</v>
      </c>
      <c r="AA356" t="s">
        <v>4258</v>
      </c>
      <c r="AC356">
        <v>0</v>
      </c>
      <c r="AD356">
        <v>0</v>
      </c>
      <c r="AE356">
        <v>61</v>
      </c>
      <c r="AG356" t="s">
        <v>4623</v>
      </c>
      <c r="AI356" t="s">
        <v>5680</v>
      </c>
      <c r="AJ356">
        <v>0</v>
      </c>
      <c r="AL356">
        <v>1</v>
      </c>
      <c r="AM356">
        <v>1</v>
      </c>
      <c r="AN356">
        <v>165.54</v>
      </c>
      <c r="AQ356" t="s">
        <v>6286</v>
      </c>
      <c r="AR356" t="s">
        <v>5312</v>
      </c>
      <c r="AS356" t="s">
        <v>6298</v>
      </c>
      <c r="AT356">
        <v>26884</v>
      </c>
      <c r="AX356" t="s">
        <v>6409</v>
      </c>
      <c r="BA356" t="s">
        <v>6476</v>
      </c>
      <c r="BD356" t="s">
        <v>504</v>
      </c>
    </row>
    <row r="357" spans="1:57">
      <c r="A357" s="1">
        <f>HYPERLINK("https://lsnyc.legalserver.org/matter/dynamic-profile/view/1899015","19-1899015")</f>
        <v>0</v>
      </c>
      <c r="B357" t="s">
        <v>58</v>
      </c>
      <c r="C357" t="s">
        <v>110</v>
      </c>
      <c r="D357" t="s">
        <v>214</v>
      </c>
      <c r="E357" t="s">
        <v>355</v>
      </c>
      <c r="G357" t="s">
        <v>883</v>
      </c>
      <c r="H357" t="s">
        <v>1604</v>
      </c>
      <c r="J357" t="s">
        <v>2387</v>
      </c>
      <c r="K357" t="s">
        <v>3041</v>
      </c>
      <c r="L357" t="s">
        <v>3332</v>
      </c>
      <c r="M357" t="s">
        <v>3379</v>
      </c>
      <c r="N357">
        <v>11226</v>
      </c>
      <c r="O357" t="s">
        <v>3382</v>
      </c>
      <c r="P357" t="s">
        <v>3381</v>
      </c>
      <c r="Q357" t="s">
        <v>3383</v>
      </c>
      <c r="R357" t="s">
        <v>3700</v>
      </c>
      <c r="S357">
        <v>9</v>
      </c>
      <c r="T357" t="s">
        <v>4196</v>
      </c>
      <c r="U357" t="s">
        <v>4223</v>
      </c>
      <c r="W357" t="s">
        <v>4241</v>
      </c>
      <c r="X357" t="s">
        <v>3382</v>
      </c>
      <c r="AA357" t="s">
        <v>4256</v>
      </c>
      <c r="AC357">
        <v>0</v>
      </c>
      <c r="AD357">
        <v>1070</v>
      </c>
      <c r="AE357">
        <v>51.9</v>
      </c>
      <c r="AG357" t="s">
        <v>4624</v>
      </c>
      <c r="AH357" t="s">
        <v>5285</v>
      </c>
      <c r="AI357" t="s">
        <v>5681</v>
      </c>
      <c r="AJ357">
        <v>95</v>
      </c>
      <c r="AL357">
        <v>2</v>
      </c>
      <c r="AM357">
        <v>0</v>
      </c>
      <c r="AN357">
        <v>281.5</v>
      </c>
      <c r="AS357" t="s">
        <v>6298</v>
      </c>
      <c r="AT357">
        <v>47602</v>
      </c>
      <c r="AX357" t="s">
        <v>6410</v>
      </c>
      <c r="BA357" t="s">
        <v>6515</v>
      </c>
      <c r="BD357" t="s">
        <v>275</v>
      </c>
    </row>
    <row r="358" spans="1:57">
      <c r="A358" s="1">
        <f>HYPERLINK("https://lsnyc.legalserver.org/matter/dynamic-profile/view/1912966","19-1912966")</f>
        <v>0</v>
      </c>
      <c r="B358" t="s">
        <v>58</v>
      </c>
      <c r="C358" t="s">
        <v>110</v>
      </c>
      <c r="D358" t="s">
        <v>214</v>
      </c>
      <c r="E358" t="s">
        <v>305</v>
      </c>
      <c r="G358" t="s">
        <v>884</v>
      </c>
      <c r="H358" t="s">
        <v>1386</v>
      </c>
      <c r="J358" t="s">
        <v>2388</v>
      </c>
      <c r="K358" t="s">
        <v>3144</v>
      </c>
      <c r="L358" t="s">
        <v>3332</v>
      </c>
      <c r="M358" t="s">
        <v>3379</v>
      </c>
      <c r="N358">
        <v>11221</v>
      </c>
      <c r="O358" t="s">
        <v>3382</v>
      </c>
      <c r="P358" t="s">
        <v>3381</v>
      </c>
      <c r="R358" t="s">
        <v>3701</v>
      </c>
      <c r="S358">
        <v>0</v>
      </c>
      <c r="T358" t="s">
        <v>4196</v>
      </c>
      <c r="U358" t="s">
        <v>4225</v>
      </c>
      <c r="W358" t="s">
        <v>4241</v>
      </c>
      <c r="X358" t="s">
        <v>3382</v>
      </c>
      <c r="AA358" t="s">
        <v>4258</v>
      </c>
      <c r="AC358">
        <v>0</v>
      </c>
      <c r="AD358">
        <v>0</v>
      </c>
      <c r="AE358">
        <v>2.5</v>
      </c>
      <c r="AG358" t="s">
        <v>4625</v>
      </c>
      <c r="AI358" t="s">
        <v>5682</v>
      </c>
      <c r="AJ358">
        <v>0</v>
      </c>
      <c r="AL358">
        <v>3</v>
      </c>
      <c r="AM358">
        <v>1</v>
      </c>
      <c r="AN358">
        <v>212.89</v>
      </c>
      <c r="AS358" t="s">
        <v>6298</v>
      </c>
      <c r="AT358">
        <v>54820</v>
      </c>
      <c r="AX358" t="s">
        <v>6408</v>
      </c>
      <c r="BA358" t="s">
        <v>6474</v>
      </c>
      <c r="BD358" t="s">
        <v>237</v>
      </c>
    </row>
    <row r="359" spans="1:57">
      <c r="A359" s="1">
        <f>HYPERLINK("https://lsnyc.legalserver.org/matter/dynamic-profile/view/1878626","18-1878626")</f>
        <v>0</v>
      </c>
      <c r="B359" t="s">
        <v>58</v>
      </c>
      <c r="C359" t="s">
        <v>110</v>
      </c>
      <c r="D359" t="s">
        <v>214</v>
      </c>
      <c r="E359" t="s">
        <v>352</v>
      </c>
      <c r="G359" t="s">
        <v>885</v>
      </c>
      <c r="H359" t="s">
        <v>1605</v>
      </c>
      <c r="J359" t="s">
        <v>2389</v>
      </c>
      <c r="K359">
        <v>611</v>
      </c>
      <c r="L359" t="s">
        <v>3332</v>
      </c>
      <c r="M359" t="s">
        <v>3379</v>
      </c>
      <c r="N359">
        <v>11216</v>
      </c>
      <c r="O359" t="s">
        <v>3381</v>
      </c>
      <c r="P359" t="s">
        <v>3381</v>
      </c>
      <c r="Q359" t="s">
        <v>3386</v>
      </c>
      <c r="S359">
        <v>0</v>
      </c>
      <c r="T359" t="s">
        <v>4196</v>
      </c>
      <c r="U359" t="s">
        <v>4223</v>
      </c>
      <c r="W359" t="s">
        <v>4241</v>
      </c>
      <c r="X359" t="s">
        <v>3382</v>
      </c>
      <c r="AA359" t="s">
        <v>4256</v>
      </c>
      <c r="AC359">
        <v>0</v>
      </c>
      <c r="AD359">
        <v>0</v>
      </c>
      <c r="AE359">
        <v>59.3</v>
      </c>
      <c r="AG359" t="s">
        <v>4626</v>
      </c>
      <c r="AI359" t="s">
        <v>5683</v>
      </c>
      <c r="AJ359">
        <v>0</v>
      </c>
      <c r="AL359">
        <v>1</v>
      </c>
      <c r="AM359">
        <v>0</v>
      </c>
      <c r="AN359">
        <v>81.05</v>
      </c>
      <c r="AQ359" t="s">
        <v>6287</v>
      </c>
      <c r="AS359" t="s">
        <v>6298</v>
      </c>
      <c r="AT359">
        <v>9840</v>
      </c>
      <c r="AX359" t="s">
        <v>6407</v>
      </c>
      <c r="BA359" t="s">
        <v>6475</v>
      </c>
      <c r="BD359" t="s">
        <v>361</v>
      </c>
    </row>
    <row r="360" spans="1:57">
      <c r="A360" s="1">
        <f>HYPERLINK("https://lsnyc.legalserver.org/matter/dynamic-profile/view/1915084","19-1915084")</f>
        <v>0</v>
      </c>
      <c r="B360" t="s">
        <v>58</v>
      </c>
      <c r="C360" t="s">
        <v>111</v>
      </c>
      <c r="D360" t="s">
        <v>214</v>
      </c>
      <c r="E360" t="s">
        <v>217</v>
      </c>
      <c r="G360" t="s">
        <v>886</v>
      </c>
      <c r="H360" t="s">
        <v>1606</v>
      </c>
      <c r="J360" t="s">
        <v>2390</v>
      </c>
      <c r="K360" t="s">
        <v>3145</v>
      </c>
      <c r="L360" t="s">
        <v>3332</v>
      </c>
      <c r="M360" t="s">
        <v>3379</v>
      </c>
      <c r="N360">
        <v>11226</v>
      </c>
      <c r="O360" t="s">
        <v>3380</v>
      </c>
      <c r="P360" t="s">
        <v>3381</v>
      </c>
      <c r="Q360" t="s">
        <v>3383</v>
      </c>
      <c r="R360" t="s">
        <v>3702</v>
      </c>
      <c r="S360">
        <v>0</v>
      </c>
      <c r="T360" t="s">
        <v>4196</v>
      </c>
      <c r="U360" t="s">
        <v>4224</v>
      </c>
      <c r="W360" t="s">
        <v>4241</v>
      </c>
      <c r="X360" t="s">
        <v>3382</v>
      </c>
      <c r="AA360" t="s">
        <v>4256</v>
      </c>
      <c r="AC360">
        <v>0</v>
      </c>
      <c r="AD360">
        <v>0</v>
      </c>
      <c r="AE360">
        <v>0.5</v>
      </c>
      <c r="AG360" t="s">
        <v>4627</v>
      </c>
      <c r="AI360" t="s">
        <v>5448</v>
      </c>
      <c r="AJ360">
        <v>0</v>
      </c>
      <c r="AL360">
        <v>1</v>
      </c>
      <c r="AM360">
        <v>2</v>
      </c>
      <c r="AN360">
        <v>73.08</v>
      </c>
      <c r="AS360" t="s">
        <v>6298</v>
      </c>
      <c r="AT360">
        <v>15588</v>
      </c>
      <c r="AX360" t="s">
        <v>6411</v>
      </c>
      <c r="BA360" t="s">
        <v>3391</v>
      </c>
      <c r="BD360" t="s">
        <v>218</v>
      </c>
      <c r="BE360" t="s">
        <v>6702</v>
      </c>
    </row>
    <row r="361" spans="1:57">
      <c r="A361" s="1">
        <f>HYPERLINK("https://lsnyc.legalserver.org/matter/dynamic-profile/view/1885133","18-1885133")</f>
        <v>0</v>
      </c>
      <c r="B361" t="s">
        <v>58</v>
      </c>
      <c r="C361" t="s">
        <v>112</v>
      </c>
      <c r="D361" t="s">
        <v>215</v>
      </c>
      <c r="E361" t="s">
        <v>298</v>
      </c>
      <c r="F361" t="s">
        <v>407</v>
      </c>
      <c r="G361" t="s">
        <v>887</v>
      </c>
      <c r="H361" t="s">
        <v>1607</v>
      </c>
      <c r="J361" t="s">
        <v>2391</v>
      </c>
      <c r="K361" t="s">
        <v>3048</v>
      </c>
      <c r="L361" t="s">
        <v>3332</v>
      </c>
      <c r="M361" t="s">
        <v>3379</v>
      </c>
      <c r="N361">
        <v>11226</v>
      </c>
      <c r="O361" t="s">
        <v>3382</v>
      </c>
      <c r="P361" t="s">
        <v>3381</v>
      </c>
      <c r="Q361" t="s">
        <v>3383</v>
      </c>
      <c r="R361" t="s">
        <v>3703</v>
      </c>
      <c r="S361">
        <v>33</v>
      </c>
      <c r="T361" t="s">
        <v>4196</v>
      </c>
      <c r="U361" t="s">
        <v>4223</v>
      </c>
      <c r="V361" t="s">
        <v>4231</v>
      </c>
      <c r="W361" t="s">
        <v>4241</v>
      </c>
      <c r="X361" t="s">
        <v>3382</v>
      </c>
      <c r="Y361" t="s">
        <v>3382</v>
      </c>
      <c r="AA361" t="s">
        <v>4256</v>
      </c>
      <c r="AB361" t="s">
        <v>4261</v>
      </c>
      <c r="AC361">
        <v>0</v>
      </c>
      <c r="AD361">
        <v>475.2</v>
      </c>
      <c r="AE361">
        <v>30.1</v>
      </c>
      <c r="AF361" t="s">
        <v>4269</v>
      </c>
      <c r="AG361" t="s">
        <v>4628</v>
      </c>
      <c r="AI361" t="s">
        <v>5684</v>
      </c>
      <c r="AJ361">
        <v>40</v>
      </c>
      <c r="AK361" t="s">
        <v>6267</v>
      </c>
      <c r="AL361">
        <v>2</v>
      </c>
      <c r="AM361">
        <v>0</v>
      </c>
      <c r="AN361">
        <v>122.48</v>
      </c>
      <c r="AQ361" t="s">
        <v>6287</v>
      </c>
      <c r="AR361" t="s">
        <v>6293</v>
      </c>
      <c r="AS361" t="s">
        <v>6298</v>
      </c>
      <c r="AT361">
        <v>20160</v>
      </c>
      <c r="AX361" t="s">
        <v>6410</v>
      </c>
      <c r="AY361" t="s">
        <v>6460</v>
      </c>
      <c r="AZ361" t="s">
        <v>6464</v>
      </c>
      <c r="BA361" t="s">
        <v>6511</v>
      </c>
      <c r="BB361" t="s">
        <v>6602</v>
      </c>
      <c r="BC361" t="s">
        <v>6613</v>
      </c>
      <c r="BD361" t="s">
        <v>407</v>
      </c>
    </row>
    <row r="362" spans="1:57">
      <c r="A362" s="1">
        <f>HYPERLINK("https://lsnyc.legalserver.org/matter/dynamic-profile/view/1914365","19-1914365")</f>
        <v>0</v>
      </c>
      <c r="B362" t="s">
        <v>58</v>
      </c>
      <c r="C362" t="s">
        <v>112</v>
      </c>
      <c r="D362" t="s">
        <v>214</v>
      </c>
      <c r="E362" t="s">
        <v>224</v>
      </c>
      <c r="G362" t="s">
        <v>888</v>
      </c>
      <c r="H362" t="s">
        <v>1353</v>
      </c>
      <c r="J362" t="s">
        <v>2392</v>
      </c>
      <c r="K362">
        <v>1</v>
      </c>
      <c r="L362" t="s">
        <v>3332</v>
      </c>
      <c r="M362" t="s">
        <v>3379</v>
      </c>
      <c r="N362">
        <v>11226</v>
      </c>
      <c r="O362" t="s">
        <v>3380</v>
      </c>
      <c r="P362" t="s">
        <v>3381</v>
      </c>
      <c r="Q362" t="s">
        <v>3384</v>
      </c>
      <c r="R362" t="s">
        <v>3704</v>
      </c>
      <c r="S362">
        <v>1</v>
      </c>
      <c r="T362" t="s">
        <v>4196</v>
      </c>
      <c r="U362" t="s">
        <v>4223</v>
      </c>
      <c r="W362" t="s">
        <v>4241</v>
      </c>
      <c r="X362" t="s">
        <v>3382</v>
      </c>
      <c r="Y362" t="s">
        <v>3382</v>
      </c>
      <c r="AA362" t="s">
        <v>4256</v>
      </c>
      <c r="AC362">
        <v>0</v>
      </c>
      <c r="AD362">
        <v>2300</v>
      </c>
      <c r="AE362">
        <v>1.2</v>
      </c>
      <c r="AG362" t="s">
        <v>4629</v>
      </c>
      <c r="AI362" t="s">
        <v>5685</v>
      </c>
      <c r="AJ362">
        <v>3</v>
      </c>
      <c r="AK362" t="s">
        <v>6274</v>
      </c>
      <c r="AL362">
        <v>2</v>
      </c>
      <c r="AM362">
        <v>0</v>
      </c>
      <c r="AN362">
        <v>136.01</v>
      </c>
      <c r="AS362" t="s">
        <v>6298</v>
      </c>
      <c r="AT362">
        <v>23000</v>
      </c>
      <c r="AX362" t="s">
        <v>6412</v>
      </c>
      <c r="BA362" t="s">
        <v>6477</v>
      </c>
      <c r="BD362" t="s">
        <v>218</v>
      </c>
      <c r="BE362" t="s">
        <v>6702</v>
      </c>
    </row>
    <row r="363" spans="1:57">
      <c r="A363" s="1">
        <f>HYPERLINK("https://lsnyc.legalserver.org/matter/dynamic-profile/view/1914557","19-1914557")</f>
        <v>0</v>
      </c>
      <c r="B363" t="s">
        <v>58</v>
      </c>
      <c r="C363" t="s">
        <v>112</v>
      </c>
      <c r="D363" t="s">
        <v>214</v>
      </c>
      <c r="E363" t="s">
        <v>227</v>
      </c>
      <c r="G363" t="s">
        <v>889</v>
      </c>
      <c r="H363" t="s">
        <v>1608</v>
      </c>
      <c r="J363" t="s">
        <v>2393</v>
      </c>
      <c r="K363">
        <v>205</v>
      </c>
      <c r="L363" t="s">
        <v>3332</v>
      </c>
      <c r="M363" t="s">
        <v>3379</v>
      </c>
      <c r="N363">
        <v>11226</v>
      </c>
      <c r="O363" t="s">
        <v>3381</v>
      </c>
      <c r="P363" t="s">
        <v>3381</v>
      </c>
      <c r="R363" t="s">
        <v>3705</v>
      </c>
      <c r="S363">
        <v>0</v>
      </c>
      <c r="T363" t="s">
        <v>4196</v>
      </c>
      <c r="U363" t="s">
        <v>4223</v>
      </c>
      <c r="W363" t="s">
        <v>4241</v>
      </c>
      <c r="X363" t="s">
        <v>3382</v>
      </c>
      <c r="AA363" t="s">
        <v>4258</v>
      </c>
      <c r="AC363">
        <v>0</v>
      </c>
      <c r="AD363">
        <v>0</v>
      </c>
      <c r="AE363">
        <v>0.5</v>
      </c>
      <c r="AG363" t="s">
        <v>4630</v>
      </c>
      <c r="AI363" t="s">
        <v>5686</v>
      </c>
      <c r="AJ363">
        <v>0</v>
      </c>
      <c r="AL363">
        <v>2</v>
      </c>
      <c r="AM363">
        <v>0</v>
      </c>
      <c r="AN363">
        <v>124.99</v>
      </c>
      <c r="AS363" t="s">
        <v>6298</v>
      </c>
      <c r="AT363">
        <v>21136</v>
      </c>
      <c r="AX363" t="s">
        <v>6408</v>
      </c>
      <c r="BA363" t="s">
        <v>6515</v>
      </c>
      <c r="BD363" t="s">
        <v>218</v>
      </c>
    </row>
    <row r="364" spans="1:57">
      <c r="A364" s="1">
        <f>HYPERLINK("https://lsnyc.legalserver.org/matter/dynamic-profile/view/1872205","18-1872205")</f>
        <v>0</v>
      </c>
      <c r="B364" t="s">
        <v>58</v>
      </c>
      <c r="C364" t="s">
        <v>112</v>
      </c>
      <c r="D364" t="s">
        <v>214</v>
      </c>
      <c r="E364" t="s">
        <v>356</v>
      </c>
      <c r="G364" t="s">
        <v>890</v>
      </c>
      <c r="H364" t="s">
        <v>1609</v>
      </c>
      <c r="J364" t="s">
        <v>2394</v>
      </c>
      <c r="K364" t="s">
        <v>3146</v>
      </c>
      <c r="L364" t="s">
        <v>3332</v>
      </c>
      <c r="M364" t="s">
        <v>3379</v>
      </c>
      <c r="N364">
        <v>11225</v>
      </c>
      <c r="O364" t="s">
        <v>3382</v>
      </c>
      <c r="P364" t="s">
        <v>3381</v>
      </c>
      <c r="Q364" t="s">
        <v>3397</v>
      </c>
      <c r="R364" t="s">
        <v>3706</v>
      </c>
      <c r="S364">
        <v>21</v>
      </c>
      <c r="T364" t="s">
        <v>4197</v>
      </c>
      <c r="U364" t="s">
        <v>4223</v>
      </c>
      <c r="W364" t="s">
        <v>4241</v>
      </c>
      <c r="X364" t="s">
        <v>3382</v>
      </c>
      <c r="Y364" t="s">
        <v>3382</v>
      </c>
      <c r="AA364" t="s">
        <v>4256</v>
      </c>
      <c r="AB364" t="s">
        <v>4261</v>
      </c>
      <c r="AC364">
        <v>840.55</v>
      </c>
      <c r="AD364">
        <v>857</v>
      </c>
      <c r="AE364">
        <v>41.2</v>
      </c>
      <c r="AG364" t="s">
        <v>4631</v>
      </c>
      <c r="AI364" t="s">
        <v>5687</v>
      </c>
      <c r="AJ364">
        <v>60</v>
      </c>
      <c r="AK364" t="s">
        <v>6267</v>
      </c>
      <c r="AL364">
        <v>1</v>
      </c>
      <c r="AM364">
        <v>0</v>
      </c>
      <c r="AN364">
        <v>200.46</v>
      </c>
      <c r="AO364" t="s">
        <v>6280</v>
      </c>
      <c r="AQ364" t="s">
        <v>6287</v>
      </c>
      <c r="AR364" t="s">
        <v>6293</v>
      </c>
      <c r="AS364" t="s">
        <v>6298</v>
      </c>
      <c r="AT364">
        <v>24336</v>
      </c>
      <c r="AX364" t="s">
        <v>6409</v>
      </c>
      <c r="AY364" t="s">
        <v>6460</v>
      </c>
      <c r="AZ364" t="s">
        <v>6468</v>
      </c>
      <c r="BA364" t="s">
        <v>6473</v>
      </c>
      <c r="BB364" t="s">
        <v>6602</v>
      </c>
      <c r="BC364" t="s">
        <v>6614</v>
      </c>
      <c r="BD364" t="s">
        <v>6641</v>
      </c>
    </row>
    <row r="365" spans="1:57">
      <c r="A365" s="1">
        <f>HYPERLINK("https://lsnyc.legalserver.org/matter/dynamic-profile/view/1878776","18-1878776")</f>
        <v>0</v>
      </c>
      <c r="B365" t="s">
        <v>58</v>
      </c>
      <c r="C365" t="s">
        <v>112</v>
      </c>
      <c r="D365" t="s">
        <v>215</v>
      </c>
      <c r="E365" t="s">
        <v>357</v>
      </c>
      <c r="F365" t="s">
        <v>351</v>
      </c>
      <c r="G365" t="s">
        <v>890</v>
      </c>
      <c r="H365" t="s">
        <v>1610</v>
      </c>
      <c r="J365" t="s">
        <v>2395</v>
      </c>
      <c r="K365" t="s">
        <v>3147</v>
      </c>
      <c r="L365" t="s">
        <v>3332</v>
      </c>
      <c r="M365" t="s">
        <v>3379</v>
      </c>
      <c r="N365">
        <v>11225</v>
      </c>
      <c r="O365" t="s">
        <v>3381</v>
      </c>
      <c r="P365" t="s">
        <v>3381</v>
      </c>
      <c r="Q365" t="s">
        <v>3386</v>
      </c>
      <c r="R365" t="s">
        <v>3707</v>
      </c>
      <c r="S365">
        <v>22</v>
      </c>
      <c r="T365" t="s">
        <v>4196</v>
      </c>
      <c r="U365" t="s">
        <v>4223</v>
      </c>
      <c r="V365" t="s">
        <v>4231</v>
      </c>
      <c r="W365" t="s">
        <v>4241</v>
      </c>
      <c r="X365" t="s">
        <v>3382</v>
      </c>
      <c r="Y365" t="s">
        <v>3382</v>
      </c>
      <c r="AA365" t="s">
        <v>4256</v>
      </c>
      <c r="AB365" t="s">
        <v>4261</v>
      </c>
      <c r="AC365">
        <v>1074</v>
      </c>
      <c r="AD365">
        <v>1074</v>
      </c>
      <c r="AE365">
        <v>24.7</v>
      </c>
      <c r="AF365" t="s">
        <v>4269</v>
      </c>
      <c r="AG365" t="s">
        <v>4632</v>
      </c>
      <c r="AI365" t="s">
        <v>5688</v>
      </c>
      <c r="AJ365">
        <v>55</v>
      </c>
      <c r="AK365" t="s">
        <v>6267</v>
      </c>
      <c r="AL365">
        <v>2</v>
      </c>
      <c r="AM365">
        <v>0</v>
      </c>
      <c r="AN365">
        <v>241.8</v>
      </c>
      <c r="AO365" t="s">
        <v>6280</v>
      </c>
      <c r="AQ365" t="s">
        <v>6287</v>
      </c>
      <c r="AR365" t="s">
        <v>5312</v>
      </c>
      <c r="AS365" t="s">
        <v>6298</v>
      </c>
      <c r="AT365">
        <v>39800</v>
      </c>
      <c r="AX365" t="s">
        <v>6409</v>
      </c>
      <c r="AY365" t="s">
        <v>6460</v>
      </c>
      <c r="AZ365" t="s">
        <v>6464</v>
      </c>
      <c r="BA365" t="s">
        <v>6476</v>
      </c>
      <c r="BB365" t="s">
        <v>6602</v>
      </c>
      <c r="BC365" t="s">
        <v>6615</v>
      </c>
      <c r="BD365" t="s">
        <v>351</v>
      </c>
    </row>
    <row r="366" spans="1:57">
      <c r="A366" s="1">
        <f>HYPERLINK("https://lsnyc.legalserver.org/matter/dynamic-profile/view/1888658","19-1888658")</f>
        <v>0</v>
      </c>
      <c r="B366" t="s">
        <v>58</v>
      </c>
      <c r="C366" t="s">
        <v>112</v>
      </c>
      <c r="D366" t="s">
        <v>215</v>
      </c>
      <c r="E366" t="s">
        <v>358</v>
      </c>
      <c r="F366" t="s">
        <v>328</v>
      </c>
      <c r="G366" t="s">
        <v>891</v>
      </c>
      <c r="H366" t="s">
        <v>1611</v>
      </c>
      <c r="J366" t="s">
        <v>2396</v>
      </c>
      <c r="K366" t="s">
        <v>3130</v>
      </c>
      <c r="L366" t="s">
        <v>3332</v>
      </c>
      <c r="M366" t="s">
        <v>3379</v>
      </c>
      <c r="N366">
        <v>11221</v>
      </c>
      <c r="O366" t="s">
        <v>3381</v>
      </c>
      <c r="P366" t="s">
        <v>3381</v>
      </c>
      <c r="Q366" t="s">
        <v>3397</v>
      </c>
      <c r="R366" t="s">
        <v>3708</v>
      </c>
      <c r="S366">
        <v>5</v>
      </c>
      <c r="T366" t="s">
        <v>4196</v>
      </c>
      <c r="U366" t="s">
        <v>4223</v>
      </c>
      <c r="V366" t="s">
        <v>4231</v>
      </c>
      <c r="W366" t="s">
        <v>4241</v>
      </c>
      <c r="X366" t="s">
        <v>3382</v>
      </c>
      <c r="Y366" t="s">
        <v>3382</v>
      </c>
      <c r="AA366" t="s">
        <v>4256</v>
      </c>
      <c r="AB366" t="s">
        <v>4261</v>
      </c>
      <c r="AC366">
        <v>0</v>
      </c>
      <c r="AD366">
        <v>157</v>
      </c>
      <c r="AE366">
        <v>13</v>
      </c>
      <c r="AF366" t="s">
        <v>4269</v>
      </c>
      <c r="AG366" t="s">
        <v>4633</v>
      </c>
      <c r="AH366" t="s">
        <v>5286</v>
      </c>
      <c r="AI366" t="s">
        <v>5689</v>
      </c>
      <c r="AJ366">
        <v>64</v>
      </c>
      <c r="AL366">
        <v>1</v>
      </c>
      <c r="AM366">
        <v>0</v>
      </c>
      <c r="AN366">
        <v>72.06</v>
      </c>
      <c r="AQ366" t="s">
        <v>6287</v>
      </c>
      <c r="AR366" t="s">
        <v>3391</v>
      </c>
      <c r="AS366" t="s">
        <v>6298</v>
      </c>
      <c r="AT366">
        <v>9000</v>
      </c>
      <c r="AX366" t="s">
        <v>6410</v>
      </c>
      <c r="AY366" t="s">
        <v>6460</v>
      </c>
      <c r="AZ366" t="s">
        <v>6464</v>
      </c>
      <c r="BA366" t="s">
        <v>6475</v>
      </c>
      <c r="BB366" t="s">
        <v>6602</v>
      </c>
      <c r="BC366" t="s">
        <v>6616</v>
      </c>
      <c r="BD366" t="s">
        <v>328</v>
      </c>
    </row>
    <row r="367" spans="1:57">
      <c r="A367" s="1">
        <f>HYPERLINK("https://lsnyc.legalserver.org/matter/dynamic-profile/view/1906004","19-1906004")</f>
        <v>0</v>
      </c>
      <c r="B367" t="s">
        <v>58</v>
      </c>
      <c r="C367" t="s">
        <v>112</v>
      </c>
      <c r="D367" t="s">
        <v>214</v>
      </c>
      <c r="E367" t="s">
        <v>333</v>
      </c>
      <c r="G367" t="s">
        <v>892</v>
      </c>
      <c r="H367" t="s">
        <v>1612</v>
      </c>
      <c r="J367" t="s">
        <v>2397</v>
      </c>
      <c r="K367" t="s">
        <v>3025</v>
      </c>
      <c r="L367" t="s">
        <v>3332</v>
      </c>
      <c r="M367" t="s">
        <v>3379</v>
      </c>
      <c r="N367">
        <v>11216</v>
      </c>
      <c r="O367" t="s">
        <v>3381</v>
      </c>
      <c r="P367" t="s">
        <v>3381</v>
      </c>
      <c r="Q367" t="s">
        <v>3383</v>
      </c>
      <c r="R367" t="s">
        <v>3709</v>
      </c>
      <c r="S367">
        <v>55</v>
      </c>
      <c r="T367" t="s">
        <v>4196</v>
      </c>
      <c r="U367" t="s">
        <v>4223</v>
      </c>
      <c r="W367" t="s">
        <v>4241</v>
      </c>
      <c r="X367" t="s">
        <v>3382</v>
      </c>
      <c r="Y367" t="s">
        <v>3382</v>
      </c>
      <c r="AA367" t="s">
        <v>4256</v>
      </c>
      <c r="AB367" t="s">
        <v>4261</v>
      </c>
      <c r="AC367">
        <v>0</v>
      </c>
      <c r="AD367">
        <v>765.64</v>
      </c>
      <c r="AE367">
        <v>6.1</v>
      </c>
      <c r="AG367" t="s">
        <v>4634</v>
      </c>
      <c r="AJ367">
        <v>18</v>
      </c>
      <c r="AK367" t="s">
        <v>6269</v>
      </c>
      <c r="AL367">
        <v>1</v>
      </c>
      <c r="AM367">
        <v>0</v>
      </c>
      <c r="AN367">
        <v>115.29</v>
      </c>
      <c r="AR367" t="s">
        <v>6293</v>
      </c>
      <c r="AS367" t="s">
        <v>6298</v>
      </c>
      <c r="AT367">
        <v>14400</v>
      </c>
      <c r="AX367" t="s">
        <v>6408</v>
      </c>
      <c r="AZ367" t="s">
        <v>6469</v>
      </c>
      <c r="BA367" t="s">
        <v>6475</v>
      </c>
      <c r="BB367" t="s">
        <v>6602</v>
      </c>
      <c r="BC367" t="s">
        <v>6617</v>
      </c>
      <c r="BD367" t="s">
        <v>528</v>
      </c>
    </row>
    <row r="368" spans="1:57">
      <c r="A368" s="1">
        <f>HYPERLINK("https://lsnyc.legalserver.org/matter/dynamic-profile/view/1915235","19-1915235")</f>
        <v>0</v>
      </c>
      <c r="B368" t="s">
        <v>58</v>
      </c>
      <c r="C368" t="s">
        <v>113</v>
      </c>
      <c r="D368" t="s">
        <v>214</v>
      </c>
      <c r="E368" t="s">
        <v>217</v>
      </c>
      <c r="G368" t="s">
        <v>893</v>
      </c>
      <c r="H368" t="s">
        <v>1613</v>
      </c>
      <c r="J368" t="s">
        <v>2398</v>
      </c>
      <c r="K368" t="s">
        <v>3148</v>
      </c>
      <c r="L368" t="s">
        <v>3332</v>
      </c>
      <c r="M368" t="s">
        <v>3379</v>
      </c>
      <c r="N368">
        <v>11221</v>
      </c>
      <c r="O368" t="s">
        <v>3380</v>
      </c>
      <c r="P368" t="s">
        <v>3381</v>
      </c>
      <c r="Q368" t="s">
        <v>3397</v>
      </c>
      <c r="R368" t="s">
        <v>3710</v>
      </c>
      <c r="S368">
        <v>35</v>
      </c>
      <c r="T368" t="s">
        <v>4196</v>
      </c>
      <c r="W368" t="s">
        <v>4241</v>
      </c>
      <c r="X368" t="s">
        <v>3382</v>
      </c>
      <c r="AA368" t="s">
        <v>4256</v>
      </c>
      <c r="AC368">
        <v>0</v>
      </c>
      <c r="AD368">
        <v>886.35</v>
      </c>
      <c r="AE368">
        <v>5</v>
      </c>
      <c r="AG368" t="s">
        <v>4635</v>
      </c>
      <c r="AI368" t="s">
        <v>5690</v>
      </c>
      <c r="AJ368">
        <v>0</v>
      </c>
      <c r="AL368">
        <v>2</v>
      </c>
      <c r="AM368">
        <v>3</v>
      </c>
      <c r="AN368">
        <v>122.64</v>
      </c>
      <c r="AS368" t="s">
        <v>6298</v>
      </c>
      <c r="AT368">
        <v>37000</v>
      </c>
      <c r="AX368" t="s">
        <v>6410</v>
      </c>
      <c r="BA368" t="s">
        <v>6473</v>
      </c>
      <c r="BD368" t="s">
        <v>231</v>
      </c>
      <c r="BE368" t="s">
        <v>6702</v>
      </c>
    </row>
    <row r="369" spans="1:57">
      <c r="A369" s="1">
        <f>HYPERLINK("https://lsnyc.legalserver.org/matter/dynamic-profile/view/1908782","19-1908782")</f>
        <v>0</v>
      </c>
      <c r="B369" t="s">
        <v>58</v>
      </c>
      <c r="C369" t="s">
        <v>114</v>
      </c>
      <c r="D369" t="s">
        <v>214</v>
      </c>
      <c r="E369" t="s">
        <v>295</v>
      </c>
      <c r="G369" t="s">
        <v>894</v>
      </c>
      <c r="H369" t="s">
        <v>1614</v>
      </c>
      <c r="J369" t="s">
        <v>2399</v>
      </c>
      <c r="K369" t="s">
        <v>3149</v>
      </c>
      <c r="L369" t="s">
        <v>3332</v>
      </c>
      <c r="M369" t="s">
        <v>3379</v>
      </c>
      <c r="N369">
        <v>11230</v>
      </c>
      <c r="O369" t="s">
        <v>3382</v>
      </c>
      <c r="P369" t="s">
        <v>3381</v>
      </c>
      <c r="Q369" t="s">
        <v>3383</v>
      </c>
      <c r="R369" t="s">
        <v>3711</v>
      </c>
      <c r="S369">
        <v>0</v>
      </c>
      <c r="T369" t="s">
        <v>4197</v>
      </c>
      <c r="U369" t="s">
        <v>4225</v>
      </c>
      <c r="W369" t="s">
        <v>4240</v>
      </c>
      <c r="X369" t="s">
        <v>3382</v>
      </c>
      <c r="AA369" t="s">
        <v>4256</v>
      </c>
      <c r="AC369">
        <v>0</v>
      </c>
      <c r="AD369">
        <v>950</v>
      </c>
      <c r="AE369">
        <v>0</v>
      </c>
      <c r="AG369" t="s">
        <v>4636</v>
      </c>
      <c r="AH369">
        <v>110799601</v>
      </c>
      <c r="AI369" t="s">
        <v>5691</v>
      </c>
      <c r="AJ369">
        <v>0</v>
      </c>
      <c r="AL369">
        <v>2</v>
      </c>
      <c r="AM369">
        <v>0</v>
      </c>
      <c r="AN369">
        <v>148.36</v>
      </c>
      <c r="AT369">
        <v>25088</v>
      </c>
      <c r="AX369" t="s">
        <v>6409</v>
      </c>
      <c r="BA369" t="s">
        <v>6541</v>
      </c>
      <c r="BE369" t="s">
        <v>5312</v>
      </c>
    </row>
    <row r="370" spans="1:57">
      <c r="A370" s="1">
        <f>HYPERLINK("https://lsnyc.legalserver.org/matter/dynamic-profile/view/1898136","19-1898136")</f>
        <v>0</v>
      </c>
      <c r="B370" t="s">
        <v>58</v>
      </c>
      <c r="C370" t="s">
        <v>114</v>
      </c>
      <c r="D370" t="s">
        <v>214</v>
      </c>
      <c r="E370" t="s">
        <v>359</v>
      </c>
      <c r="G370" t="s">
        <v>895</v>
      </c>
      <c r="H370" t="s">
        <v>1615</v>
      </c>
      <c r="J370" t="s">
        <v>2400</v>
      </c>
      <c r="L370" t="s">
        <v>3332</v>
      </c>
      <c r="M370" t="s">
        <v>3379</v>
      </c>
      <c r="N370">
        <v>11218</v>
      </c>
      <c r="O370" t="s">
        <v>3382</v>
      </c>
      <c r="P370" t="s">
        <v>3380</v>
      </c>
      <c r="Q370" t="s">
        <v>3397</v>
      </c>
      <c r="R370" t="s">
        <v>3712</v>
      </c>
      <c r="S370">
        <v>0</v>
      </c>
      <c r="T370" t="s">
        <v>4196</v>
      </c>
      <c r="U370" t="s">
        <v>4224</v>
      </c>
      <c r="W370" t="s">
        <v>4240</v>
      </c>
      <c r="X370" t="s">
        <v>3382</v>
      </c>
      <c r="Y370" t="s">
        <v>3382</v>
      </c>
      <c r="AA370" t="s">
        <v>4256</v>
      </c>
      <c r="AC370">
        <v>0</v>
      </c>
      <c r="AD370">
        <v>0</v>
      </c>
      <c r="AE370">
        <v>0</v>
      </c>
      <c r="AG370" t="s">
        <v>4637</v>
      </c>
      <c r="AI370" t="s">
        <v>5692</v>
      </c>
      <c r="AJ370">
        <v>0</v>
      </c>
      <c r="AL370">
        <v>1</v>
      </c>
      <c r="AM370">
        <v>0</v>
      </c>
      <c r="AN370">
        <v>96.08</v>
      </c>
      <c r="AS370" t="s">
        <v>6301</v>
      </c>
      <c r="AT370">
        <v>12000</v>
      </c>
      <c r="AX370" t="s">
        <v>6413</v>
      </c>
      <c r="BA370" t="s">
        <v>3391</v>
      </c>
    </row>
    <row r="371" spans="1:57">
      <c r="A371" s="1">
        <f>HYPERLINK("https://lsnyc.legalserver.org/matter/dynamic-profile/view/1845010","17-1845010")</f>
        <v>0</v>
      </c>
      <c r="B371" t="s">
        <v>58</v>
      </c>
      <c r="C371" t="s">
        <v>114</v>
      </c>
      <c r="D371" t="s">
        <v>214</v>
      </c>
      <c r="E371" t="s">
        <v>360</v>
      </c>
      <c r="G371" t="s">
        <v>896</v>
      </c>
      <c r="H371" t="s">
        <v>1616</v>
      </c>
      <c r="J371" t="s">
        <v>2401</v>
      </c>
      <c r="K371" t="s">
        <v>3150</v>
      </c>
      <c r="L371" t="s">
        <v>3332</v>
      </c>
      <c r="M371" t="s">
        <v>3379</v>
      </c>
      <c r="N371">
        <v>11217</v>
      </c>
      <c r="O371" t="s">
        <v>3382</v>
      </c>
      <c r="P371" t="s">
        <v>3381</v>
      </c>
      <c r="S371">
        <v>0</v>
      </c>
      <c r="T371" t="s">
        <v>4196</v>
      </c>
      <c r="U371" t="s">
        <v>4227</v>
      </c>
      <c r="W371" t="s">
        <v>4240</v>
      </c>
      <c r="X371" t="s">
        <v>3382</v>
      </c>
      <c r="AA371" t="s">
        <v>4258</v>
      </c>
      <c r="AC371">
        <v>0</v>
      </c>
      <c r="AD371">
        <v>0</v>
      </c>
      <c r="AE371">
        <v>9.300000000000001</v>
      </c>
      <c r="AG371" t="s">
        <v>4638</v>
      </c>
      <c r="AI371" t="s">
        <v>5693</v>
      </c>
      <c r="AJ371">
        <v>0</v>
      </c>
      <c r="AL371">
        <v>2</v>
      </c>
      <c r="AM371">
        <v>3</v>
      </c>
      <c r="AN371">
        <v>28.91</v>
      </c>
      <c r="AS371" t="s">
        <v>6299</v>
      </c>
      <c r="AT371">
        <v>8320</v>
      </c>
      <c r="AX371" t="s">
        <v>6414</v>
      </c>
      <c r="BA371" t="s">
        <v>6477</v>
      </c>
      <c r="BD371" t="s">
        <v>357</v>
      </c>
    </row>
    <row r="372" spans="1:57">
      <c r="A372" s="1">
        <f>HYPERLINK("https://lsnyc.legalserver.org/matter/dynamic-profile/view/1890826","19-1890826")</f>
        <v>0</v>
      </c>
      <c r="B372" t="s">
        <v>58</v>
      </c>
      <c r="C372" t="s">
        <v>115</v>
      </c>
      <c r="D372" t="s">
        <v>215</v>
      </c>
      <c r="E372" t="s">
        <v>257</v>
      </c>
      <c r="F372" t="s">
        <v>309</v>
      </c>
      <c r="G372" t="s">
        <v>897</v>
      </c>
      <c r="H372" t="s">
        <v>1423</v>
      </c>
      <c r="J372" t="s">
        <v>2402</v>
      </c>
      <c r="K372" t="s">
        <v>3151</v>
      </c>
      <c r="L372" t="s">
        <v>3332</v>
      </c>
      <c r="M372" t="s">
        <v>3379</v>
      </c>
      <c r="N372">
        <v>11216</v>
      </c>
      <c r="O372" t="s">
        <v>3381</v>
      </c>
      <c r="P372" t="s">
        <v>3381</v>
      </c>
      <c r="Q372" t="s">
        <v>3386</v>
      </c>
      <c r="S372">
        <v>16</v>
      </c>
      <c r="T372" t="s">
        <v>4203</v>
      </c>
      <c r="U372" t="s">
        <v>4223</v>
      </c>
      <c r="V372" t="s">
        <v>4231</v>
      </c>
      <c r="W372" t="s">
        <v>4241</v>
      </c>
      <c r="X372" t="s">
        <v>3382</v>
      </c>
      <c r="Y372" t="s">
        <v>3382</v>
      </c>
      <c r="AA372" t="s">
        <v>4256</v>
      </c>
      <c r="AC372">
        <v>0</v>
      </c>
      <c r="AD372">
        <v>1314.12</v>
      </c>
      <c r="AE372">
        <v>16.25</v>
      </c>
      <c r="AF372" t="s">
        <v>4269</v>
      </c>
      <c r="AG372" t="s">
        <v>4639</v>
      </c>
      <c r="AI372" t="s">
        <v>5694</v>
      </c>
      <c r="AJ372">
        <v>8</v>
      </c>
      <c r="AK372" t="s">
        <v>6267</v>
      </c>
      <c r="AL372">
        <v>1</v>
      </c>
      <c r="AM372">
        <v>0</v>
      </c>
      <c r="AN372">
        <v>37.47</v>
      </c>
      <c r="AS372" t="s">
        <v>6298</v>
      </c>
      <c r="AT372">
        <v>4680</v>
      </c>
      <c r="AX372" t="s">
        <v>6415</v>
      </c>
      <c r="BA372" t="s">
        <v>6542</v>
      </c>
      <c r="BD372" t="s">
        <v>309</v>
      </c>
    </row>
    <row r="373" spans="1:57">
      <c r="A373" s="1">
        <f>HYPERLINK("https://lsnyc.legalserver.org/matter/dynamic-profile/view/1891951","19-1891951")</f>
        <v>0</v>
      </c>
      <c r="B373" t="s">
        <v>58</v>
      </c>
      <c r="C373" t="s">
        <v>115</v>
      </c>
      <c r="D373" t="s">
        <v>214</v>
      </c>
      <c r="E373" t="s">
        <v>361</v>
      </c>
      <c r="G373" t="s">
        <v>898</v>
      </c>
      <c r="H373" t="s">
        <v>1617</v>
      </c>
      <c r="J373" t="s">
        <v>2403</v>
      </c>
      <c r="K373" t="s">
        <v>3152</v>
      </c>
      <c r="L373" t="s">
        <v>3332</v>
      </c>
      <c r="M373" t="s">
        <v>3379</v>
      </c>
      <c r="N373">
        <v>11209</v>
      </c>
      <c r="O373" t="s">
        <v>3381</v>
      </c>
      <c r="P373" t="s">
        <v>3381</v>
      </c>
      <c r="R373" t="s">
        <v>3713</v>
      </c>
      <c r="S373">
        <v>0</v>
      </c>
      <c r="T373" t="s">
        <v>4196</v>
      </c>
      <c r="U373" t="s">
        <v>4223</v>
      </c>
      <c r="W373" t="s">
        <v>4240</v>
      </c>
      <c r="X373" t="s">
        <v>3382</v>
      </c>
      <c r="AA373" t="s">
        <v>4256</v>
      </c>
      <c r="AC373">
        <v>0</v>
      </c>
      <c r="AD373">
        <v>0</v>
      </c>
      <c r="AE373">
        <v>19.8</v>
      </c>
      <c r="AG373" t="s">
        <v>4640</v>
      </c>
      <c r="AI373" t="s">
        <v>5695</v>
      </c>
      <c r="AJ373">
        <v>0</v>
      </c>
      <c r="AL373">
        <v>2</v>
      </c>
      <c r="AM373">
        <v>0</v>
      </c>
      <c r="AN373">
        <v>127.74</v>
      </c>
      <c r="AS373" t="s">
        <v>6298</v>
      </c>
      <c r="AT373">
        <v>21600</v>
      </c>
      <c r="AX373" t="s">
        <v>115</v>
      </c>
      <c r="BA373" t="s">
        <v>6487</v>
      </c>
      <c r="BD373" t="s">
        <v>249</v>
      </c>
    </row>
    <row r="374" spans="1:57">
      <c r="A374" s="1">
        <f>HYPERLINK("https://lsnyc.legalserver.org/matter/dynamic-profile/view/1876740","18-1876740")</f>
        <v>0</v>
      </c>
      <c r="B374" t="s">
        <v>58</v>
      </c>
      <c r="C374" t="s">
        <v>115</v>
      </c>
      <c r="D374" t="s">
        <v>215</v>
      </c>
      <c r="E374" t="s">
        <v>362</v>
      </c>
      <c r="F374" t="s">
        <v>310</v>
      </c>
      <c r="G374" t="s">
        <v>899</v>
      </c>
      <c r="H374" t="s">
        <v>1618</v>
      </c>
      <c r="J374" t="s">
        <v>2404</v>
      </c>
      <c r="K374" t="s">
        <v>3153</v>
      </c>
      <c r="L374" t="s">
        <v>3332</v>
      </c>
      <c r="M374" t="s">
        <v>3379</v>
      </c>
      <c r="N374">
        <v>11203</v>
      </c>
      <c r="O374" t="s">
        <v>3381</v>
      </c>
      <c r="P374" t="s">
        <v>3381</v>
      </c>
      <c r="S374">
        <v>0</v>
      </c>
      <c r="T374" t="s">
        <v>4196</v>
      </c>
      <c r="U374" t="s">
        <v>4223</v>
      </c>
      <c r="V374" t="s">
        <v>4231</v>
      </c>
      <c r="W374" t="s">
        <v>4240</v>
      </c>
      <c r="X374" t="s">
        <v>3382</v>
      </c>
      <c r="AA374" t="s">
        <v>4256</v>
      </c>
      <c r="AC374">
        <v>0</v>
      </c>
      <c r="AD374">
        <v>0</v>
      </c>
      <c r="AE374">
        <v>10.8</v>
      </c>
      <c r="AF374" t="s">
        <v>4269</v>
      </c>
      <c r="AG374" t="s">
        <v>4641</v>
      </c>
      <c r="AI374" t="s">
        <v>5696</v>
      </c>
      <c r="AJ374">
        <v>0</v>
      </c>
      <c r="AL374">
        <v>1</v>
      </c>
      <c r="AM374">
        <v>0</v>
      </c>
      <c r="AN374">
        <v>37.17</v>
      </c>
      <c r="AQ374" t="s">
        <v>6287</v>
      </c>
      <c r="AS374" t="s">
        <v>6298</v>
      </c>
      <c r="AT374">
        <v>4512</v>
      </c>
      <c r="AX374" t="s">
        <v>6407</v>
      </c>
      <c r="AZ374" t="s">
        <v>6466</v>
      </c>
      <c r="BA374" t="s">
        <v>6542</v>
      </c>
      <c r="BB374" t="s">
        <v>6602</v>
      </c>
      <c r="BC374" t="s">
        <v>6618</v>
      </c>
      <c r="BD374" t="s">
        <v>264</v>
      </c>
    </row>
    <row r="375" spans="1:57">
      <c r="A375" s="1">
        <f>HYPERLINK("https://lsnyc.legalserver.org/matter/dynamic-profile/view/1915091","19-1915091")</f>
        <v>0</v>
      </c>
      <c r="B375" t="s">
        <v>58</v>
      </c>
      <c r="C375" t="s">
        <v>116</v>
      </c>
      <c r="D375" t="s">
        <v>214</v>
      </c>
      <c r="E375" t="s">
        <v>218</v>
      </c>
      <c r="G375" t="s">
        <v>877</v>
      </c>
      <c r="H375" t="s">
        <v>1325</v>
      </c>
      <c r="J375" t="s">
        <v>2405</v>
      </c>
      <c r="K375" t="s">
        <v>3015</v>
      </c>
      <c r="L375" t="s">
        <v>3332</v>
      </c>
      <c r="M375" t="s">
        <v>3379</v>
      </c>
      <c r="N375">
        <v>11238</v>
      </c>
      <c r="O375" t="s">
        <v>3380</v>
      </c>
      <c r="P375" t="s">
        <v>3381</v>
      </c>
      <c r="R375" t="s">
        <v>3714</v>
      </c>
      <c r="S375">
        <v>0</v>
      </c>
      <c r="T375" t="s">
        <v>4196</v>
      </c>
      <c r="U375" t="s">
        <v>4224</v>
      </c>
      <c r="W375" t="s">
        <v>4240</v>
      </c>
      <c r="X375" t="s">
        <v>3382</v>
      </c>
      <c r="AA375" t="s">
        <v>4256</v>
      </c>
      <c r="AC375">
        <v>0</v>
      </c>
      <c r="AD375">
        <v>982.4299999999999</v>
      </c>
      <c r="AE375">
        <v>3.8</v>
      </c>
      <c r="AG375" t="s">
        <v>4642</v>
      </c>
      <c r="AI375" t="s">
        <v>5697</v>
      </c>
      <c r="AJ375">
        <v>0</v>
      </c>
      <c r="AL375">
        <v>2</v>
      </c>
      <c r="AM375">
        <v>1</v>
      </c>
      <c r="AN375">
        <v>10.3</v>
      </c>
      <c r="AS375" t="s">
        <v>6298</v>
      </c>
      <c r="AT375">
        <v>2196</v>
      </c>
      <c r="AX375" t="s">
        <v>6411</v>
      </c>
      <c r="BA375" t="s">
        <v>3391</v>
      </c>
      <c r="BD375" t="s">
        <v>218</v>
      </c>
      <c r="BE375" t="s">
        <v>6702</v>
      </c>
    </row>
    <row r="376" spans="1:57">
      <c r="A376" s="1">
        <f>HYPERLINK("https://lsnyc.legalserver.org/matter/dynamic-profile/view/1913039","19-1913039")</f>
        <v>0</v>
      </c>
      <c r="B376" t="s">
        <v>58</v>
      </c>
      <c r="C376" t="s">
        <v>116</v>
      </c>
      <c r="D376" t="s">
        <v>214</v>
      </c>
      <c r="E376" t="s">
        <v>293</v>
      </c>
      <c r="G376" t="s">
        <v>900</v>
      </c>
      <c r="H376" t="s">
        <v>1619</v>
      </c>
      <c r="J376" t="s">
        <v>2406</v>
      </c>
      <c r="K376" t="s">
        <v>3154</v>
      </c>
      <c r="L376" t="s">
        <v>3332</v>
      </c>
      <c r="M376" t="s">
        <v>3379</v>
      </c>
      <c r="N376">
        <v>11236</v>
      </c>
      <c r="O376" t="s">
        <v>3382</v>
      </c>
      <c r="P376" t="s">
        <v>3381</v>
      </c>
      <c r="S376">
        <v>1</v>
      </c>
      <c r="T376" t="s">
        <v>4197</v>
      </c>
      <c r="U376" t="s">
        <v>4225</v>
      </c>
      <c r="W376" t="s">
        <v>4240</v>
      </c>
      <c r="X376" t="s">
        <v>3382</v>
      </c>
      <c r="AA376" t="s">
        <v>4256</v>
      </c>
      <c r="AC376">
        <v>0</v>
      </c>
      <c r="AD376">
        <v>0</v>
      </c>
      <c r="AE376">
        <v>2.5</v>
      </c>
      <c r="AG376" t="s">
        <v>4643</v>
      </c>
      <c r="AI376" t="s">
        <v>5698</v>
      </c>
      <c r="AJ376">
        <v>6</v>
      </c>
      <c r="AL376">
        <v>1</v>
      </c>
      <c r="AM376">
        <v>0</v>
      </c>
      <c r="AN376">
        <v>0</v>
      </c>
      <c r="AS376" t="s">
        <v>6298</v>
      </c>
      <c r="AT376">
        <v>0</v>
      </c>
      <c r="AX376" t="s">
        <v>6407</v>
      </c>
      <c r="BA376" t="s">
        <v>6479</v>
      </c>
      <c r="BD376" t="s">
        <v>217</v>
      </c>
    </row>
    <row r="377" spans="1:57">
      <c r="A377" s="1">
        <f>HYPERLINK("https://lsnyc.legalserver.org/matter/dynamic-profile/view/1898911","19-1898911")</f>
        <v>0</v>
      </c>
      <c r="B377" t="s">
        <v>58</v>
      </c>
      <c r="C377" t="s">
        <v>117</v>
      </c>
      <c r="D377" t="s">
        <v>215</v>
      </c>
      <c r="E377" t="s">
        <v>363</v>
      </c>
      <c r="F377" t="s">
        <v>246</v>
      </c>
      <c r="G377" t="s">
        <v>901</v>
      </c>
      <c r="H377" t="s">
        <v>1620</v>
      </c>
      <c r="J377" t="s">
        <v>2407</v>
      </c>
      <c r="K377" t="s">
        <v>3155</v>
      </c>
      <c r="L377" t="s">
        <v>3332</v>
      </c>
      <c r="M377" t="s">
        <v>3379</v>
      </c>
      <c r="N377">
        <v>11225</v>
      </c>
      <c r="O377" t="s">
        <v>3382</v>
      </c>
      <c r="P377" t="s">
        <v>3380</v>
      </c>
      <c r="Q377" t="s">
        <v>3397</v>
      </c>
      <c r="R377" t="s">
        <v>3715</v>
      </c>
      <c r="S377">
        <v>0</v>
      </c>
      <c r="T377" t="s">
        <v>4197</v>
      </c>
      <c r="U377" t="s">
        <v>4223</v>
      </c>
      <c r="V377" t="s">
        <v>4231</v>
      </c>
      <c r="W377" t="s">
        <v>4241</v>
      </c>
      <c r="X377" t="s">
        <v>3382</v>
      </c>
      <c r="Y377" t="s">
        <v>3382</v>
      </c>
      <c r="AA377" t="s">
        <v>4256</v>
      </c>
      <c r="AB377" t="s">
        <v>4261</v>
      </c>
      <c r="AC377">
        <v>0</v>
      </c>
      <c r="AD377">
        <v>0</v>
      </c>
      <c r="AE377">
        <v>7.05</v>
      </c>
      <c r="AF377" t="s">
        <v>4275</v>
      </c>
      <c r="AG377" t="s">
        <v>4644</v>
      </c>
      <c r="AI377" t="s">
        <v>5699</v>
      </c>
      <c r="AJ377">
        <v>0</v>
      </c>
      <c r="AL377">
        <v>2</v>
      </c>
      <c r="AM377">
        <v>2</v>
      </c>
      <c r="AN377">
        <v>0</v>
      </c>
      <c r="AS377" t="s">
        <v>6298</v>
      </c>
      <c r="AT377">
        <v>0</v>
      </c>
      <c r="AX377" t="s">
        <v>6409</v>
      </c>
      <c r="AY377" t="s">
        <v>6460</v>
      </c>
      <c r="AZ377" t="s">
        <v>6463</v>
      </c>
      <c r="BA377" t="s">
        <v>6479</v>
      </c>
      <c r="BB377" t="s">
        <v>6604</v>
      </c>
      <c r="BC377" t="s">
        <v>6619</v>
      </c>
      <c r="BD377" t="s">
        <v>342</v>
      </c>
    </row>
    <row r="378" spans="1:57">
      <c r="A378" s="1">
        <f>HYPERLINK("https://lsnyc.legalserver.org/matter/dynamic-profile/view/1897420","19-1897420")</f>
        <v>0</v>
      </c>
      <c r="B378" t="s">
        <v>58</v>
      </c>
      <c r="C378" t="s">
        <v>117</v>
      </c>
      <c r="D378" t="s">
        <v>215</v>
      </c>
      <c r="E378" t="s">
        <v>335</v>
      </c>
      <c r="F378" t="s">
        <v>246</v>
      </c>
      <c r="G378" t="s">
        <v>674</v>
      </c>
      <c r="H378" t="s">
        <v>1621</v>
      </c>
      <c r="J378" t="s">
        <v>2408</v>
      </c>
      <c r="K378" t="s">
        <v>3156</v>
      </c>
      <c r="L378" t="s">
        <v>3332</v>
      </c>
      <c r="M378" t="s">
        <v>3379</v>
      </c>
      <c r="N378">
        <v>11217</v>
      </c>
      <c r="O378" t="s">
        <v>3382</v>
      </c>
      <c r="P378" t="s">
        <v>3382</v>
      </c>
      <c r="Q378" t="s">
        <v>3394</v>
      </c>
      <c r="R378" t="s">
        <v>3716</v>
      </c>
      <c r="S378">
        <v>5</v>
      </c>
      <c r="T378" t="s">
        <v>4197</v>
      </c>
      <c r="U378" t="s">
        <v>4223</v>
      </c>
      <c r="V378" t="s">
        <v>4231</v>
      </c>
      <c r="W378" t="s">
        <v>4240</v>
      </c>
      <c r="X378" t="s">
        <v>3382</v>
      </c>
      <c r="AA378" t="s">
        <v>4258</v>
      </c>
      <c r="AC378">
        <v>0</v>
      </c>
      <c r="AD378">
        <v>422</v>
      </c>
      <c r="AE378">
        <v>3.55</v>
      </c>
      <c r="AF378" t="s">
        <v>4277</v>
      </c>
      <c r="AG378" t="s">
        <v>4645</v>
      </c>
      <c r="AJ378">
        <v>78</v>
      </c>
      <c r="AL378">
        <v>3</v>
      </c>
      <c r="AM378">
        <v>0</v>
      </c>
      <c r="AN378">
        <v>10.24</v>
      </c>
      <c r="AS378" t="s">
        <v>6298</v>
      </c>
      <c r="AT378">
        <v>2184</v>
      </c>
      <c r="AX378" t="s">
        <v>6409</v>
      </c>
      <c r="BA378" t="s">
        <v>6483</v>
      </c>
      <c r="BD378" t="s">
        <v>342</v>
      </c>
    </row>
    <row r="379" spans="1:57">
      <c r="A379" s="1">
        <f>HYPERLINK("https://lsnyc.legalserver.org/matter/dynamic-profile/view/1913044","19-1913044")</f>
        <v>0</v>
      </c>
      <c r="B379" t="s">
        <v>58</v>
      </c>
      <c r="C379" t="s">
        <v>118</v>
      </c>
      <c r="D379" t="s">
        <v>214</v>
      </c>
      <c r="E379" t="s">
        <v>293</v>
      </c>
      <c r="G379" t="s">
        <v>710</v>
      </c>
      <c r="H379" t="s">
        <v>1622</v>
      </c>
      <c r="J379" t="s">
        <v>2406</v>
      </c>
      <c r="K379" t="s">
        <v>3157</v>
      </c>
      <c r="L379" t="s">
        <v>3332</v>
      </c>
      <c r="M379" t="s">
        <v>3379</v>
      </c>
      <c r="N379">
        <v>11236</v>
      </c>
      <c r="O379" t="s">
        <v>3381</v>
      </c>
      <c r="P379" t="s">
        <v>3381</v>
      </c>
      <c r="S379">
        <v>1</v>
      </c>
      <c r="T379" t="s">
        <v>4197</v>
      </c>
      <c r="U379" t="s">
        <v>4225</v>
      </c>
      <c r="W379" t="s">
        <v>4240</v>
      </c>
      <c r="X379" t="s">
        <v>3382</v>
      </c>
      <c r="AA379" t="s">
        <v>4256</v>
      </c>
      <c r="AC379">
        <v>0</v>
      </c>
      <c r="AD379">
        <v>0</v>
      </c>
      <c r="AE379">
        <v>2.3</v>
      </c>
      <c r="AG379" t="s">
        <v>4646</v>
      </c>
      <c r="AI379" t="s">
        <v>5700</v>
      </c>
      <c r="AJ379">
        <v>0</v>
      </c>
      <c r="AL379">
        <v>1</v>
      </c>
      <c r="AM379">
        <v>0</v>
      </c>
      <c r="AN379">
        <v>19.05</v>
      </c>
      <c r="AR379" t="s">
        <v>6294</v>
      </c>
      <c r="AS379" t="s">
        <v>6298</v>
      </c>
      <c r="AT379">
        <v>2379</v>
      </c>
      <c r="AX379" t="s">
        <v>6407</v>
      </c>
      <c r="BA379" t="s">
        <v>6483</v>
      </c>
      <c r="BD379" t="s">
        <v>227</v>
      </c>
    </row>
    <row r="380" spans="1:57">
      <c r="A380" s="1">
        <f>HYPERLINK("https://lsnyc.legalserver.org/matter/dynamic-profile/view/1885364","18-1885364")</f>
        <v>0</v>
      </c>
      <c r="B380" t="s">
        <v>58</v>
      </c>
      <c r="C380" t="s">
        <v>118</v>
      </c>
      <c r="D380" t="s">
        <v>214</v>
      </c>
      <c r="E380" t="s">
        <v>364</v>
      </c>
      <c r="G380" t="s">
        <v>830</v>
      </c>
      <c r="H380" t="s">
        <v>1160</v>
      </c>
      <c r="J380" t="s">
        <v>2409</v>
      </c>
      <c r="K380" t="s">
        <v>3158</v>
      </c>
      <c r="L380" t="s">
        <v>3332</v>
      </c>
      <c r="M380" t="s">
        <v>3379</v>
      </c>
      <c r="N380">
        <v>11226</v>
      </c>
      <c r="O380" t="s">
        <v>3381</v>
      </c>
      <c r="P380" t="s">
        <v>3381</v>
      </c>
      <c r="Q380" t="s">
        <v>3385</v>
      </c>
      <c r="R380" t="s">
        <v>3717</v>
      </c>
      <c r="S380">
        <v>8</v>
      </c>
      <c r="T380" t="s">
        <v>4196</v>
      </c>
      <c r="U380" t="s">
        <v>4223</v>
      </c>
      <c r="W380" t="s">
        <v>4241</v>
      </c>
      <c r="X380" t="s">
        <v>3382</v>
      </c>
      <c r="Y380" t="s">
        <v>3382</v>
      </c>
      <c r="AA380" t="s">
        <v>4256</v>
      </c>
      <c r="AB380" t="s">
        <v>4261</v>
      </c>
      <c r="AC380">
        <v>0</v>
      </c>
      <c r="AD380">
        <v>1361.93</v>
      </c>
      <c r="AE380">
        <v>6.9</v>
      </c>
      <c r="AG380" t="s">
        <v>4647</v>
      </c>
      <c r="AI380" t="s">
        <v>5701</v>
      </c>
      <c r="AJ380">
        <v>0</v>
      </c>
      <c r="AK380" t="s">
        <v>6267</v>
      </c>
      <c r="AL380">
        <v>2</v>
      </c>
      <c r="AM380">
        <v>0</v>
      </c>
      <c r="AN380">
        <v>0</v>
      </c>
      <c r="AQ380" t="s">
        <v>6287</v>
      </c>
      <c r="AS380" t="s">
        <v>6302</v>
      </c>
      <c r="AT380">
        <v>0</v>
      </c>
      <c r="AX380" t="s">
        <v>108</v>
      </c>
      <c r="BA380" t="s">
        <v>6479</v>
      </c>
      <c r="BD380" t="s">
        <v>257</v>
      </c>
    </row>
    <row r="381" spans="1:57">
      <c r="A381" s="1">
        <f>HYPERLINK("https://lsnyc.legalserver.org/matter/dynamic-profile/view/1911515","19-1911515")</f>
        <v>0</v>
      </c>
      <c r="B381" t="s">
        <v>58</v>
      </c>
      <c r="C381" t="s">
        <v>118</v>
      </c>
      <c r="D381" t="s">
        <v>214</v>
      </c>
      <c r="E381" t="s">
        <v>334</v>
      </c>
      <c r="G381" t="s">
        <v>884</v>
      </c>
      <c r="H381" t="s">
        <v>1623</v>
      </c>
      <c r="J381" t="s">
        <v>2410</v>
      </c>
      <c r="K381" t="s">
        <v>3159</v>
      </c>
      <c r="L381" t="s">
        <v>3332</v>
      </c>
      <c r="M381" t="s">
        <v>3379</v>
      </c>
      <c r="N381">
        <v>11226</v>
      </c>
      <c r="O381" t="s">
        <v>3381</v>
      </c>
      <c r="P381" t="s">
        <v>3381</v>
      </c>
      <c r="R381" t="s">
        <v>3718</v>
      </c>
      <c r="S381">
        <v>0</v>
      </c>
      <c r="T381" t="s">
        <v>4196</v>
      </c>
      <c r="U381" t="s">
        <v>4225</v>
      </c>
      <c r="W381" t="s">
        <v>4241</v>
      </c>
      <c r="X381" t="s">
        <v>3382</v>
      </c>
      <c r="AA381" t="s">
        <v>4256</v>
      </c>
      <c r="AC381">
        <v>0</v>
      </c>
      <c r="AD381">
        <v>0</v>
      </c>
      <c r="AE381">
        <v>12</v>
      </c>
      <c r="AG381" t="s">
        <v>4648</v>
      </c>
      <c r="AI381" t="s">
        <v>5702</v>
      </c>
      <c r="AJ381">
        <v>0</v>
      </c>
      <c r="AL381">
        <v>1</v>
      </c>
      <c r="AM381">
        <v>0</v>
      </c>
      <c r="AN381">
        <v>0</v>
      </c>
      <c r="AS381" t="s">
        <v>6298</v>
      </c>
      <c r="AT381">
        <v>0</v>
      </c>
      <c r="AX381" t="s">
        <v>6408</v>
      </c>
      <c r="BA381" t="s">
        <v>6486</v>
      </c>
      <c r="BD381" t="s">
        <v>231</v>
      </c>
    </row>
    <row r="382" spans="1:57">
      <c r="A382" s="1">
        <f>HYPERLINK("https://lsnyc.legalserver.org/matter/dynamic-profile/view/1903276","19-1903276")</f>
        <v>0</v>
      </c>
      <c r="B382" t="s">
        <v>58</v>
      </c>
      <c r="C382" t="s">
        <v>118</v>
      </c>
      <c r="D382" t="s">
        <v>214</v>
      </c>
      <c r="E382" t="s">
        <v>365</v>
      </c>
      <c r="G382" t="s">
        <v>889</v>
      </c>
      <c r="H382" t="s">
        <v>1564</v>
      </c>
      <c r="J382" t="s">
        <v>2411</v>
      </c>
      <c r="K382">
        <v>1</v>
      </c>
      <c r="L382" t="s">
        <v>3332</v>
      </c>
      <c r="M382" t="s">
        <v>3379</v>
      </c>
      <c r="N382">
        <v>11225</v>
      </c>
      <c r="O382" t="s">
        <v>3381</v>
      </c>
      <c r="P382" t="s">
        <v>3381</v>
      </c>
      <c r="Q382" t="s">
        <v>3397</v>
      </c>
      <c r="R382" t="s">
        <v>3719</v>
      </c>
      <c r="S382">
        <v>22</v>
      </c>
      <c r="T382" t="s">
        <v>4197</v>
      </c>
      <c r="U382" t="s">
        <v>4223</v>
      </c>
      <c r="W382" t="s">
        <v>4241</v>
      </c>
      <c r="X382" t="s">
        <v>3382</v>
      </c>
      <c r="AA382" t="s">
        <v>4256</v>
      </c>
      <c r="AC382">
        <v>0</v>
      </c>
      <c r="AD382">
        <v>1500</v>
      </c>
      <c r="AE382">
        <v>25.6</v>
      </c>
      <c r="AG382" t="s">
        <v>4649</v>
      </c>
      <c r="AI382" t="s">
        <v>5703</v>
      </c>
      <c r="AJ382">
        <v>0</v>
      </c>
      <c r="AL382">
        <v>1</v>
      </c>
      <c r="AM382">
        <v>0</v>
      </c>
      <c r="AN382">
        <v>211.37</v>
      </c>
      <c r="AR382" t="s">
        <v>5312</v>
      </c>
      <c r="AT382">
        <v>26400</v>
      </c>
      <c r="AX382" t="s">
        <v>6410</v>
      </c>
      <c r="BA382" t="s">
        <v>6487</v>
      </c>
      <c r="BD382" t="s">
        <v>267</v>
      </c>
    </row>
    <row r="383" spans="1:57">
      <c r="A383" s="1">
        <f>HYPERLINK("https://lsnyc.legalserver.org/matter/dynamic-profile/view/1913035","19-1913035")</f>
        <v>0</v>
      </c>
      <c r="B383" t="s">
        <v>58</v>
      </c>
      <c r="C383" t="s">
        <v>118</v>
      </c>
      <c r="D383" t="s">
        <v>214</v>
      </c>
      <c r="E383" t="s">
        <v>293</v>
      </c>
      <c r="G383" t="s">
        <v>902</v>
      </c>
      <c r="H383" t="s">
        <v>1624</v>
      </c>
      <c r="J383" t="s">
        <v>2412</v>
      </c>
      <c r="K383" t="s">
        <v>3160</v>
      </c>
      <c r="L383" t="s">
        <v>3332</v>
      </c>
      <c r="M383" t="s">
        <v>3379</v>
      </c>
      <c r="N383">
        <v>11225</v>
      </c>
      <c r="O383" t="s">
        <v>3380</v>
      </c>
      <c r="P383" t="s">
        <v>3381</v>
      </c>
      <c r="R383" t="s">
        <v>3720</v>
      </c>
      <c r="S383">
        <v>20</v>
      </c>
      <c r="T383" t="s">
        <v>4196</v>
      </c>
      <c r="U383" t="s">
        <v>4225</v>
      </c>
      <c r="W383" t="s">
        <v>4241</v>
      </c>
      <c r="X383" t="s">
        <v>3382</v>
      </c>
      <c r="AA383" t="s">
        <v>4256</v>
      </c>
      <c r="AC383">
        <v>0</v>
      </c>
      <c r="AD383">
        <v>1675</v>
      </c>
      <c r="AE383">
        <v>5.6</v>
      </c>
      <c r="AG383" t="s">
        <v>4650</v>
      </c>
      <c r="AI383" t="s">
        <v>5704</v>
      </c>
      <c r="AJ383">
        <v>300</v>
      </c>
      <c r="AL383">
        <v>2</v>
      </c>
      <c r="AM383">
        <v>1</v>
      </c>
      <c r="AN383">
        <v>84.39</v>
      </c>
      <c r="AR383" t="s">
        <v>6290</v>
      </c>
      <c r="AS383" t="s">
        <v>6298</v>
      </c>
      <c r="AT383">
        <v>18000</v>
      </c>
      <c r="AX383" t="s">
        <v>6407</v>
      </c>
      <c r="BA383" t="s">
        <v>6473</v>
      </c>
      <c r="BD383" t="s">
        <v>227</v>
      </c>
      <c r="BE383" t="s">
        <v>6702</v>
      </c>
    </row>
    <row r="384" spans="1:57">
      <c r="A384" s="1">
        <f>HYPERLINK("https://lsnyc.legalserver.org/matter/dynamic-profile/view/1913405","19-1913405")</f>
        <v>0</v>
      </c>
      <c r="B384" t="s">
        <v>58</v>
      </c>
      <c r="C384" t="s">
        <v>118</v>
      </c>
      <c r="D384" t="s">
        <v>214</v>
      </c>
      <c r="E384" t="s">
        <v>316</v>
      </c>
      <c r="G384" t="s">
        <v>903</v>
      </c>
      <c r="H384" t="s">
        <v>1625</v>
      </c>
      <c r="J384" t="s">
        <v>2413</v>
      </c>
      <c r="K384" t="s">
        <v>3161</v>
      </c>
      <c r="L384" t="s">
        <v>3332</v>
      </c>
      <c r="M384" t="s">
        <v>3379</v>
      </c>
      <c r="N384">
        <v>11223</v>
      </c>
      <c r="O384" t="s">
        <v>3381</v>
      </c>
      <c r="P384" t="s">
        <v>3381</v>
      </c>
      <c r="S384">
        <v>0</v>
      </c>
      <c r="U384" t="s">
        <v>4225</v>
      </c>
      <c r="W384" t="s">
        <v>4240</v>
      </c>
      <c r="X384" t="s">
        <v>3382</v>
      </c>
      <c r="AA384" t="s">
        <v>4256</v>
      </c>
      <c r="AC384">
        <v>0</v>
      </c>
      <c r="AD384">
        <v>0</v>
      </c>
      <c r="AE384">
        <v>1.4</v>
      </c>
      <c r="AG384" t="s">
        <v>4651</v>
      </c>
      <c r="AI384" t="s">
        <v>5705</v>
      </c>
      <c r="AJ384">
        <v>0</v>
      </c>
      <c r="AL384">
        <v>2</v>
      </c>
      <c r="AM384">
        <v>0</v>
      </c>
      <c r="AN384">
        <v>24.48</v>
      </c>
      <c r="AS384" t="s">
        <v>6299</v>
      </c>
      <c r="AT384">
        <v>4140</v>
      </c>
      <c r="AX384" t="s">
        <v>118</v>
      </c>
      <c r="BA384" t="s">
        <v>6491</v>
      </c>
      <c r="BD384" t="s">
        <v>316</v>
      </c>
    </row>
    <row r="385" spans="1:57">
      <c r="A385" s="1">
        <f>HYPERLINK("https://lsnyc.legalserver.org/matter/dynamic-profile/view/1907127","19-1907127")</f>
        <v>0</v>
      </c>
      <c r="B385" t="s">
        <v>58</v>
      </c>
      <c r="C385" t="s">
        <v>118</v>
      </c>
      <c r="D385" t="s">
        <v>214</v>
      </c>
      <c r="E385" t="s">
        <v>366</v>
      </c>
      <c r="G385" t="s">
        <v>904</v>
      </c>
      <c r="H385" t="s">
        <v>1279</v>
      </c>
      <c r="J385" t="s">
        <v>2414</v>
      </c>
      <c r="K385" t="s">
        <v>3162</v>
      </c>
      <c r="L385" t="s">
        <v>3332</v>
      </c>
      <c r="M385" t="s">
        <v>3379</v>
      </c>
      <c r="N385">
        <v>11213</v>
      </c>
      <c r="O385" t="s">
        <v>3381</v>
      </c>
      <c r="P385" t="s">
        <v>3381</v>
      </c>
      <c r="Q385" t="s">
        <v>3383</v>
      </c>
      <c r="S385">
        <v>50</v>
      </c>
      <c r="T385" t="s">
        <v>4196</v>
      </c>
      <c r="U385" t="s">
        <v>4226</v>
      </c>
      <c r="W385" t="s">
        <v>4240</v>
      </c>
      <c r="X385" t="s">
        <v>3382</v>
      </c>
      <c r="AA385" t="s">
        <v>4256</v>
      </c>
      <c r="AC385">
        <v>0</v>
      </c>
      <c r="AD385">
        <v>637.45</v>
      </c>
      <c r="AE385">
        <v>6.7</v>
      </c>
      <c r="AG385" t="s">
        <v>4652</v>
      </c>
      <c r="AI385" t="s">
        <v>5706</v>
      </c>
      <c r="AJ385">
        <v>7</v>
      </c>
      <c r="AL385">
        <v>1</v>
      </c>
      <c r="AM385">
        <v>0</v>
      </c>
      <c r="AN385">
        <v>28.82</v>
      </c>
      <c r="AR385" t="s">
        <v>6293</v>
      </c>
      <c r="AS385" t="s">
        <v>6298</v>
      </c>
      <c r="AT385">
        <v>3600</v>
      </c>
      <c r="AX385" t="s">
        <v>6407</v>
      </c>
      <c r="BA385" t="s">
        <v>6499</v>
      </c>
      <c r="BD385" t="s">
        <v>253</v>
      </c>
    </row>
    <row r="386" spans="1:57">
      <c r="A386" s="1">
        <f>HYPERLINK("https://lsnyc.legalserver.org/matter/dynamic-profile/view/1907411","19-1907411")</f>
        <v>0</v>
      </c>
      <c r="B386" t="s">
        <v>58</v>
      </c>
      <c r="C386" t="s">
        <v>118</v>
      </c>
      <c r="D386" t="s">
        <v>214</v>
      </c>
      <c r="E386" t="s">
        <v>292</v>
      </c>
      <c r="G386" t="s">
        <v>905</v>
      </c>
      <c r="H386" t="s">
        <v>1626</v>
      </c>
      <c r="J386" t="s">
        <v>2415</v>
      </c>
      <c r="K386" t="s">
        <v>3163</v>
      </c>
      <c r="L386" t="s">
        <v>3332</v>
      </c>
      <c r="M386" t="s">
        <v>3379</v>
      </c>
      <c r="N386">
        <v>11207</v>
      </c>
      <c r="O386" t="s">
        <v>3382</v>
      </c>
      <c r="P386" t="s">
        <v>3381</v>
      </c>
      <c r="S386">
        <v>1</v>
      </c>
      <c r="T386" t="s">
        <v>4203</v>
      </c>
      <c r="U386" t="s">
        <v>4225</v>
      </c>
      <c r="W386" t="s">
        <v>4240</v>
      </c>
      <c r="X386" t="s">
        <v>3382</v>
      </c>
      <c r="AA386" t="s">
        <v>4256</v>
      </c>
      <c r="AC386">
        <v>0</v>
      </c>
      <c r="AD386">
        <v>278</v>
      </c>
      <c r="AE386">
        <v>0</v>
      </c>
      <c r="AG386" t="s">
        <v>4653</v>
      </c>
      <c r="AI386" t="s">
        <v>5707</v>
      </c>
      <c r="AJ386">
        <v>0</v>
      </c>
      <c r="AL386">
        <v>2</v>
      </c>
      <c r="AM386">
        <v>1</v>
      </c>
      <c r="AN386">
        <v>62.73</v>
      </c>
      <c r="AS386" t="s">
        <v>6298</v>
      </c>
      <c r="AT386">
        <v>13380</v>
      </c>
      <c r="AX386" t="s">
        <v>118</v>
      </c>
      <c r="BA386" t="s">
        <v>6543</v>
      </c>
    </row>
    <row r="387" spans="1:57">
      <c r="A387" s="1">
        <f>HYPERLINK("https://lsnyc.legalserver.org/matter/dynamic-profile/view/1898680","19-1898680")</f>
        <v>0</v>
      </c>
      <c r="B387" t="s">
        <v>58</v>
      </c>
      <c r="C387" t="s">
        <v>118</v>
      </c>
      <c r="D387" t="s">
        <v>214</v>
      </c>
      <c r="E387" t="s">
        <v>367</v>
      </c>
      <c r="G387" t="s">
        <v>906</v>
      </c>
      <c r="H387" t="s">
        <v>1627</v>
      </c>
      <c r="J387" t="s">
        <v>2416</v>
      </c>
      <c r="K387" t="s">
        <v>3000</v>
      </c>
      <c r="L387" t="s">
        <v>3332</v>
      </c>
      <c r="M387" t="s">
        <v>3379</v>
      </c>
      <c r="N387">
        <v>11206</v>
      </c>
      <c r="O387" t="s">
        <v>3381</v>
      </c>
      <c r="P387" t="s">
        <v>3381</v>
      </c>
      <c r="Q387" t="s">
        <v>3383</v>
      </c>
      <c r="R387" t="s">
        <v>3721</v>
      </c>
      <c r="S387">
        <v>2</v>
      </c>
      <c r="T387" t="s">
        <v>4196</v>
      </c>
      <c r="U387" t="s">
        <v>4223</v>
      </c>
      <c r="W387" t="s">
        <v>4240</v>
      </c>
      <c r="X387" t="s">
        <v>3382</v>
      </c>
      <c r="AA387" t="s">
        <v>4258</v>
      </c>
      <c r="AC387">
        <v>0</v>
      </c>
      <c r="AD387">
        <v>0</v>
      </c>
      <c r="AE387">
        <v>8.800000000000001</v>
      </c>
      <c r="AG387" t="s">
        <v>4654</v>
      </c>
      <c r="AI387" t="s">
        <v>5708</v>
      </c>
      <c r="AJ387">
        <v>100</v>
      </c>
      <c r="AL387">
        <v>1</v>
      </c>
      <c r="AM387">
        <v>0</v>
      </c>
      <c r="AN387">
        <v>72.06</v>
      </c>
      <c r="AS387" t="s">
        <v>6298</v>
      </c>
      <c r="AT387">
        <v>9000</v>
      </c>
      <c r="AX387" t="s">
        <v>6407</v>
      </c>
      <c r="BA387" t="s">
        <v>6485</v>
      </c>
      <c r="BD387" t="s">
        <v>341</v>
      </c>
    </row>
    <row r="388" spans="1:57">
      <c r="A388" s="1">
        <f>HYPERLINK("https://lsnyc.legalserver.org/matter/dynamic-profile/view/1906845","19-1906845")</f>
        <v>0</v>
      </c>
      <c r="B388" t="s">
        <v>58</v>
      </c>
      <c r="C388" t="s">
        <v>118</v>
      </c>
      <c r="D388" t="s">
        <v>214</v>
      </c>
      <c r="E388" t="s">
        <v>247</v>
      </c>
      <c r="G388" t="s">
        <v>906</v>
      </c>
      <c r="H388" t="s">
        <v>1627</v>
      </c>
      <c r="J388" t="s">
        <v>2416</v>
      </c>
      <c r="L388" t="s">
        <v>3332</v>
      </c>
      <c r="M388" t="s">
        <v>3379</v>
      </c>
      <c r="N388">
        <v>11206</v>
      </c>
      <c r="O388" t="s">
        <v>3382</v>
      </c>
      <c r="P388" t="s">
        <v>3381</v>
      </c>
      <c r="Q388" t="s">
        <v>3383</v>
      </c>
      <c r="S388">
        <v>2</v>
      </c>
      <c r="U388" t="s">
        <v>4226</v>
      </c>
      <c r="W388" t="s">
        <v>4240</v>
      </c>
      <c r="X388" t="s">
        <v>3382</v>
      </c>
      <c r="AA388" t="s">
        <v>4258</v>
      </c>
      <c r="AC388">
        <v>0</v>
      </c>
      <c r="AD388">
        <v>0</v>
      </c>
      <c r="AE388">
        <v>9.300000000000001</v>
      </c>
      <c r="AG388" t="s">
        <v>4654</v>
      </c>
      <c r="AI388" t="s">
        <v>5708</v>
      </c>
      <c r="AJ388">
        <v>100</v>
      </c>
      <c r="AL388">
        <v>1</v>
      </c>
      <c r="AM388">
        <v>0</v>
      </c>
      <c r="AN388">
        <v>72.06</v>
      </c>
      <c r="AS388" t="s">
        <v>6298</v>
      </c>
      <c r="AT388">
        <v>9000</v>
      </c>
      <c r="AX388" t="s">
        <v>6407</v>
      </c>
      <c r="BA388" t="s">
        <v>6485</v>
      </c>
      <c r="BD388" t="s">
        <v>228</v>
      </c>
    </row>
    <row r="389" spans="1:57">
      <c r="A389" s="1">
        <f>HYPERLINK("https://lsnyc.legalserver.org/matter/dynamic-profile/view/1910986","19-1910986")</f>
        <v>0</v>
      </c>
      <c r="B389" t="s">
        <v>58</v>
      </c>
      <c r="C389" t="s">
        <v>118</v>
      </c>
      <c r="D389" t="s">
        <v>214</v>
      </c>
      <c r="E389" t="s">
        <v>234</v>
      </c>
      <c r="G389" t="s">
        <v>907</v>
      </c>
      <c r="H389" t="s">
        <v>1628</v>
      </c>
      <c r="J389" t="s">
        <v>2417</v>
      </c>
      <c r="K389" t="s">
        <v>3164</v>
      </c>
      <c r="L389" t="s">
        <v>3332</v>
      </c>
      <c r="M389" t="s">
        <v>3379</v>
      </c>
      <c r="N389">
        <v>11205</v>
      </c>
      <c r="O389" t="s">
        <v>3381</v>
      </c>
      <c r="P389" t="s">
        <v>3381</v>
      </c>
      <c r="Q389" t="s">
        <v>3383</v>
      </c>
      <c r="S389">
        <v>8</v>
      </c>
      <c r="T389" t="s">
        <v>4196</v>
      </c>
      <c r="U389" t="s">
        <v>4223</v>
      </c>
      <c r="W389" t="s">
        <v>4240</v>
      </c>
      <c r="X389" t="s">
        <v>3382</v>
      </c>
      <c r="AA389" t="s">
        <v>4256</v>
      </c>
      <c r="AC389">
        <v>0</v>
      </c>
      <c r="AD389">
        <v>1835</v>
      </c>
      <c r="AE389">
        <v>6.3</v>
      </c>
      <c r="AG389" t="s">
        <v>4655</v>
      </c>
      <c r="AI389" t="s">
        <v>5709</v>
      </c>
      <c r="AJ389">
        <v>80</v>
      </c>
      <c r="AL389">
        <v>1</v>
      </c>
      <c r="AM389">
        <v>0</v>
      </c>
      <c r="AN389">
        <v>105.68</v>
      </c>
      <c r="AS389" t="s">
        <v>6298</v>
      </c>
      <c r="AT389">
        <v>13200</v>
      </c>
      <c r="AX389" t="s">
        <v>6407</v>
      </c>
      <c r="BA389" t="s">
        <v>3391</v>
      </c>
      <c r="BD389" t="s">
        <v>227</v>
      </c>
    </row>
    <row r="390" spans="1:57">
      <c r="A390" s="1">
        <f>HYPERLINK("https://lsnyc.legalserver.org/matter/dynamic-profile/view/1907405","19-1907405")</f>
        <v>0</v>
      </c>
      <c r="B390" t="s">
        <v>58</v>
      </c>
      <c r="C390" t="s">
        <v>118</v>
      </c>
      <c r="D390" t="s">
        <v>214</v>
      </c>
      <c r="E390" t="s">
        <v>292</v>
      </c>
      <c r="G390" t="s">
        <v>614</v>
      </c>
      <c r="H390" t="s">
        <v>1629</v>
      </c>
      <c r="J390" t="s">
        <v>2418</v>
      </c>
      <c r="K390" t="s">
        <v>3149</v>
      </c>
      <c r="L390" t="s">
        <v>3332</v>
      </c>
      <c r="M390" t="s">
        <v>3379</v>
      </c>
      <c r="N390">
        <v>11204</v>
      </c>
      <c r="O390" t="s">
        <v>3381</v>
      </c>
      <c r="P390" t="s">
        <v>3381</v>
      </c>
      <c r="Q390" t="s">
        <v>3385</v>
      </c>
      <c r="S390">
        <v>5</v>
      </c>
      <c r="T390" t="s">
        <v>4197</v>
      </c>
      <c r="U390" t="s">
        <v>4225</v>
      </c>
      <c r="W390" t="s">
        <v>4240</v>
      </c>
      <c r="X390" t="s">
        <v>3382</v>
      </c>
      <c r="AA390" t="s">
        <v>4256</v>
      </c>
      <c r="AC390">
        <v>0</v>
      </c>
      <c r="AD390">
        <v>1900</v>
      </c>
      <c r="AE390">
        <v>0</v>
      </c>
      <c r="AG390" t="s">
        <v>4656</v>
      </c>
      <c r="AI390" t="s">
        <v>5710</v>
      </c>
      <c r="AJ390">
        <v>2</v>
      </c>
      <c r="AL390">
        <v>3</v>
      </c>
      <c r="AM390">
        <v>2</v>
      </c>
      <c r="AN390">
        <v>0</v>
      </c>
      <c r="AS390" t="s">
        <v>6299</v>
      </c>
      <c r="AT390">
        <v>0</v>
      </c>
      <c r="AX390" t="s">
        <v>118</v>
      </c>
      <c r="BA390" t="s">
        <v>6479</v>
      </c>
    </row>
    <row r="391" spans="1:57">
      <c r="A391" s="1">
        <f>HYPERLINK("https://lsnyc.legalserver.org/matter/dynamic-profile/view/1887531","19-1887531")</f>
        <v>0</v>
      </c>
      <c r="B391" t="s">
        <v>58</v>
      </c>
      <c r="C391" t="s">
        <v>118</v>
      </c>
      <c r="D391" t="s">
        <v>214</v>
      </c>
      <c r="E391" t="s">
        <v>368</v>
      </c>
      <c r="G391" t="s">
        <v>908</v>
      </c>
      <c r="H391" t="s">
        <v>1630</v>
      </c>
      <c r="J391" t="s">
        <v>2419</v>
      </c>
      <c r="K391" t="s">
        <v>3007</v>
      </c>
      <c r="L391" t="s">
        <v>3332</v>
      </c>
      <c r="M391" t="s">
        <v>3379</v>
      </c>
      <c r="N391">
        <v>11203</v>
      </c>
      <c r="O391" t="s">
        <v>3381</v>
      </c>
      <c r="P391" t="s">
        <v>3381</v>
      </c>
      <c r="Q391" t="s">
        <v>3383</v>
      </c>
      <c r="R391" t="s">
        <v>3722</v>
      </c>
      <c r="S391">
        <v>40</v>
      </c>
      <c r="T391" t="s">
        <v>4196</v>
      </c>
      <c r="U391" t="s">
        <v>4223</v>
      </c>
      <c r="W391" t="s">
        <v>4240</v>
      </c>
      <c r="X391" t="s">
        <v>3382</v>
      </c>
      <c r="AA391" t="s">
        <v>4256</v>
      </c>
      <c r="AC391">
        <v>0</v>
      </c>
      <c r="AD391">
        <v>932.1799999999999</v>
      </c>
      <c r="AE391">
        <v>17</v>
      </c>
      <c r="AG391" t="s">
        <v>4657</v>
      </c>
      <c r="AJ391">
        <v>48</v>
      </c>
      <c r="AL391">
        <v>2</v>
      </c>
      <c r="AM391">
        <v>2</v>
      </c>
      <c r="AN391">
        <v>125.5</v>
      </c>
      <c r="AS391" t="s">
        <v>6298</v>
      </c>
      <c r="AT391">
        <v>31500</v>
      </c>
      <c r="AX391" t="s">
        <v>6410</v>
      </c>
      <c r="BA391" t="s">
        <v>6515</v>
      </c>
      <c r="BD391" t="s">
        <v>277</v>
      </c>
    </row>
    <row r="392" spans="1:57">
      <c r="A392" s="1">
        <f>HYPERLINK("https://lsnyc.legalserver.org/matter/dynamic-profile/view/1899972","19-1899972")</f>
        <v>0</v>
      </c>
      <c r="B392" t="s">
        <v>58</v>
      </c>
      <c r="C392" t="s">
        <v>118</v>
      </c>
      <c r="D392" t="s">
        <v>214</v>
      </c>
      <c r="E392" t="s">
        <v>255</v>
      </c>
      <c r="G392" t="s">
        <v>726</v>
      </c>
      <c r="H392" t="s">
        <v>1631</v>
      </c>
      <c r="J392" t="s">
        <v>2420</v>
      </c>
      <c r="K392" t="s">
        <v>3165</v>
      </c>
      <c r="L392" t="s">
        <v>3332</v>
      </c>
      <c r="M392" t="s">
        <v>3379</v>
      </c>
      <c r="N392">
        <v>11203</v>
      </c>
      <c r="O392" t="s">
        <v>3381</v>
      </c>
      <c r="P392" t="s">
        <v>3381</v>
      </c>
      <c r="Q392" t="s">
        <v>3386</v>
      </c>
      <c r="S392">
        <v>8</v>
      </c>
      <c r="T392" t="s">
        <v>4196</v>
      </c>
      <c r="U392" t="s">
        <v>4223</v>
      </c>
      <c r="W392" t="s">
        <v>4240</v>
      </c>
      <c r="X392" t="s">
        <v>3382</v>
      </c>
      <c r="AA392" t="s">
        <v>4256</v>
      </c>
      <c r="AC392">
        <v>0</v>
      </c>
      <c r="AD392">
        <v>1450</v>
      </c>
      <c r="AE392">
        <v>15.4</v>
      </c>
      <c r="AG392" t="s">
        <v>4658</v>
      </c>
      <c r="AI392" t="s">
        <v>5711</v>
      </c>
      <c r="AJ392">
        <v>59</v>
      </c>
      <c r="AK392" t="s">
        <v>6267</v>
      </c>
      <c r="AL392">
        <v>1</v>
      </c>
      <c r="AM392">
        <v>0</v>
      </c>
      <c r="AN392">
        <v>78.78</v>
      </c>
      <c r="AS392" t="s">
        <v>6298</v>
      </c>
      <c r="AT392">
        <v>9840</v>
      </c>
      <c r="AX392" t="s">
        <v>6407</v>
      </c>
      <c r="BA392" t="s">
        <v>6499</v>
      </c>
      <c r="BD392" t="s">
        <v>249</v>
      </c>
    </row>
    <row r="393" spans="1:57">
      <c r="A393" s="1">
        <f>HYPERLINK("https://lsnyc.legalserver.org/matter/dynamic-profile/view/1903855","19-1903855")</f>
        <v>0</v>
      </c>
      <c r="B393" t="s">
        <v>58</v>
      </c>
      <c r="C393" t="s">
        <v>119</v>
      </c>
      <c r="D393" t="s">
        <v>215</v>
      </c>
      <c r="E393" t="s">
        <v>339</v>
      </c>
      <c r="F393" t="s">
        <v>218</v>
      </c>
      <c r="G393" t="s">
        <v>909</v>
      </c>
      <c r="H393" t="s">
        <v>1632</v>
      </c>
      <c r="J393" t="s">
        <v>2421</v>
      </c>
      <c r="K393" t="s">
        <v>3166</v>
      </c>
      <c r="L393" t="s">
        <v>3332</v>
      </c>
      <c r="M393" t="s">
        <v>3379</v>
      </c>
      <c r="N393">
        <v>11225</v>
      </c>
      <c r="O393" t="s">
        <v>3381</v>
      </c>
      <c r="P393" t="s">
        <v>3381</v>
      </c>
      <c r="R393" t="s">
        <v>3723</v>
      </c>
      <c r="S393">
        <v>1</v>
      </c>
      <c r="T393" t="s">
        <v>4197</v>
      </c>
      <c r="U393" t="s">
        <v>4225</v>
      </c>
      <c r="V393" t="s">
        <v>4232</v>
      </c>
      <c r="W393" t="s">
        <v>4241</v>
      </c>
      <c r="X393" t="s">
        <v>3382</v>
      </c>
      <c r="AA393" t="s">
        <v>4256</v>
      </c>
      <c r="AC393">
        <v>0</v>
      </c>
      <c r="AD393">
        <v>176</v>
      </c>
      <c r="AE393">
        <v>24.15</v>
      </c>
      <c r="AF393" t="s">
        <v>4275</v>
      </c>
      <c r="AG393" t="s">
        <v>4659</v>
      </c>
      <c r="AI393" t="s">
        <v>5712</v>
      </c>
      <c r="AJ393">
        <v>4</v>
      </c>
      <c r="AL393">
        <v>1</v>
      </c>
      <c r="AM393">
        <v>0</v>
      </c>
      <c r="AN393">
        <v>33.63</v>
      </c>
      <c r="AS393" t="s">
        <v>6298</v>
      </c>
      <c r="AT393">
        <v>4200</v>
      </c>
      <c r="AX393" t="s">
        <v>6407</v>
      </c>
      <c r="BA393" t="s">
        <v>6499</v>
      </c>
      <c r="BD393" t="s">
        <v>237</v>
      </c>
    </row>
    <row r="394" spans="1:57">
      <c r="A394" s="1">
        <f>HYPERLINK("https://lsnyc.legalserver.org/matter/dynamic-profile/view/1875621","18-1875621")</f>
        <v>0</v>
      </c>
      <c r="B394" t="s">
        <v>58</v>
      </c>
      <c r="C394" t="s">
        <v>119</v>
      </c>
      <c r="D394" t="s">
        <v>214</v>
      </c>
      <c r="E394" t="s">
        <v>369</v>
      </c>
      <c r="G394" t="s">
        <v>910</v>
      </c>
      <c r="H394" t="s">
        <v>1633</v>
      </c>
      <c r="J394" t="s">
        <v>2422</v>
      </c>
      <c r="K394" t="s">
        <v>3013</v>
      </c>
      <c r="L394" t="s">
        <v>3332</v>
      </c>
      <c r="M394" t="s">
        <v>3379</v>
      </c>
      <c r="N394">
        <v>11208</v>
      </c>
      <c r="O394" t="s">
        <v>3381</v>
      </c>
      <c r="P394" t="s">
        <v>3381</v>
      </c>
      <c r="R394" t="s">
        <v>3724</v>
      </c>
      <c r="S394">
        <v>3</v>
      </c>
      <c r="T394" t="s">
        <v>4199</v>
      </c>
      <c r="U394" t="s">
        <v>4223</v>
      </c>
      <c r="W394" t="s">
        <v>4240</v>
      </c>
      <c r="X394" t="s">
        <v>3382</v>
      </c>
      <c r="AA394" t="s">
        <v>4256</v>
      </c>
      <c r="AC394">
        <v>600</v>
      </c>
      <c r="AD394">
        <v>600</v>
      </c>
      <c r="AE394">
        <v>8.4</v>
      </c>
      <c r="AG394" t="s">
        <v>4660</v>
      </c>
      <c r="AI394" t="s">
        <v>5713</v>
      </c>
      <c r="AJ394">
        <v>9</v>
      </c>
      <c r="AL394">
        <v>1</v>
      </c>
      <c r="AM394">
        <v>0</v>
      </c>
      <c r="AN394">
        <v>149.92</v>
      </c>
      <c r="AQ394" t="s">
        <v>6287</v>
      </c>
      <c r="AS394" t="s">
        <v>6298</v>
      </c>
      <c r="AT394">
        <v>18200</v>
      </c>
      <c r="AX394" t="s">
        <v>6409</v>
      </c>
      <c r="BA394" t="s">
        <v>6477</v>
      </c>
      <c r="BD394" t="s">
        <v>268</v>
      </c>
    </row>
    <row r="395" spans="1:57">
      <c r="A395" s="1">
        <f>HYPERLINK("https://lsnyc.legalserver.org/matter/dynamic-profile/view/1913178","19-1913178")</f>
        <v>0</v>
      </c>
      <c r="B395" t="s">
        <v>58</v>
      </c>
      <c r="C395" t="s">
        <v>119</v>
      </c>
      <c r="D395" t="s">
        <v>214</v>
      </c>
      <c r="E395" t="s">
        <v>259</v>
      </c>
      <c r="G395" t="s">
        <v>911</v>
      </c>
      <c r="H395" t="s">
        <v>1349</v>
      </c>
      <c r="J395" t="s">
        <v>2423</v>
      </c>
      <c r="K395" t="s">
        <v>3015</v>
      </c>
      <c r="L395" t="s">
        <v>3332</v>
      </c>
      <c r="M395" t="s">
        <v>3379</v>
      </c>
      <c r="N395">
        <v>11206</v>
      </c>
      <c r="O395" t="s">
        <v>3381</v>
      </c>
      <c r="P395" t="s">
        <v>3381</v>
      </c>
      <c r="S395">
        <v>20</v>
      </c>
      <c r="T395" t="s">
        <v>4210</v>
      </c>
      <c r="W395" t="s">
        <v>4240</v>
      </c>
      <c r="X395" t="s">
        <v>3382</v>
      </c>
      <c r="AA395" t="s">
        <v>4257</v>
      </c>
      <c r="AC395">
        <v>0</v>
      </c>
      <c r="AD395">
        <v>261</v>
      </c>
      <c r="AE395">
        <v>5.2</v>
      </c>
      <c r="AG395" t="s">
        <v>4661</v>
      </c>
      <c r="AI395" t="s">
        <v>5714</v>
      </c>
      <c r="AJ395">
        <v>488</v>
      </c>
      <c r="AL395">
        <v>1</v>
      </c>
      <c r="AM395">
        <v>0</v>
      </c>
      <c r="AN395">
        <v>0</v>
      </c>
      <c r="AR395" t="s">
        <v>5312</v>
      </c>
      <c r="AS395" t="s">
        <v>6298</v>
      </c>
      <c r="AT395">
        <v>0</v>
      </c>
      <c r="AX395" t="s">
        <v>6409</v>
      </c>
      <c r="BA395" t="s">
        <v>6479</v>
      </c>
      <c r="BD395" t="s">
        <v>249</v>
      </c>
    </row>
    <row r="396" spans="1:57">
      <c r="A396" s="1">
        <f>HYPERLINK("https://lsnyc.legalserver.org/matter/dynamic-profile/view/1896882","19-1896882")</f>
        <v>0</v>
      </c>
      <c r="B396" t="s">
        <v>58</v>
      </c>
      <c r="C396" t="s">
        <v>120</v>
      </c>
      <c r="D396" t="s">
        <v>214</v>
      </c>
      <c r="E396" t="s">
        <v>370</v>
      </c>
      <c r="G396" t="s">
        <v>912</v>
      </c>
      <c r="H396" t="s">
        <v>1207</v>
      </c>
      <c r="J396" t="s">
        <v>2424</v>
      </c>
      <c r="K396" t="s">
        <v>3167</v>
      </c>
      <c r="L396" t="s">
        <v>3332</v>
      </c>
      <c r="M396" t="s">
        <v>3379</v>
      </c>
      <c r="N396">
        <v>11225</v>
      </c>
      <c r="O396" t="s">
        <v>3382</v>
      </c>
      <c r="P396" t="s">
        <v>3382</v>
      </c>
      <c r="Q396" t="s">
        <v>3386</v>
      </c>
      <c r="R396" t="s">
        <v>3725</v>
      </c>
      <c r="S396">
        <v>21</v>
      </c>
      <c r="T396" t="s">
        <v>4196</v>
      </c>
      <c r="U396" t="s">
        <v>4223</v>
      </c>
      <c r="W396" t="s">
        <v>4241</v>
      </c>
      <c r="X396" t="s">
        <v>3382</v>
      </c>
      <c r="AA396" t="s">
        <v>4256</v>
      </c>
      <c r="AC396">
        <v>0</v>
      </c>
      <c r="AD396">
        <v>975.76</v>
      </c>
      <c r="AE396">
        <v>6.4</v>
      </c>
      <c r="AG396" t="s">
        <v>4662</v>
      </c>
      <c r="AI396" t="s">
        <v>5715</v>
      </c>
      <c r="AJ396">
        <v>60</v>
      </c>
      <c r="AK396" t="s">
        <v>6267</v>
      </c>
      <c r="AL396">
        <v>1</v>
      </c>
      <c r="AM396">
        <v>3</v>
      </c>
      <c r="AN396">
        <v>0</v>
      </c>
      <c r="AR396" t="s">
        <v>6289</v>
      </c>
      <c r="AS396" t="s">
        <v>6298</v>
      </c>
      <c r="AT396">
        <v>0</v>
      </c>
      <c r="AX396" t="s">
        <v>6409</v>
      </c>
      <c r="BA396" t="s">
        <v>6479</v>
      </c>
      <c r="BD396" t="s">
        <v>263</v>
      </c>
    </row>
    <row r="397" spans="1:57">
      <c r="A397" s="1">
        <f>HYPERLINK("https://lsnyc.legalserver.org/matter/dynamic-profile/view/1909083","19-1909083")</f>
        <v>0</v>
      </c>
      <c r="B397" t="s">
        <v>58</v>
      </c>
      <c r="C397" t="s">
        <v>120</v>
      </c>
      <c r="D397" t="s">
        <v>214</v>
      </c>
      <c r="E397" t="s">
        <v>271</v>
      </c>
      <c r="G397" t="s">
        <v>912</v>
      </c>
      <c r="H397" t="s">
        <v>1207</v>
      </c>
      <c r="J397" t="s">
        <v>2424</v>
      </c>
      <c r="K397" t="s">
        <v>3167</v>
      </c>
      <c r="L397" t="s">
        <v>3332</v>
      </c>
      <c r="M397" t="s">
        <v>3379</v>
      </c>
      <c r="N397">
        <v>11225</v>
      </c>
      <c r="O397" t="s">
        <v>3381</v>
      </c>
      <c r="P397" t="s">
        <v>3381</v>
      </c>
      <c r="Q397" t="s">
        <v>3386</v>
      </c>
      <c r="R397" t="s">
        <v>3726</v>
      </c>
      <c r="S397">
        <v>21</v>
      </c>
      <c r="T397" t="s">
        <v>4196</v>
      </c>
      <c r="U397" t="s">
        <v>4223</v>
      </c>
      <c r="W397" t="s">
        <v>4241</v>
      </c>
      <c r="X397" t="s">
        <v>3382</v>
      </c>
      <c r="Y397" t="s">
        <v>3382</v>
      </c>
      <c r="AA397" t="s">
        <v>4256</v>
      </c>
      <c r="AB397" t="s">
        <v>4261</v>
      </c>
      <c r="AC397">
        <v>0</v>
      </c>
      <c r="AD397">
        <v>975.76</v>
      </c>
      <c r="AE397">
        <v>0.2</v>
      </c>
      <c r="AG397" t="s">
        <v>4662</v>
      </c>
      <c r="AI397" t="s">
        <v>5715</v>
      </c>
      <c r="AJ397">
        <v>60</v>
      </c>
      <c r="AK397" t="s">
        <v>6267</v>
      </c>
      <c r="AL397">
        <v>1</v>
      </c>
      <c r="AM397">
        <v>3</v>
      </c>
      <c r="AN397">
        <v>0</v>
      </c>
      <c r="AS397" t="s">
        <v>6298</v>
      </c>
      <c r="AT397">
        <v>0</v>
      </c>
      <c r="AX397" t="s">
        <v>6416</v>
      </c>
      <c r="BA397" t="s">
        <v>6479</v>
      </c>
      <c r="BD397" t="s">
        <v>238</v>
      </c>
    </row>
    <row r="398" spans="1:57">
      <c r="A398" s="1">
        <f>HYPERLINK("https://lsnyc.legalserver.org/matter/dynamic-profile/view/1909495","19-1909495")</f>
        <v>0</v>
      </c>
      <c r="B398" t="s">
        <v>58</v>
      </c>
      <c r="C398" t="s">
        <v>120</v>
      </c>
      <c r="D398" t="s">
        <v>214</v>
      </c>
      <c r="E398" t="s">
        <v>304</v>
      </c>
      <c r="G398" t="s">
        <v>913</v>
      </c>
      <c r="H398" t="s">
        <v>1634</v>
      </c>
      <c r="J398" t="s">
        <v>2425</v>
      </c>
      <c r="K398">
        <v>207</v>
      </c>
      <c r="L398" t="s">
        <v>3332</v>
      </c>
      <c r="M398" t="s">
        <v>3379</v>
      </c>
      <c r="N398">
        <v>11221</v>
      </c>
      <c r="O398" t="s">
        <v>3380</v>
      </c>
      <c r="P398" t="s">
        <v>3381</v>
      </c>
      <c r="Q398" t="s">
        <v>3397</v>
      </c>
      <c r="R398" t="s">
        <v>3727</v>
      </c>
      <c r="S398">
        <v>0</v>
      </c>
      <c r="T398" t="s">
        <v>4199</v>
      </c>
      <c r="U398" t="s">
        <v>4225</v>
      </c>
      <c r="W398" t="s">
        <v>4240</v>
      </c>
      <c r="X398" t="s">
        <v>3382</v>
      </c>
      <c r="AA398" t="s">
        <v>4256</v>
      </c>
      <c r="AC398">
        <v>0</v>
      </c>
      <c r="AD398">
        <v>0</v>
      </c>
      <c r="AE398">
        <v>0</v>
      </c>
      <c r="AG398" t="s">
        <v>4383</v>
      </c>
      <c r="AI398" t="s">
        <v>5716</v>
      </c>
      <c r="AJ398">
        <v>0</v>
      </c>
      <c r="AL398">
        <v>3</v>
      </c>
      <c r="AM398">
        <v>1</v>
      </c>
      <c r="AN398">
        <v>160.54</v>
      </c>
      <c r="AS398" t="s">
        <v>6298</v>
      </c>
      <c r="AT398">
        <v>41340</v>
      </c>
      <c r="AX398" t="s">
        <v>6407</v>
      </c>
      <c r="BA398" t="s">
        <v>6477</v>
      </c>
      <c r="BE398" t="s">
        <v>6702</v>
      </c>
    </row>
    <row r="399" spans="1:57">
      <c r="A399" s="1">
        <f>HYPERLINK("https://lsnyc.legalserver.org/matter/dynamic-profile/view/1903910","19-1903910")</f>
        <v>0</v>
      </c>
      <c r="B399" t="s">
        <v>58</v>
      </c>
      <c r="C399" t="s">
        <v>120</v>
      </c>
      <c r="D399" t="s">
        <v>214</v>
      </c>
      <c r="E399" t="s">
        <v>339</v>
      </c>
      <c r="G399" t="s">
        <v>914</v>
      </c>
      <c r="H399" t="s">
        <v>1635</v>
      </c>
      <c r="J399" t="s">
        <v>2426</v>
      </c>
      <c r="K399" t="s">
        <v>2998</v>
      </c>
      <c r="L399" t="s">
        <v>3332</v>
      </c>
      <c r="M399" t="s">
        <v>3379</v>
      </c>
      <c r="N399">
        <v>11218</v>
      </c>
      <c r="O399" t="s">
        <v>3381</v>
      </c>
      <c r="P399" t="s">
        <v>3381</v>
      </c>
      <c r="Q399" t="s">
        <v>3386</v>
      </c>
      <c r="S399">
        <v>9</v>
      </c>
      <c r="T399" t="s">
        <v>4199</v>
      </c>
      <c r="U399" t="s">
        <v>4225</v>
      </c>
      <c r="W399" t="s">
        <v>4240</v>
      </c>
      <c r="X399" t="s">
        <v>3382</v>
      </c>
      <c r="AA399" t="s">
        <v>4256</v>
      </c>
      <c r="AC399">
        <v>0</v>
      </c>
      <c r="AD399">
        <v>1442</v>
      </c>
      <c r="AE399">
        <v>0.7</v>
      </c>
      <c r="AG399" t="s">
        <v>4663</v>
      </c>
      <c r="AH399" t="s">
        <v>5287</v>
      </c>
      <c r="AI399" t="s">
        <v>5717</v>
      </c>
      <c r="AJ399">
        <v>80</v>
      </c>
      <c r="AL399">
        <v>1</v>
      </c>
      <c r="AM399">
        <v>0</v>
      </c>
      <c r="AN399">
        <v>62.45</v>
      </c>
      <c r="AS399" t="s">
        <v>6298</v>
      </c>
      <c r="AT399">
        <v>7800</v>
      </c>
      <c r="AX399" t="s">
        <v>6407</v>
      </c>
      <c r="BA399" t="s">
        <v>6473</v>
      </c>
      <c r="BD399" t="s">
        <v>403</v>
      </c>
    </row>
    <row r="400" spans="1:57">
      <c r="A400" s="1">
        <f>HYPERLINK("https://lsnyc.legalserver.org/matter/dynamic-profile/view/1906636","19-1906636")</f>
        <v>0</v>
      </c>
      <c r="B400" t="s">
        <v>58</v>
      </c>
      <c r="C400" t="s">
        <v>120</v>
      </c>
      <c r="D400" t="s">
        <v>214</v>
      </c>
      <c r="E400" t="s">
        <v>340</v>
      </c>
      <c r="G400" t="s">
        <v>915</v>
      </c>
      <c r="H400" t="s">
        <v>1636</v>
      </c>
      <c r="J400" t="s">
        <v>2427</v>
      </c>
      <c r="K400" t="s">
        <v>3168</v>
      </c>
      <c r="L400" t="s">
        <v>3332</v>
      </c>
      <c r="M400" t="s">
        <v>3379</v>
      </c>
      <c r="N400">
        <v>11201</v>
      </c>
      <c r="O400" t="s">
        <v>3382</v>
      </c>
      <c r="P400" t="s">
        <v>3381</v>
      </c>
      <c r="Q400" t="s">
        <v>3383</v>
      </c>
      <c r="R400" t="s">
        <v>3728</v>
      </c>
      <c r="S400">
        <v>0</v>
      </c>
      <c r="T400" t="s">
        <v>4199</v>
      </c>
      <c r="U400" t="s">
        <v>4225</v>
      </c>
      <c r="W400" t="s">
        <v>4240</v>
      </c>
      <c r="X400" t="s">
        <v>3382</v>
      </c>
      <c r="AA400" t="s">
        <v>4258</v>
      </c>
      <c r="AC400">
        <v>0</v>
      </c>
      <c r="AD400">
        <v>449</v>
      </c>
      <c r="AE400">
        <v>0.6</v>
      </c>
      <c r="AG400" t="s">
        <v>4664</v>
      </c>
      <c r="AI400" t="s">
        <v>5718</v>
      </c>
      <c r="AJ400">
        <v>140</v>
      </c>
      <c r="AL400">
        <v>2</v>
      </c>
      <c r="AM400">
        <v>1</v>
      </c>
      <c r="AN400">
        <v>11.09</v>
      </c>
      <c r="AS400" t="s">
        <v>6298</v>
      </c>
      <c r="AT400">
        <v>2366</v>
      </c>
      <c r="AX400" t="s">
        <v>6410</v>
      </c>
      <c r="BA400" t="s">
        <v>6483</v>
      </c>
      <c r="BD400" t="s">
        <v>340</v>
      </c>
      <c r="BE400" t="s">
        <v>6702</v>
      </c>
    </row>
    <row r="401" spans="1:57">
      <c r="A401" s="1">
        <f>HYPERLINK("https://lsnyc.legalserver.org/matter/dynamic-profile/view/0755779","14-0755779")</f>
        <v>0</v>
      </c>
      <c r="B401" t="s">
        <v>58</v>
      </c>
      <c r="C401" t="s">
        <v>121</v>
      </c>
      <c r="D401" t="s">
        <v>214</v>
      </c>
      <c r="E401" t="s">
        <v>371</v>
      </c>
      <c r="G401" t="s">
        <v>916</v>
      </c>
      <c r="H401" t="s">
        <v>1637</v>
      </c>
      <c r="J401" t="s">
        <v>2428</v>
      </c>
      <c r="K401" t="s">
        <v>3122</v>
      </c>
      <c r="L401" t="s">
        <v>3332</v>
      </c>
      <c r="M401" t="s">
        <v>3379</v>
      </c>
      <c r="N401">
        <v>11237</v>
      </c>
      <c r="O401" t="s">
        <v>3382</v>
      </c>
      <c r="P401" t="s">
        <v>3381</v>
      </c>
      <c r="R401" t="s">
        <v>3729</v>
      </c>
      <c r="S401">
        <v>0</v>
      </c>
      <c r="T401" t="s">
        <v>4197</v>
      </c>
      <c r="U401" t="s">
        <v>4223</v>
      </c>
      <c r="W401" t="s">
        <v>4240</v>
      </c>
      <c r="X401" t="s">
        <v>3382</v>
      </c>
      <c r="AA401" t="s">
        <v>4256</v>
      </c>
      <c r="AC401">
        <v>0</v>
      </c>
      <c r="AD401">
        <v>0</v>
      </c>
      <c r="AE401">
        <v>102.35</v>
      </c>
      <c r="AG401" t="s">
        <v>4665</v>
      </c>
      <c r="AH401" t="s">
        <v>5288</v>
      </c>
      <c r="AI401" t="s">
        <v>5719</v>
      </c>
      <c r="AJ401">
        <v>0</v>
      </c>
      <c r="AL401">
        <v>4</v>
      </c>
      <c r="AM401">
        <v>3</v>
      </c>
      <c r="AN401">
        <v>86.59</v>
      </c>
      <c r="AS401" t="s">
        <v>6298</v>
      </c>
      <c r="AT401">
        <v>31200</v>
      </c>
      <c r="AW401" t="s">
        <v>6384</v>
      </c>
      <c r="AX401" t="s">
        <v>121</v>
      </c>
      <c r="BA401" t="s">
        <v>6544</v>
      </c>
      <c r="BD401" t="s">
        <v>316</v>
      </c>
    </row>
    <row r="402" spans="1:57">
      <c r="A402" s="1">
        <f>HYPERLINK("https://lsnyc.legalserver.org/matter/dynamic-profile/view/1888355","19-1888355")</f>
        <v>0</v>
      </c>
      <c r="B402" t="s">
        <v>58</v>
      </c>
      <c r="C402" t="s">
        <v>121</v>
      </c>
      <c r="D402" t="s">
        <v>214</v>
      </c>
      <c r="E402" t="s">
        <v>372</v>
      </c>
      <c r="G402" t="s">
        <v>877</v>
      </c>
      <c r="H402" t="s">
        <v>1638</v>
      </c>
      <c r="J402" t="s">
        <v>2429</v>
      </c>
      <c r="K402" t="s">
        <v>3082</v>
      </c>
      <c r="L402" t="s">
        <v>3332</v>
      </c>
      <c r="M402" t="s">
        <v>3379</v>
      </c>
      <c r="N402">
        <v>11230</v>
      </c>
      <c r="O402" t="s">
        <v>3381</v>
      </c>
      <c r="P402" t="s">
        <v>3380</v>
      </c>
      <c r="Q402" t="s">
        <v>3391</v>
      </c>
      <c r="R402" t="s">
        <v>3730</v>
      </c>
      <c r="S402">
        <v>2</v>
      </c>
      <c r="T402" t="s">
        <v>4196</v>
      </c>
      <c r="U402" t="s">
        <v>4225</v>
      </c>
      <c r="W402" t="s">
        <v>4240</v>
      </c>
      <c r="X402" t="s">
        <v>3382</v>
      </c>
      <c r="Y402" t="s">
        <v>3380</v>
      </c>
      <c r="AA402" t="s">
        <v>4256</v>
      </c>
      <c r="AC402">
        <v>0</v>
      </c>
      <c r="AD402">
        <v>1650</v>
      </c>
      <c r="AE402">
        <v>2.7</v>
      </c>
      <c r="AG402" t="s">
        <v>4666</v>
      </c>
      <c r="AH402" t="s">
        <v>3406</v>
      </c>
      <c r="AJ402">
        <v>65</v>
      </c>
      <c r="AK402" t="s">
        <v>6266</v>
      </c>
      <c r="AL402">
        <v>1</v>
      </c>
      <c r="AM402">
        <v>0</v>
      </c>
      <c r="AN402">
        <v>98.84999999999999</v>
      </c>
      <c r="AP402" t="s">
        <v>6283</v>
      </c>
      <c r="AQ402" t="s">
        <v>6287</v>
      </c>
      <c r="AR402" t="s">
        <v>5312</v>
      </c>
      <c r="AS402" t="s">
        <v>6298</v>
      </c>
      <c r="AT402">
        <v>12000</v>
      </c>
      <c r="AX402" t="s">
        <v>145</v>
      </c>
      <c r="BA402" t="s">
        <v>3391</v>
      </c>
      <c r="BD402" t="s">
        <v>404</v>
      </c>
    </row>
    <row r="403" spans="1:57">
      <c r="A403" s="1">
        <f>HYPERLINK("https://lsnyc.legalserver.org/matter/dynamic-profile/view/1887480","19-1887480")</f>
        <v>0</v>
      </c>
      <c r="B403" t="s">
        <v>58</v>
      </c>
      <c r="C403" t="s">
        <v>121</v>
      </c>
      <c r="D403" t="s">
        <v>214</v>
      </c>
      <c r="E403" t="s">
        <v>368</v>
      </c>
      <c r="G403" t="s">
        <v>890</v>
      </c>
      <c r="H403" t="s">
        <v>592</v>
      </c>
      <c r="J403" t="s">
        <v>2430</v>
      </c>
      <c r="K403" t="s">
        <v>3079</v>
      </c>
      <c r="L403" t="s">
        <v>3332</v>
      </c>
      <c r="M403" t="s">
        <v>3379</v>
      </c>
      <c r="N403">
        <v>11226</v>
      </c>
      <c r="O403" t="s">
        <v>3381</v>
      </c>
      <c r="P403" t="s">
        <v>3381</v>
      </c>
      <c r="Q403" t="s">
        <v>3386</v>
      </c>
      <c r="R403" t="s">
        <v>3731</v>
      </c>
      <c r="S403">
        <v>0</v>
      </c>
      <c r="T403" t="s">
        <v>4197</v>
      </c>
      <c r="U403" t="s">
        <v>4223</v>
      </c>
      <c r="W403" t="s">
        <v>4240</v>
      </c>
      <c r="X403" t="s">
        <v>3382</v>
      </c>
      <c r="AA403" t="s">
        <v>4256</v>
      </c>
      <c r="AB403" t="s">
        <v>4261</v>
      </c>
      <c r="AC403">
        <v>0</v>
      </c>
      <c r="AD403">
        <v>0</v>
      </c>
      <c r="AE403">
        <v>35.5</v>
      </c>
      <c r="AG403" t="s">
        <v>4667</v>
      </c>
      <c r="AI403" t="s">
        <v>5720</v>
      </c>
      <c r="AJ403">
        <v>52</v>
      </c>
      <c r="AL403">
        <v>2</v>
      </c>
      <c r="AM403">
        <v>1</v>
      </c>
      <c r="AN403">
        <v>0</v>
      </c>
      <c r="AS403" t="s">
        <v>6303</v>
      </c>
      <c r="AT403">
        <v>0</v>
      </c>
      <c r="AX403" t="s">
        <v>6417</v>
      </c>
      <c r="BA403" t="s">
        <v>6479</v>
      </c>
      <c r="BD403" t="s">
        <v>334</v>
      </c>
    </row>
    <row r="404" spans="1:57">
      <c r="A404" s="1">
        <f>HYPERLINK("https://lsnyc.legalserver.org/matter/dynamic-profile/view/1901641","19-1901641")</f>
        <v>0</v>
      </c>
      <c r="B404" t="s">
        <v>58</v>
      </c>
      <c r="C404" t="s">
        <v>121</v>
      </c>
      <c r="D404" t="s">
        <v>214</v>
      </c>
      <c r="E404" t="s">
        <v>325</v>
      </c>
      <c r="G404" t="s">
        <v>710</v>
      </c>
      <c r="H404" t="s">
        <v>1026</v>
      </c>
      <c r="J404" t="s">
        <v>2431</v>
      </c>
      <c r="K404" t="s">
        <v>3069</v>
      </c>
      <c r="L404" t="s">
        <v>3332</v>
      </c>
      <c r="M404" t="s">
        <v>3379</v>
      </c>
      <c r="N404">
        <v>11226</v>
      </c>
      <c r="O404" t="s">
        <v>3381</v>
      </c>
      <c r="P404" t="s">
        <v>3381</v>
      </c>
      <c r="Q404" t="s">
        <v>3386</v>
      </c>
      <c r="R404" t="s">
        <v>3732</v>
      </c>
      <c r="S404">
        <v>35</v>
      </c>
      <c r="T404" t="s">
        <v>4196</v>
      </c>
      <c r="U404" t="s">
        <v>4223</v>
      </c>
      <c r="W404" t="s">
        <v>4241</v>
      </c>
      <c r="X404" t="s">
        <v>3382</v>
      </c>
      <c r="Y404" t="s">
        <v>3382</v>
      </c>
      <c r="AA404" t="s">
        <v>4256</v>
      </c>
      <c r="AB404" t="s">
        <v>4261</v>
      </c>
      <c r="AC404">
        <v>0</v>
      </c>
      <c r="AD404">
        <v>1378.1</v>
      </c>
      <c r="AE404">
        <v>24.7</v>
      </c>
      <c r="AG404" t="s">
        <v>4668</v>
      </c>
      <c r="AI404" t="s">
        <v>5721</v>
      </c>
      <c r="AJ404">
        <v>0</v>
      </c>
      <c r="AK404" t="s">
        <v>6267</v>
      </c>
      <c r="AL404">
        <v>2</v>
      </c>
      <c r="AM404">
        <v>2</v>
      </c>
      <c r="AN404">
        <v>34.02</v>
      </c>
      <c r="AR404" t="s">
        <v>6290</v>
      </c>
      <c r="AS404" t="s">
        <v>6298</v>
      </c>
      <c r="AT404">
        <v>8759.4</v>
      </c>
      <c r="AX404" t="s">
        <v>121</v>
      </c>
      <c r="BA404" t="s">
        <v>6545</v>
      </c>
      <c r="BD404" t="s">
        <v>305</v>
      </c>
    </row>
    <row r="405" spans="1:57">
      <c r="A405" s="1">
        <f>HYPERLINK("https://lsnyc.legalserver.org/matter/dynamic-profile/view/1908398","19-1908398")</f>
        <v>0</v>
      </c>
      <c r="B405" t="s">
        <v>58</v>
      </c>
      <c r="C405" t="s">
        <v>121</v>
      </c>
      <c r="D405" t="s">
        <v>214</v>
      </c>
      <c r="E405" t="s">
        <v>281</v>
      </c>
      <c r="G405" t="s">
        <v>710</v>
      </c>
      <c r="H405" t="s">
        <v>1026</v>
      </c>
      <c r="J405" t="s">
        <v>2431</v>
      </c>
      <c r="K405" t="s">
        <v>3069</v>
      </c>
      <c r="L405" t="s">
        <v>3332</v>
      </c>
      <c r="M405" t="s">
        <v>3379</v>
      </c>
      <c r="N405">
        <v>11226</v>
      </c>
      <c r="O405" t="s">
        <v>3381</v>
      </c>
      <c r="P405" t="s">
        <v>3381</v>
      </c>
      <c r="Q405" t="s">
        <v>3386</v>
      </c>
      <c r="S405">
        <v>35</v>
      </c>
      <c r="T405" t="s">
        <v>4211</v>
      </c>
      <c r="U405" t="s">
        <v>4228</v>
      </c>
      <c r="W405" t="s">
        <v>4240</v>
      </c>
      <c r="X405" t="s">
        <v>3382</v>
      </c>
      <c r="Y405" t="s">
        <v>3382</v>
      </c>
      <c r="AA405" t="s">
        <v>4257</v>
      </c>
      <c r="AC405">
        <v>0</v>
      </c>
      <c r="AD405">
        <v>1378.1</v>
      </c>
      <c r="AE405">
        <v>9.5</v>
      </c>
      <c r="AG405" t="s">
        <v>4668</v>
      </c>
      <c r="AI405" t="s">
        <v>5721</v>
      </c>
      <c r="AJ405">
        <v>0</v>
      </c>
      <c r="AK405" t="s">
        <v>6267</v>
      </c>
      <c r="AL405">
        <v>2</v>
      </c>
      <c r="AM405">
        <v>2</v>
      </c>
      <c r="AN405">
        <v>34.02</v>
      </c>
      <c r="AR405" t="s">
        <v>6290</v>
      </c>
      <c r="AS405" t="s">
        <v>6298</v>
      </c>
      <c r="AT405">
        <v>8759.4</v>
      </c>
      <c r="AX405" t="s">
        <v>121</v>
      </c>
      <c r="BA405" t="s">
        <v>6545</v>
      </c>
      <c r="BD405" t="s">
        <v>305</v>
      </c>
    </row>
    <row r="406" spans="1:57">
      <c r="A406" s="1">
        <f>HYPERLINK("https://lsnyc.legalserver.org/matter/dynamic-profile/view/1886468","18-1886468")</f>
        <v>0</v>
      </c>
      <c r="B406" t="s">
        <v>58</v>
      </c>
      <c r="C406" t="s">
        <v>121</v>
      </c>
      <c r="D406" t="s">
        <v>214</v>
      </c>
      <c r="E406" t="s">
        <v>373</v>
      </c>
      <c r="G406" t="s">
        <v>679</v>
      </c>
      <c r="H406" t="s">
        <v>1639</v>
      </c>
      <c r="J406" t="s">
        <v>2432</v>
      </c>
      <c r="K406" t="s">
        <v>3030</v>
      </c>
      <c r="L406" t="s">
        <v>3332</v>
      </c>
      <c r="M406" t="s">
        <v>3379</v>
      </c>
      <c r="N406">
        <v>11225</v>
      </c>
      <c r="O406" t="s">
        <v>3381</v>
      </c>
      <c r="P406" t="s">
        <v>3381</v>
      </c>
      <c r="Q406" t="s">
        <v>3391</v>
      </c>
      <c r="S406">
        <v>27</v>
      </c>
      <c r="T406" t="s">
        <v>4203</v>
      </c>
      <c r="U406" t="s">
        <v>4228</v>
      </c>
      <c r="W406" t="s">
        <v>4241</v>
      </c>
      <c r="X406" t="s">
        <v>3382</v>
      </c>
      <c r="Y406" t="s">
        <v>3382</v>
      </c>
      <c r="AA406" t="s">
        <v>4256</v>
      </c>
      <c r="AB406" t="s">
        <v>4261</v>
      </c>
      <c r="AC406">
        <v>0</v>
      </c>
      <c r="AD406">
        <v>870</v>
      </c>
      <c r="AE406">
        <v>27.3</v>
      </c>
      <c r="AG406" t="s">
        <v>4669</v>
      </c>
      <c r="AJ406">
        <v>59</v>
      </c>
      <c r="AK406" t="s">
        <v>6267</v>
      </c>
      <c r="AL406">
        <v>1</v>
      </c>
      <c r="AM406">
        <v>0</v>
      </c>
      <c r="AN406">
        <v>164.74</v>
      </c>
      <c r="AQ406" t="s">
        <v>6287</v>
      </c>
      <c r="AR406" t="s">
        <v>5312</v>
      </c>
      <c r="AS406" t="s">
        <v>6298</v>
      </c>
      <c r="AT406">
        <v>20000</v>
      </c>
      <c r="AX406" t="s">
        <v>6413</v>
      </c>
      <c r="BA406" t="s">
        <v>6477</v>
      </c>
      <c r="BD406" t="s">
        <v>305</v>
      </c>
    </row>
    <row r="407" spans="1:57">
      <c r="A407" s="1">
        <f>HYPERLINK("https://lsnyc.legalserver.org/matter/dynamic-profile/view/1912274","19-1912274")</f>
        <v>0</v>
      </c>
      <c r="B407" t="s">
        <v>58</v>
      </c>
      <c r="C407" t="s">
        <v>121</v>
      </c>
      <c r="D407" t="s">
        <v>214</v>
      </c>
      <c r="E407" t="s">
        <v>268</v>
      </c>
      <c r="G407" t="s">
        <v>917</v>
      </c>
      <c r="H407" t="s">
        <v>1453</v>
      </c>
      <c r="J407" t="s">
        <v>2433</v>
      </c>
      <c r="K407" t="s">
        <v>3169</v>
      </c>
      <c r="L407" t="s">
        <v>3332</v>
      </c>
      <c r="M407" t="s">
        <v>3379</v>
      </c>
      <c r="N407">
        <v>11224</v>
      </c>
      <c r="O407" t="s">
        <v>3381</v>
      </c>
      <c r="P407" t="s">
        <v>3381</v>
      </c>
      <c r="R407" t="s">
        <v>3733</v>
      </c>
      <c r="S407">
        <v>40</v>
      </c>
      <c r="T407" t="s">
        <v>4196</v>
      </c>
      <c r="U407" t="s">
        <v>4223</v>
      </c>
      <c r="W407" t="s">
        <v>4240</v>
      </c>
      <c r="X407" t="s">
        <v>3382</v>
      </c>
      <c r="Y407" t="s">
        <v>3382</v>
      </c>
      <c r="AA407" t="s">
        <v>4256</v>
      </c>
      <c r="AB407" t="s">
        <v>4263</v>
      </c>
      <c r="AC407">
        <v>0</v>
      </c>
      <c r="AD407">
        <v>1115</v>
      </c>
      <c r="AE407">
        <v>9.699999999999999</v>
      </c>
      <c r="AG407" t="s">
        <v>4670</v>
      </c>
      <c r="AH407" t="s">
        <v>5289</v>
      </c>
      <c r="AI407" t="s">
        <v>5722</v>
      </c>
      <c r="AJ407">
        <v>0</v>
      </c>
      <c r="AK407" t="s">
        <v>6276</v>
      </c>
      <c r="AL407">
        <v>1</v>
      </c>
      <c r="AM407">
        <v>1</v>
      </c>
      <c r="AN407">
        <v>198.84</v>
      </c>
      <c r="AS407" t="s">
        <v>6298</v>
      </c>
      <c r="AT407">
        <v>33624</v>
      </c>
      <c r="AX407" t="s">
        <v>6408</v>
      </c>
      <c r="BA407" t="s">
        <v>6498</v>
      </c>
      <c r="BD407" t="s">
        <v>305</v>
      </c>
    </row>
    <row r="408" spans="1:57">
      <c r="A408" s="1">
        <f>HYPERLINK("https://lsnyc.legalserver.org/matter/dynamic-profile/view/1884818","18-1884818")</f>
        <v>0</v>
      </c>
      <c r="B408" t="s">
        <v>58</v>
      </c>
      <c r="C408" t="s">
        <v>121</v>
      </c>
      <c r="D408" t="s">
        <v>214</v>
      </c>
      <c r="E408" t="s">
        <v>374</v>
      </c>
      <c r="G408" t="s">
        <v>918</v>
      </c>
      <c r="H408" t="s">
        <v>1640</v>
      </c>
      <c r="J408" t="s">
        <v>2434</v>
      </c>
      <c r="K408" t="s">
        <v>3017</v>
      </c>
      <c r="L408" t="s">
        <v>3332</v>
      </c>
      <c r="M408" t="s">
        <v>3379</v>
      </c>
      <c r="N408">
        <v>11209</v>
      </c>
      <c r="O408" t="s">
        <v>3382</v>
      </c>
      <c r="P408" t="s">
        <v>3381</v>
      </c>
      <c r="Q408" t="s">
        <v>3398</v>
      </c>
      <c r="R408" t="s">
        <v>3734</v>
      </c>
      <c r="S408">
        <v>25</v>
      </c>
      <c r="T408" t="s">
        <v>4196</v>
      </c>
      <c r="U408" t="s">
        <v>4225</v>
      </c>
      <c r="W408" t="s">
        <v>4240</v>
      </c>
      <c r="X408" t="s">
        <v>3382</v>
      </c>
      <c r="AA408" t="s">
        <v>4256</v>
      </c>
      <c r="AC408">
        <v>0</v>
      </c>
      <c r="AD408">
        <v>0</v>
      </c>
      <c r="AE408">
        <v>8.1</v>
      </c>
      <c r="AG408" t="s">
        <v>4671</v>
      </c>
      <c r="AI408" t="s">
        <v>5723</v>
      </c>
      <c r="AJ408">
        <v>0</v>
      </c>
      <c r="AL408">
        <v>1</v>
      </c>
      <c r="AM408">
        <v>0</v>
      </c>
      <c r="AN408">
        <v>79.08</v>
      </c>
      <c r="AR408" t="s">
        <v>5312</v>
      </c>
      <c r="AS408" t="s">
        <v>6298</v>
      </c>
      <c r="AT408">
        <v>9600</v>
      </c>
      <c r="AX408" t="s">
        <v>6410</v>
      </c>
      <c r="BA408" t="s">
        <v>6499</v>
      </c>
      <c r="BD408" t="s">
        <v>6642</v>
      </c>
    </row>
    <row r="409" spans="1:57">
      <c r="A409" s="1">
        <f>HYPERLINK("https://lsnyc.legalserver.org/matter/dynamic-profile/view/1883739","18-1883739")</f>
        <v>0</v>
      </c>
      <c r="B409" t="s">
        <v>58</v>
      </c>
      <c r="C409" t="s">
        <v>122</v>
      </c>
      <c r="D409" t="s">
        <v>214</v>
      </c>
      <c r="E409" t="s">
        <v>375</v>
      </c>
      <c r="G409" t="s">
        <v>919</v>
      </c>
      <c r="H409" t="s">
        <v>1641</v>
      </c>
      <c r="J409" t="s">
        <v>2435</v>
      </c>
      <c r="K409" t="s">
        <v>3017</v>
      </c>
      <c r="L409" t="s">
        <v>3332</v>
      </c>
      <c r="M409" t="s">
        <v>3379</v>
      </c>
      <c r="N409">
        <v>11238</v>
      </c>
      <c r="O409" t="s">
        <v>3381</v>
      </c>
      <c r="P409" t="s">
        <v>3381</v>
      </c>
      <c r="S409">
        <v>0</v>
      </c>
      <c r="T409" t="s">
        <v>4212</v>
      </c>
      <c r="U409" t="s">
        <v>4228</v>
      </c>
      <c r="W409" t="s">
        <v>4240</v>
      </c>
      <c r="X409" t="s">
        <v>3382</v>
      </c>
      <c r="AA409" t="s">
        <v>4257</v>
      </c>
      <c r="AC409">
        <v>0</v>
      </c>
      <c r="AD409">
        <v>0</v>
      </c>
      <c r="AE409">
        <v>3.4</v>
      </c>
      <c r="AG409" t="s">
        <v>4672</v>
      </c>
      <c r="AI409" t="s">
        <v>5724</v>
      </c>
      <c r="AJ409">
        <v>0</v>
      </c>
      <c r="AL409">
        <v>1</v>
      </c>
      <c r="AM409">
        <v>0</v>
      </c>
      <c r="AN409">
        <v>60.49</v>
      </c>
      <c r="AS409" t="s">
        <v>6298</v>
      </c>
      <c r="AT409">
        <v>7344</v>
      </c>
      <c r="AX409" t="s">
        <v>122</v>
      </c>
      <c r="BA409" t="s">
        <v>6546</v>
      </c>
      <c r="BD409" t="s">
        <v>373</v>
      </c>
    </row>
    <row r="410" spans="1:57">
      <c r="A410" s="1">
        <f>HYPERLINK("https://lsnyc.legalserver.org/matter/dynamic-profile/view/1850804","17-1850804")</f>
        <v>0</v>
      </c>
      <c r="B410" t="s">
        <v>58</v>
      </c>
      <c r="C410" t="s">
        <v>123</v>
      </c>
      <c r="D410" t="s">
        <v>215</v>
      </c>
      <c r="E410" t="s">
        <v>376</v>
      </c>
      <c r="F410" t="s">
        <v>293</v>
      </c>
      <c r="G410" t="s">
        <v>920</v>
      </c>
      <c r="H410" t="s">
        <v>1642</v>
      </c>
      <c r="J410" t="s">
        <v>2436</v>
      </c>
      <c r="K410" t="s">
        <v>3170</v>
      </c>
      <c r="L410" t="s">
        <v>3332</v>
      </c>
      <c r="M410" t="s">
        <v>3379</v>
      </c>
      <c r="N410">
        <v>11226</v>
      </c>
      <c r="O410" t="s">
        <v>3382</v>
      </c>
      <c r="P410" t="s">
        <v>3381</v>
      </c>
      <c r="Q410" t="s">
        <v>3390</v>
      </c>
      <c r="R410" t="s">
        <v>3735</v>
      </c>
      <c r="S410">
        <v>20</v>
      </c>
      <c r="T410" t="s">
        <v>4196</v>
      </c>
      <c r="U410" t="s">
        <v>4224</v>
      </c>
      <c r="V410" t="s">
        <v>4230</v>
      </c>
      <c r="W410" t="s">
        <v>4241</v>
      </c>
      <c r="X410" t="s">
        <v>3382</v>
      </c>
      <c r="AA410" t="s">
        <v>4256</v>
      </c>
      <c r="AC410">
        <v>1085.61</v>
      </c>
      <c r="AD410">
        <v>1085.61</v>
      </c>
      <c r="AE410">
        <v>2.1</v>
      </c>
      <c r="AF410" t="s">
        <v>4268</v>
      </c>
      <c r="AG410" t="s">
        <v>4673</v>
      </c>
      <c r="AI410" t="s">
        <v>5725</v>
      </c>
      <c r="AJ410">
        <v>0</v>
      </c>
      <c r="AK410" t="s">
        <v>6267</v>
      </c>
      <c r="AL410">
        <v>1</v>
      </c>
      <c r="AM410">
        <v>0</v>
      </c>
      <c r="AN410">
        <v>62.69</v>
      </c>
      <c r="AQ410" t="s">
        <v>6287</v>
      </c>
      <c r="AR410" t="s">
        <v>5312</v>
      </c>
      <c r="AS410" t="s">
        <v>6298</v>
      </c>
      <c r="AT410">
        <v>7560</v>
      </c>
      <c r="AX410" t="s">
        <v>123</v>
      </c>
      <c r="BA410" t="s">
        <v>6547</v>
      </c>
      <c r="BD410" t="s">
        <v>293</v>
      </c>
    </row>
    <row r="411" spans="1:57">
      <c r="A411" s="1">
        <f>HYPERLINK("https://lsnyc.legalserver.org/matter/dynamic-profile/view/1844051","17-1844051")</f>
        <v>0</v>
      </c>
      <c r="B411" t="s">
        <v>58</v>
      </c>
      <c r="C411" t="s">
        <v>123</v>
      </c>
      <c r="D411" t="s">
        <v>214</v>
      </c>
      <c r="E411" t="s">
        <v>377</v>
      </c>
      <c r="G411" t="s">
        <v>921</v>
      </c>
      <c r="H411" t="s">
        <v>1643</v>
      </c>
      <c r="J411" t="s">
        <v>2437</v>
      </c>
      <c r="K411" t="s">
        <v>3171</v>
      </c>
      <c r="L411" t="s">
        <v>3332</v>
      </c>
      <c r="M411" t="s">
        <v>3379</v>
      </c>
      <c r="N411">
        <v>11223</v>
      </c>
      <c r="O411" t="s">
        <v>3382</v>
      </c>
      <c r="P411" t="s">
        <v>3381</v>
      </c>
      <c r="Q411" t="s">
        <v>3389</v>
      </c>
      <c r="S411">
        <v>3</v>
      </c>
      <c r="T411" t="s">
        <v>4203</v>
      </c>
      <c r="U411" t="s">
        <v>4224</v>
      </c>
      <c r="W411" t="s">
        <v>4240</v>
      </c>
      <c r="X411" t="s">
        <v>3382</v>
      </c>
      <c r="AA411" t="s">
        <v>4259</v>
      </c>
      <c r="AC411">
        <v>586</v>
      </c>
      <c r="AD411">
        <v>586</v>
      </c>
      <c r="AE411">
        <v>3.25</v>
      </c>
      <c r="AG411" t="s">
        <v>4674</v>
      </c>
      <c r="AI411" t="s">
        <v>5726</v>
      </c>
      <c r="AJ411">
        <v>0</v>
      </c>
      <c r="AK411" t="s">
        <v>6278</v>
      </c>
      <c r="AL411">
        <v>1</v>
      </c>
      <c r="AM411">
        <v>2</v>
      </c>
      <c r="AN411">
        <v>86.39</v>
      </c>
      <c r="AQ411" t="s">
        <v>6286</v>
      </c>
      <c r="AS411" t="s">
        <v>6299</v>
      </c>
      <c r="AT411">
        <v>17640</v>
      </c>
      <c r="AX411" t="s">
        <v>6418</v>
      </c>
      <c r="BA411" t="s">
        <v>6482</v>
      </c>
      <c r="BD411" t="s">
        <v>489</v>
      </c>
    </row>
    <row r="412" spans="1:57">
      <c r="A412" s="1">
        <f>HYPERLINK("https://lsnyc.legalserver.org/matter/dynamic-profile/view/1891694","19-1891694")</f>
        <v>0</v>
      </c>
      <c r="B412" t="s">
        <v>58</v>
      </c>
      <c r="C412" t="s">
        <v>124</v>
      </c>
      <c r="D412" t="s">
        <v>214</v>
      </c>
      <c r="E412" t="s">
        <v>378</v>
      </c>
      <c r="G412" t="s">
        <v>922</v>
      </c>
      <c r="H412" t="s">
        <v>1644</v>
      </c>
      <c r="J412" t="s">
        <v>2438</v>
      </c>
      <c r="K412" t="s">
        <v>3049</v>
      </c>
      <c r="L412" t="s">
        <v>3332</v>
      </c>
      <c r="M412" t="s">
        <v>3379</v>
      </c>
      <c r="N412">
        <v>11226</v>
      </c>
      <c r="O412" t="s">
        <v>3381</v>
      </c>
      <c r="P412" t="s">
        <v>3381</v>
      </c>
      <c r="Q412" t="s">
        <v>3383</v>
      </c>
      <c r="R412" t="s">
        <v>3736</v>
      </c>
      <c r="S412">
        <v>45</v>
      </c>
      <c r="T412" t="s">
        <v>4196</v>
      </c>
      <c r="U412" t="s">
        <v>4223</v>
      </c>
      <c r="W412" t="s">
        <v>4241</v>
      </c>
      <c r="X412" t="s">
        <v>3382</v>
      </c>
      <c r="AA412" t="s">
        <v>4256</v>
      </c>
      <c r="AC412">
        <v>0</v>
      </c>
      <c r="AD412">
        <v>0</v>
      </c>
      <c r="AE412">
        <v>2.8</v>
      </c>
      <c r="AG412" t="s">
        <v>4675</v>
      </c>
      <c r="AI412" t="s">
        <v>5727</v>
      </c>
      <c r="AJ412">
        <v>79</v>
      </c>
      <c r="AL412">
        <v>2</v>
      </c>
      <c r="AM412">
        <v>2</v>
      </c>
      <c r="AN412">
        <v>120.39</v>
      </c>
      <c r="AS412" t="s">
        <v>6298</v>
      </c>
      <c r="AT412">
        <v>31000</v>
      </c>
      <c r="AX412" t="s">
        <v>6410</v>
      </c>
      <c r="BA412" t="s">
        <v>6539</v>
      </c>
      <c r="BD412" t="s">
        <v>303</v>
      </c>
    </row>
    <row r="413" spans="1:57">
      <c r="A413" s="1">
        <f>HYPERLINK("https://lsnyc.legalserver.org/matter/dynamic-profile/view/1911464","19-1911464")</f>
        <v>0</v>
      </c>
      <c r="B413" t="s">
        <v>58</v>
      </c>
      <c r="C413" t="s">
        <v>124</v>
      </c>
      <c r="D413" t="s">
        <v>214</v>
      </c>
      <c r="E413" t="s">
        <v>334</v>
      </c>
      <c r="G413" t="s">
        <v>923</v>
      </c>
      <c r="H413" t="s">
        <v>1464</v>
      </c>
      <c r="J413" t="s">
        <v>2439</v>
      </c>
      <c r="K413" t="s">
        <v>3069</v>
      </c>
      <c r="L413" t="s">
        <v>3332</v>
      </c>
      <c r="M413" t="s">
        <v>3379</v>
      </c>
      <c r="N413">
        <v>11225</v>
      </c>
      <c r="O413" t="s">
        <v>3381</v>
      </c>
      <c r="P413" t="s">
        <v>3381</v>
      </c>
      <c r="Q413" t="s">
        <v>3397</v>
      </c>
      <c r="R413" t="s">
        <v>3737</v>
      </c>
      <c r="S413">
        <v>0</v>
      </c>
      <c r="T413" t="s">
        <v>4196</v>
      </c>
      <c r="U413" t="s">
        <v>4224</v>
      </c>
      <c r="W413" t="s">
        <v>4241</v>
      </c>
      <c r="X413" t="s">
        <v>3382</v>
      </c>
      <c r="AA413" t="s">
        <v>4256</v>
      </c>
      <c r="AC413">
        <v>0</v>
      </c>
      <c r="AD413">
        <v>0</v>
      </c>
      <c r="AE413">
        <v>0.2</v>
      </c>
      <c r="AG413" t="s">
        <v>4676</v>
      </c>
      <c r="AI413" t="s">
        <v>5728</v>
      </c>
      <c r="AJ413">
        <v>0</v>
      </c>
      <c r="AL413">
        <v>3</v>
      </c>
      <c r="AM413">
        <v>0</v>
      </c>
      <c r="AN413">
        <v>79.51000000000001</v>
      </c>
      <c r="AS413" t="s">
        <v>6298</v>
      </c>
      <c r="AT413">
        <v>16959.96</v>
      </c>
      <c r="AX413" t="s">
        <v>6410</v>
      </c>
      <c r="BA413" t="s">
        <v>6474</v>
      </c>
      <c r="BD413" t="s">
        <v>270</v>
      </c>
    </row>
    <row r="414" spans="1:57">
      <c r="A414" s="1">
        <f>HYPERLINK("https://lsnyc.legalserver.org/matter/dynamic-profile/view/1911279","19-1911279")</f>
        <v>0</v>
      </c>
      <c r="B414" t="s">
        <v>58</v>
      </c>
      <c r="C414" t="s">
        <v>124</v>
      </c>
      <c r="D414" t="s">
        <v>214</v>
      </c>
      <c r="E414" t="s">
        <v>233</v>
      </c>
      <c r="G414" t="s">
        <v>778</v>
      </c>
      <c r="H414" t="s">
        <v>1645</v>
      </c>
      <c r="J414" t="s">
        <v>2440</v>
      </c>
      <c r="K414" t="s">
        <v>3026</v>
      </c>
      <c r="L414" t="s">
        <v>3332</v>
      </c>
      <c r="M414" t="s">
        <v>3379</v>
      </c>
      <c r="N414">
        <v>11210</v>
      </c>
      <c r="O414" t="s">
        <v>3381</v>
      </c>
      <c r="P414" t="s">
        <v>3381</v>
      </c>
      <c r="R414" t="s">
        <v>3738</v>
      </c>
      <c r="S414">
        <v>0</v>
      </c>
      <c r="T414" t="s">
        <v>4196</v>
      </c>
      <c r="U414" t="s">
        <v>4223</v>
      </c>
      <c r="W414" t="s">
        <v>4240</v>
      </c>
      <c r="X414" t="s">
        <v>3382</v>
      </c>
      <c r="AA414" t="s">
        <v>4256</v>
      </c>
      <c r="AC414">
        <v>0</v>
      </c>
      <c r="AD414">
        <v>0</v>
      </c>
      <c r="AE414">
        <v>1.5</v>
      </c>
      <c r="AG414" t="s">
        <v>4677</v>
      </c>
      <c r="AH414">
        <v>348730071</v>
      </c>
      <c r="AJ414">
        <v>0</v>
      </c>
      <c r="AL414">
        <v>1</v>
      </c>
      <c r="AM414">
        <v>1</v>
      </c>
      <c r="AN414">
        <v>93.02</v>
      </c>
      <c r="AS414" t="s">
        <v>6298</v>
      </c>
      <c r="AT414">
        <v>15730</v>
      </c>
      <c r="AX414" t="s">
        <v>6408</v>
      </c>
      <c r="BA414" t="s">
        <v>6480</v>
      </c>
      <c r="BD414" t="s">
        <v>270</v>
      </c>
    </row>
    <row r="415" spans="1:57">
      <c r="A415" s="1">
        <f>HYPERLINK("https://lsnyc.legalserver.org/matter/dynamic-profile/view/1911343","19-1911343")</f>
        <v>0</v>
      </c>
      <c r="B415" t="s">
        <v>58</v>
      </c>
      <c r="C415" t="s">
        <v>125</v>
      </c>
      <c r="D415" t="s">
        <v>214</v>
      </c>
      <c r="E415" t="s">
        <v>253</v>
      </c>
      <c r="G415" t="s">
        <v>924</v>
      </c>
      <c r="H415" t="s">
        <v>1578</v>
      </c>
      <c r="J415" t="s">
        <v>2441</v>
      </c>
      <c r="K415" t="s">
        <v>3172</v>
      </c>
      <c r="L415" t="s">
        <v>3332</v>
      </c>
      <c r="M415" t="s">
        <v>3379</v>
      </c>
      <c r="N415">
        <v>11238</v>
      </c>
      <c r="O415" t="s">
        <v>3381</v>
      </c>
      <c r="P415" t="s">
        <v>3381</v>
      </c>
      <c r="Q415" t="s">
        <v>3386</v>
      </c>
      <c r="R415" t="s">
        <v>3739</v>
      </c>
      <c r="S415">
        <v>19</v>
      </c>
      <c r="T415" t="s">
        <v>4196</v>
      </c>
      <c r="U415" t="s">
        <v>4223</v>
      </c>
      <c r="W415" t="s">
        <v>4240</v>
      </c>
      <c r="X415" t="s">
        <v>3382</v>
      </c>
      <c r="AA415" t="s">
        <v>4256</v>
      </c>
      <c r="AC415">
        <v>0</v>
      </c>
      <c r="AD415">
        <v>947</v>
      </c>
      <c r="AE415">
        <v>1.5</v>
      </c>
      <c r="AG415" t="s">
        <v>4678</v>
      </c>
      <c r="AI415" t="s">
        <v>5729</v>
      </c>
      <c r="AJ415">
        <v>52</v>
      </c>
      <c r="AL415">
        <v>2</v>
      </c>
      <c r="AM415">
        <v>1</v>
      </c>
      <c r="AN415">
        <v>79.7</v>
      </c>
      <c r="AR415" t="s">
        <v>6290</v>
      </c>
      <c r="AS415" t="s">
        <v>6298</v>
      </c>
      <c r="AT415">
        <v>17000</v>
      </c>
      <c r="AX415" t="s">
        <v>6409</v>
      </c>
      <c r="BA415" t="s">
        <v>6477</v>
      </c>
      <c r="BD415" t="s">
        <v>342</v>
      </c>
    </row>
    <row r="416" spans="1:57">
      <c r="A416" s="1">
        <f>HYPERLINK("https://lsnyc.legalserver.org/matter/dynamic-profile/view/1913100","19-1913100")</f>
        <v>0</v>
      </c>
      <c r="B416" t="s">
        <v>58</v>
      </c>
      <c r="C416" t="s">
        <v>125</v>
      </c>
      <c r="D416" t="s">
        <v>214</v>
      </c>
      <c r="E416" t="s">
        <v>259</v>
      </c>
      <c r="G416" t="s">
        <v>925</v>
      </c>
      <c r="H416" t="s">
        <v>1646</v>
      </c>
      <c r="J416" t="s">
        <v>2442</v>
      </c>
      <c r="K416" t="s">
        <v>3173</v>
      </c>
      <c r="L416" t="s">
        <v>3332</v>
      </c>
      <c r="M416" t="s">
        <v>3379</v>
      </c>
      <c r="N416">
        <v>11236</v>
      </c>
      <c r="O416" t="s">
        <v>3382</v>
      </c>
      <c r="P416" t="s">
        <v>3381</v>
      </c>
      <c r="Q416" t="s">
        <v>3383</v>
      </c>
      <c r="R416" t="s">
        <v>3740</v>
      </c>
      <c r="S416">
        <v>0</v>
      </c>
      <c r="T416" t="s">
        <v>4197</v>
      </c>
      <c r="W416" t="s">
        <v>4240</v>
      </c>
      <c r="X416" t="s">
        <v>3382</v>
      </c>
      <c r="AA416" t="s">
        <v>4256</v>
      </c>
      <c r="AC416">
        <v>0</v>
      </c>
      <c r="AD416">
        <v>0</v>
      </c>
      <c r="AE416">
        <v>3</v>
      </c>
      <c r="AG416" t="s">
        <v>4375</v>
      </c>
      <c r="AI416" t="s">
        <v>5730</v>
      </c>
      <c r="AJ416">
        <v>0</v>
      </c>
      <c r="AL416">
        <v>3</v>
      </c>
      <c r="AM416">
        <v>0</v>
      </c>
      <c r="AN416">
        <v>117.21</v>
      </c>
      <c r="AS416" t="s">
        <v>6298</v>
      </c>
      <c r="AT416">
        <v>25000</v>
      </c>
      <c r="AX416" t="s">
        <v>6409</v>
      </c>
      <c r="BA416" t="s">
        <v>6477</v>
      </c>
      <c r="BD416" t="s">
        <v>266</v>
      </c>
      <c r="BE416" t="s">
        <v>6702</v>
      </c>
    </row>
    <row r="417" spans="1:57">
      <c r="A417" s="1">
        <f>HYPERLINK("https://lsnyc.legalserver.org/matter/dynamic-profile/view/1909585","19-1909585")</f>
        <v>0</v>
      </c>
      <c r="B417" t="s">
        <v>58</v>
      </c>
      <c r="C417" t="s">
        <v>125</v>
      </c>
      <c r="D417" t="s">
        <v>215</v>
      </c>
      <c r="E417" t="s">
        <v>304</v>
      </c>
      <c r="F417" t="s">
        <v>218</v>
      </c>
      <c r="G417" t="s">
        <v>926</v>
      </c>
      <c r="H417" t="s">
        <v>1647</v>
      </c>
      <c r="J417" t="s">
        <v>2443</v>
      </c>
      <c r="K417" t="s">
        <v>3036</v>
      </c>
      <c r="L417" t="s">
        <v>3332</v>
      </c>
      <c r="M417" t="s">
        <v>3379</v>
      </c>
      <c r="N417">
        <v>11230</v>
      </c>
      <c r="O417" t="s">
        <v>3381</v>
      </c>
      <c r="P417" t="s">
        <v>3381</v>
      </c>
      <c r="Q417" t="s">
        <v>3383</v>
      </c>
      <c r="R417" t="s">
        <v>3741</v>
      </c>
      <c r="S417">
        <v>-1</v>
      </c>
      <c r="T417" t="s">
        <v>4196</v>
      </c>
      <c r="U417" t="s">
        <v>4223</v>
      </c>
      <c r="V417" t="s">
        <v>4232</v>
      </c>
      <c r="W417" t="s">
        <v>4240</v>
      </c>
      <c r="X417" t="s">
        <v>3382</v>
      </c>
      <c r="Y417" t="s">
        <v>3382</v>
      </c>
      <c r="AA417" t="s">
        <v>4256</v>
      </c>
      <c r="AB417" t="s">
        <v>4264</v>
      </c>
      <c r="AC417">
        <v>0</v>
      </c>
      <c r="AD417">
        <v>1550</v>
      </c>
      <c r="AE417">
        <v>49.1</v>
      </c>
      <c r="AF417" t="s">
        <v>4269</v>
      </c>
      <c r="AG417" t="s">
        <v>4679</v>
      </c>
      <c r="AH417" t="s">
        <v>5290</v>
      </c>
      <c r="AI417" t="s">
        <v>5731</v>
      </c>
      <c r="AJ417">
        <v>0</v>
      </c>
      <c r="AK417" t="s">
        <v>6267</v>
      </c>
      <c r="AL417">
        <v>1</v>
      </c>
      <c r="AM417">
        <v>1</v>
      </c>
      <c r="AN417">
        <v>20.65</v>
      </c>
      <c r="AT417">
        <v>3492</v>
      </c>
      <c r="AX417" t="s">
        <v>6419</v>
      </c>
      <c r="BA417" t="s">
        <v>6483</v>
      </c>
      <c r="BD417" t="s">
        <v>218</v>
      </c>
      <c r="BE417" t="s">
        <v>6703</v>
      </c>
    </row>
    <row r="418" spans="1:57">
      <c r="A418" s="1">
        <f>HYPERLINK("https://lsnyc.legalserver.org/matter/dynamic-profile/view/1894248","19-1894248")</f>
        <v>0</v>
      </c>
      <c r="B418" t="s">
        <v>58</v>
      </c>
      <c r="C418" t="s">
        <v>125</v>
      </c>
      <c r="D418" t="s">
        <v>215</v>
      </c>
      <c r="E418" t="s">
        <v>379</v>
      </c>
      <c r="F418" t="s">
        <v>387</v>
      </c>
      <c r="G418" t="s">
        <v>927</v>
      </c>
      <c r="H418" t="s">
        <v>1648</v>
      </c>
      <c r="J418" t="s">
        <v>2444</v>
      </c>
      <c r="K418">
        <v>4</v>
      </c>
      <c r="L418" t="s">
        <v>3332</v>
      </c>
      <c r="M418" t="s">
        <v>3379</v>
      </c>
      <c r="N418">
        <v>11226</v>
      </c>
      <c r="O418" t="s">
        <v>3382</v>
      </c>
      <c r="P418" t="s">
        <v>3380</v>
      </c>
      <c r="Q418" t="s">
        <v>3383</v>
      </c>
      <c r="R418" t="s">
        <v>3742</v>
      </c>
      <c r="S418">
        <v>40</v>
      </c>
      <c r="T418" t="s">
        <v>4196</v>
      </c>
      <c r="U418" t="s">
        <v>4224</v>
      </c>
      <c r="V418" t="s">
        <v>4237</v>
      </c>
      <c r="W418" t="s">
        <v>4241</v>
      </c>
      <c r="X418" t="s">
        <v>3382</v>
      </c>
      <c r="AA418" t="s">
        <v>4256</v>
      </c>
      <c r="AC418">
        <v>0</v>
      </c>
      <c r="AD418">
        <v>705.87</v>
      </c>
      <c r="AE418">
        <v>10.3</v>
      </c>
      <c r="AF418" t="s">
        <v>4269</v>
      </c>
      <c r="AG418" t="s">
        <v>4680</v>
      </c>
      <c r="AJ418">
        <v>16</v>
      </c>
      <c r="AL418">
        <v>1</v>
      </c>
      <c r="AM418">
        <v>0</v>
      </c>
      <c r="AN418">
        <v>160.13</v>
      </c>
      <c r="AQ418" t="s">
        <v>6287</v>
      </c>
      <c r="AR418" t="s">
        <v>5312</v>
      </c>
      <c r="AS418" t="s">
        <v>6298</v>
      </c>
      <c r="AT418">
        <v>20000</v>
      </c>
      <c r="AX418" t="s">
        <v>6410</v>
      </c>
      <c r="BA418" t="s">
        <v>6477</v>
      </c>
      <c r="BD418" t="s">
        <v>387</v>
      </c>
    </row>
    <row r="419" spans="1:57">
      <c r="A419" s="1">
        <f>HYPERLINK("https://lsnyc.legalserver.org/matter/dynamic-profile/view/1913102","19-1913102")</f>
        <v>0</v>
      </c>
      <c r="B419" t="s">
        <v>58</v>
      </c>
      <c r="C419" t="s">
        <v>125</v>
      </c>
      <c r="D419" t="s">
        <v>214</v>
      </c>
      <c r="E419" t="s">
        <v>259</v>
      </c>
      <c r="G419" t="s">
        <v>928</v>
      </c>
      <c r="H419" t="s">
        <v>1649</v>
      </c>
      <c r="J419" t="s">
        <v>2445</v>
      </c>
      <c r="K419" t="s">
        <v>3078</v>
      </c>
      <c r="L419" t="s">
        <v>3332</v>
      </c>
      <c r="M419" t="s">
        <v>3379</v>
      </c>
      <c r="N419">
        <v>11226</v>
      </c>
      <c r="O419" t="s">
        <v>3381</v>
      </c>
      <c r="P419" t="s">
        <v>3381</v>
      </c>
      <c r="Q419" t="s">
        <v>3383</v>
      </c>
      <c r="R419" t="s">
        <v>3743</v>
      </c>
      <c r="S419">
        <v>20</v>
      </c>
      <c r="T419" t="s">
        <v>4196</v>
      </c>
      <c r="W419" t="s">
        <v>4241</v>
      </c>
      <c r="X419" t="s">
        <v>3382</v>
      </c>
      <c r="AA419" t="s">
        <v>4256</v>
      </c>
      <c r="AC419">
        <v>0</v>
      </c>
      <c r="AD419">
        <v>1830</v>
      </c>
      <c r="AE419">
        <v>1.75</v>
      </c>
      <c r="AG419" t="s">
        <v>4681</v>
      </c>
      <c r="AI419" t="s">
        <v>5732</v>
      </c>
      <c r="AJ419">
        <v>61</v>
      </c>
      <c r="AL419">
        <v>5</v>
      </c>
      <c r="AM419">
        <v>0</v>
      </c>
      <c r="AN419">
        <v>48.53</v>
      </c>
      <c r="AR419" t="s">
        <v>6290</v>
      </c>
      <c r="AS419" t="s">
        <v>6298</v>
      </c>
      <c r="AT419">
        <v>14640</v>
      </c>
      <c r="AX419" t="s">
        <v>6409</v>
      </c>
      <c r="BA419" t="s">
        <v>6476</v>
      </c>
      <c r="BD419" t="s">
        <v>243</v>
      </c>
    </row>
    <row r="420" spans="1:57">
      <c r="A420" s="1">
        <f>HYPERLINK("https://lsnyc.legalserver.org/matter/dynamic-profile/view/1915361","19-1915361")</f>
        <v>0</v>
      </c>
      <c r="B420" t="s">
        <v>58</v>
      </c>
      <c r="C420" t="s">
        <v>125</v>
      </c>
      <c r="D420" t="s">
        <v>214</v>
      </c>
      <c r="E420" t="s">
        <v>218</v>
      </c>
      <c r="G420" t="s">
        <v>929</v>
      </c>
      <c r="H420" t="s">
        <v>830</v>
      </c>
      <c r="J420" t="s">
        <v>2446</v>
      </c>
      <c r="K420" t="s">
        <v>3077</v>
      </c>
      <c r="L420" t="s">
        <v>3332</v>
      </c>
      <c r="M420" t="s">
        <v>3379</v>
      </c>
      <c r="N420">
        <v>11226</v>
      </c>
      <c r="O420" t="s">
        <v>3380</v>
      </c>
      <c r="P420" t="s">
        <v>3381</v>
      </c>
      <c r="Q420" t="s">
        <v>3383</v>
      </c>
      <c r="R420" t="s">
        <v>3744</v>
      </c>
      <c r="S420">
        <v>20</v>
      </c>
      <c r="T420" t="s">
        <v>4196</v>
      </c>
      <c r="U420" t="s">
        <v>4224</v>
      </c>
      <c r="W420" t="s">
        <v>4241</v>
      </c>
      <c r="X420" t="s">
        <v>3382</v>
      </c>
      <c r="AA420" t="s">
        <v>4256</v>
      </c>
      <c r="AC420">
        <v>0</v>
      </c>
      <c r="AD420">
        <v>1373</v>
      </c>
      <c r="AE420">
        <v>0.75</v>
      </c>
      <c r="AG420" t="s">
        <v>4682</v>
      </c>
      <c r="AI420" t="s">
        <v>5733</v>
      </c>
      <c r="AJ420">
        <v>0</v>
      </c>
      <c r="AL420">
        <v>2</v>
      </c>
      <c r="AM420">
        <v>0</v>
      </c>
      <c r="AN420">
        <v>130.01</v>
      </c>
      <c r="AS420" t="s">
        <v>6302</v>
      </c>
      <c r="AT420">
        <v>21984</v>
      </c>
      <c r="AX420" t="s">
        <v>6410</v>
      </c>
      <c r="BA420" t="s">
        <v>6548</v>
      </c>
      <c r="BD420" t="s">
        <v>231</v>
      </c>
      <c r="BE420" t="s">
        <v>6702</v>
      </c>
    </row>
    <row r="421" spans="1:57">
      <c r="A421" s="1">
        <f>HYPERLINK("https://lsnyc.legalserver.org/matter/dynamic-profile/view/1898841","19-1898841")</f>
        <v>0</v>
      </c>
      <c r="B421" t="s">
        <v>58</v>
      </c>
      <c r="C421" t="s">
        <v>126</v>
      </c>
      <c r="D421" t="s">
        <v>215</v>
      </c>
      <c r="E421" t="s">
        <v>363</v>
      </c>
      <c r="F421" t="s">
        <v>294</v>
      </c>
      <c r="G421" t="s">
        <v>930</v>
      </c>
      <c r="H421" t="s">
        <v>1603</v>
      </c>
      <c r="J421" t="s">
        <v>2447</v>
      </c>
      <c r="L421" t="s">
        <v>3333</v>
      </c>
      <c r="M421" t="s">
        <v>3379</v>
      </c>
      <c r="N421">
        <v>11433</v>
      </c>
      <c r="O421" t="s">
        <v>3382</v>
      </c>
      <c r="P421" t="s">
        <v>3382</v>
      </c>
      <c r="S421">
        <v>0</v>
      </c>
      <c r="T421" t="s">
        <v>4203</v>
      </c>
      <c r="U421" t="s">
        <v>4226</v>
      </c>
      <c r="V421" t="s">
        <v>4236</v>
      </c>
      <c r="W421" t="s">
        <v>4240</v>
      </c>
      <c r="X421" t="s">
        <v>3382</v>
      </c>
      <c r="Y421" t="s">
        <v>3382</v>
      </c>
      <c r="AA421" t="s">
        <v>4259</v>
      </c>
      <c r="AC421">
        <v>0</v>
      </c>
      <c r="AD421">
        <v>0</v>
      </c>
      <c r="AE421">
        <v>3.1</v>
      </c>
      <c r="AF421" t="s">
        <v>4276</v>
      </c>
      <c r="AG421" t="s">
        <v>4683</v>
      </c>
      <c r="AI421" t="s">
        <v>5734</v>
      </c>
      <c r="AJ421">
        <v>0</v>
      </c>
      <c r="AL421">
        <v>1</v>
      </c>
      <c r="AM421">
        <v>0</v>
      </c>
      <c r="AN421">
        <v>144.88</v>
      </c>
      <c r="AR421" t="s">
        <v>6290</v>
      </c>
      <c r="AS421" t="s">
        <v>6298</v>
      </c>
      <c r="AT421">
        <v>18096</v>
      </c>
      <c r="AX421" t="s">
        <v>126</v>
      </c>
      <c r="BA421" t="s">
        <v>6477</v>
      </c>
      <c r="BD421" t="s">
        <v>294</v>
      </c>
    </row>
    <row r="422" spans="1:57">
      <c r="A422" s="1">
        <f>HYPERLINK("https://lsnyc.legalserver.org/matter/dynamic-profile/view/1903015","19-1903015")</f>
        <v>0</v>
      </c>
      <c r="B422" t="s">
        <v>58</v>
      </c>
      <c r="C422" t="s">
        <v>126</v>
      </c>
      <c r="D422" t="s">
        <v>214</v>
      </c>
      <c r="E422" t="s">
        <v>380</v>
      </c>
      <c r="G422" t="s">
        <v>648</v>
      </c>
      <c r="H422" t="s">
        <v>1379</v>
      </c>
      <c r="J422" t="s">
        <v>2448</v>
      </c>
      <c r="K422" t="s">
        <v>2998</v>
      </c>
      <c r="L422" t="s">
        <v>3332</v>
      </c>
      <c r="M422" t="s">
        <v>3379</v>
      </c>
      <c r="N422">
        <v>11226</v>
      </c>
      <c r="O422" t="s">
        <v>3382</v>
      </c>
      <c r="P422" t="s">
        <v>3381</v>
      </c>
      <c r="Q422" t="s">
        <v>3383</v>
      </c>
      <c r="R422" t="s">
        <v>3745</v>
      </c>
      <c r="S422">
        <v>-1</v>
      </c>
      <c r="T422" t="s">
        <v>4196</v>
      </c>
      <c r="U422" t="s">
        <v>4223</v>
      </c>
      <c r="W422" t="s">
        <v>4241</v>
      </c>
      <c r="X422" t="s">
        <v>3382</v>
      </c>
      <c r="AA422" t="s">
        <v>4256</v>
      </c>
      <c r="AB422" t="s">
        <v>4261</v>
      </c>
      <c r="AC422">
        <v>0</v>
      </c>
      <c r="AD422">
        <v>1500</v>
      </c>
      <c r="AE422">
        <v>15.75</v>
      </c>
      <c r="AG422" t="s">
        <v>4684</v>
      </c>
      <c r="AI422" t="s">
        <v>5735</v>
      </c>
      <c r="AJ422">
        <v>24</v>
      </c>
      <c r="AL422">
        <v>2</v>
      </c>
      <c r="AM422">
        <v>2</v>
      </c>
      <c r="AN422">
        <v>131.46</v>
      </c>
      <c r="AR422" t="s">
        <v>5312</v>
      </c>
      <c r="AS422" t="s">
        <v>6298</v>
      </c>
      <c r="AT422">
        <v>33852</v>
      </c>
      <c r="AX422" t="s">
        <v>6410</v>
      </c>
      <c r="BA422" t="s">
        <v>6477</v>
      </c>
      <c r="BD422" t="s">
        <v>275</v>
      </c>
      <c r="BE422" t="s">
        <v>6702</v>
      </c>
    </row>
    <row r="423" spans="1:57">
      <c r="A423" s="1">
        <f>HYPERLINK("https://lsnyc.legalserver.org/matter/dynamic-profile/view/1903032","19-1903032")</f>
        <v>0</v>
      </c>
      <c r="B423" t="s">
        <v>58</v>
      </c>
      <c r="C423" t="s">
        <v>126</v>
      </c>
      <c r="D423" t="s">
        <v>214</v>
      </c>
      <c r="E423" t="s">
        <v>380</v>
      </c>
      <c r="G423" t="s">
        <v>931</v>
      </c>
      <c r="H423" t="s">
        <v>1650</v>
      </c>
      <c r="J423" t="s">
        <v>2449</v>
      </c>
      <c r="K423">
        <v>521</v>
      </c>
      <c r="L423" t="s">
        <v>3332</v>
      </c>
      <c r="M423" t="s">
        <v>3379</v>
      </c>
      <c r="N423">
        <v>11226</v>
      </c>
      <c r="O423" t="s">
        <v>3381</v>
      </c>
      <c r="P423" t="s">
        <v>3381</v>
      </c>
      <c r="Q423" t="s">
        <v>3383</v>
      </c>
      <c r="R423" t="s">
        <v>3746</v>
      </c>
      <c r="S423">
        <v>20</v>
      </c>
      <c r="T423" t="s">
        <v>4196</v>
      </c>
      <c r="U423" t="s">
        <v>4223</v>
      </c>
      <c r="W423" t="s">
        <v>4241</v>
      </c>
      <c r="X423" t="s">
        <v>3382</v>
      </c>
      <c r="AA423" t="s">
        <v>4256</v>
      </c>
      <c r="AC423">
        <v>0</v>
      </c>
      <c r="AD423">
        <v>1095</v>
      </c>
      <c r="AE423">
        <v>10.15</v>
      </c>
      <c r="AG423" t="s">
        <v>4685</v>
      </c>
      <c r="AI423" t="s">
        <v>5736</v>
      </c>
      <c r="AJ423">
        <v>100</v>
      </c>
      <c r="AL423">
        <v>2</v>
      </c>
      <c r="AM423">
        <v>0</v>
      </c>
      <c r="AN423">
        <v>62.02</v>
      </c>
      <c r="AR423" t="s">
        <v>6293</v>
      </c>
      <c r="AS423" t="s">
        <v>6298</v>
      </c>
      <c r="AT423">
        <v>10488</v>
      </c>
      <c r="AX423" t="s">
        <v>6410</v>
      </c>
      <c r="BA423" t="s">
        <v>6499</v>
      </c>
      <c r="BD423" t="s">
        <v>275</v>
      </c>
    </row>
    <row r="424" spans="1:57">
      <c r="A424" s="1">
        <f>HYPERLINK("https://lsnyc.legalserver.org/matter/dynamic-profile/view/1906027","19-1906027")</f>
        <v>0</v>
      </c>
      <c r="B424" t="s">
        <v>58</v>
      </c>
      <c r="C424" t="s">
        <v>126</v>
      </c>
      <c r="D424" t="s">
        <v>214</v>
      </c>
      <c r="E424" t="s">
        <v>333</v>
      </c>
      <c r="G424" t="s">
        <v>931</v>
      </c>
      <c r="H424" t="s">
        <v>1651</v>
      </c>
      <c r="J424" t="s">
        <v>2450</v>
      </c>
      <c r="K424" t="s">
        <v>3174</v>
      </c>
      <c r="L424" t="s">
        <v>3332</v>
      </c>
      <c r="M424" t="s">
        <v>3379</v>
      </c>
      <c r="N424">
        <v>11226</v>
      </c>
      <c r="O424" t="s">
        <v>3382</v>
      </c>
      <c r="P424" t="s">
        <v>3381</v>
      </c>
      <c r="Q424" t="s">
        <v>3383</v>
      </c>
      <c r="R424" t="s">
        <v>3747</v>
      </c>
      <c r="S424">
        <v>20</v>
      </c>
      <c r="T424" t="s">
        <v>4196</v>
      </c>
      <c r="U424" t="s">
        <v>4223</v>
      </c>
      <c r="W424" t="s">
        <v>4241</v>
      </c>
      <c r="X424" t="s">
        <v>3382</v>
      </c>
      <c r="Y424" t="s">
        <v>3382</v>
      </c>
      <c r="AA424" t="s">
        <v>4256</v>
      </c>
      <c r="AB424" t="s">
        <v>4264</v>
      </c>
      <c r="AC424">
        <v>0</v>
      </c>
      <c r="AD424">
        <v>1475.14</v>
      </c>
      <c r="AE424">
        <v>9.9</v>
      </c>
      <c r="AG424" t="s">
        <v>4686</v>
      </c>
      <c r="AH424">
        <v>37698537</v>
      </c>
      <c r="AI424" t="s">
        <v>5737</v>
      </c>
      <c r="AJ424">
        <v>104</v>
      </c>
      <c r="AK424" t="s">
        <v>6267</v>
      </c>
      <c r="AL424">
        <v>1</v>
      </c>
      <c r="AM424">
        <v>0</v>
      </c>
      <c r="AN424">
        <v>95.31</v>
      </c>
      <c r="AR424" t="s">
        <v>5312</v>
      </c>
      <c r="AS424" t="s">
        <v>6298</v>
      </c>
      <c r="AT424">
        <v>11904</v>
      </c>
      <c r="AX424" t="s">
        <v>6410</v>
      </c>
      <c r="BA424" t="s">
        <v>6511</v>
      </c>
      <c r="BD424" t="s">
        <v>266</v>
      </c>
      <c r="BE424" t="s">
        <v>6702</v>
      </c>
    </row>
    <row r="425" spans="1:57">
      <c r="A425" s="1">
        <f>HYPERLINK("https://lsnyc.legalserver.org/matter/dynamic-profile/view/1907989","19-1907989")</f>
        <v>0</v>
      </c>
      <c r="B425" t="s">
        <v>58</v>
      </c>
      <c r="C425" t="s">
        <v>126</v>
      </c>
      <c r="D425" t="s">
        <v>214</v>
      </c>
      <c r="E425" t="s">
        <v>381</v>
      </c>
      <c r="G425" t="s">
        <v>932</v>
      </c>
      <c r="H425" t="s">
        <v>1527</v>
      </c>
      <c r="J425" t="s">
        <v>2451</v>
      </c>
      <c r="K425" t="s">
        <v>3175</v>
      </c>
      <c r="L425" t="s">
        <v>3332</v>
      </c>
      <c r="M425" t="s">
        <v>3379</v>
      </c>
      <c r="N425">
        <v>11226</v>
      </c>
      <c r="O425" t="s">
        <v>3380</v>
      </c>
      <c r="P425" t="s">
        <v>3381</v>
      </c>
      <c r="Q425" t="s">
        <v>3396</v>
      </c>
      <c r="R425" t="s">
        <v>3748</v>
      </c>
      <c r="S425">
        <v>20</v>
      </c>
      <c r="T425" t="s">
        <v>4196</v>
      </c>
      <c r="U425" t="s">
        <v>4223</v>
      </c>
      <c r="W425" t="s">
        <v>4241</v>
      </c>
      <c r="X425" t="s">
        <v>3382</v>
      </c>
      <c r="Y425" t="s">
        <v>3382</v>
      </c>
      <c r="AA425" t="s">
        <v>4256</v>
      </c>
      <c r="AB425" t="s">
        <v>4261</v>
      </c>
      <c r="AC425">
        <v>0</v>
      </c>
      <c r="AD425">
        <v>1377.91</v>
      </c>
      <c r="AE425">
        <v>13.5</v>
      </c>
      <c r="AG425" t="s">
        <v>4685</v>
      </c>
      <c r="AI425" t="s">
        <v>5738</v>
      </c>
      <c r="AJ425">
        <v>0</v>
      </c>
      <c r="AK425" t="s">
        <v>6267</v>
      </c>
      <c r="AL425">
        <v>1</v>
      </c>
      <c r="AM425">
        <v>0</v>
      </c>
      <c r="AN425">
        <v>57.17</v>
      </c>
      <c r="AS425" t="s">
        <v>6298</v>
      </c>
      <c r="AT425">
        <v>7140</v>
      </c>
      <c r="AX425" t="s">
        <v>126</v>
      </c>
      <c r="BA425" t="s">
        <v>6487</v>
      </c>
      <c r="BD425" t="s">
        <v>275</v>
      </c>
    </row>
    <row r="426" spans="1:57">
      <c r="A426" s="1">
        <f>HYPERLINK("https://lsnyc.legalserver.org/matter/dynamic-profile/view/1891803","19-1891803")</f>
        <v>0</v>
      </c>
      <c r="B426" t="s">
        <v>58</v>
      </c>
      <c r="C426" t="s">
        <v>127</v>
      </c>
      <c r="D426" t="s">
        <v>214</v>
      </c>
      <c r="E426" t="s">
        <v>382</v>
      </c>
      <c r="G426" t="s">
        <v>933</v>
      </c>
      <c r="H426" t="s">
        <v>1652</v>
      </c>
      <c r="J426" t="s">
        <v>2452</v>
      </c>
      <c r="K426" t="s">
        <v>3176</v>
      </c>
      <c r="L426" t="s">
        <v>3332</v>
      </c>
      <c r="M426" t="s">
        <v>3379</v>
      </c>
      <c r="N426">
        <v>11230</v>
      </c>
      <c r="O426" t="s">
        <v>3381</v>
      </c>
      <c r="P426" t="s">
        <v>3381</v>
      </c>
      <c r="Q426" t="s">
        <v>3383</v>
      </c>
      <c r="R426" t="s">
        <v>3749</v>
      </c>
      <c r="S426">
        <v>18</v>
      </c>
      <c r="T426" t="s">
        <v>4196</v>
      </c>
      <c r="U426" t="s">
        <v>4223</v>
      </c>
      <c r="W426" t="s">
        <v>4240</v>
      </c>
      <c r="X426" t="s">
        <v>3382</v>
      </c>
      <c r="AA426" t="s">
        <v>4256</v>
      </c>
      <c r="AC426">
        <v>0</v>
      </c>
      <c r="AD426">
        <v>1150</v>
      </c>
      <c r="AE426">
        <v>9.5</v>
      </c>
      <c r="AG426" t="s">
        <v>4687</v>
      </c>
      <c r="AI426" t="s">
        <v>5739</v>
      </c>
      <c r="AJ426">
        <v>43</v>
      </c>
      <c r="AL426">
        <v>2</v>
      </c>
      <c r="AM426">
        <v>2</v>
      </c>
      <c r="AN426">
        <v>0</v>
      </c>
      <c r="AS426" t="s">
        <v>6301</v>
      </c>
      <c r="AT426">
        <v>0</v>
      </c>
      <c r="AX426" t="s">
        <v>6410</v>
      </c>
      <c r="BA426" t="s">
        <v>6479</v>
      </c>
      <c r="BD426" t="s">
        <v>264</v>
      </c>
    </row>
    <row r="427" spans="1:57">
      <c r="A427" s="1">
        <f>HYPERLINK("https://lsnyc.legalserver.org/matter/dynamic-profile/view/1890388","19-1890388")</f>
        <v>0</v>
      </c>
      <c r="B427" t="s">
        <v>58</v>
      </c>
      <c r="C427" t="s">
        <v>127</v>
      </c>
      <c r="D427" t="s">
        <v>214</v>
      </c>
      <c r="E427" t="s">
        <v>343</v>
      </c>
      <c r="G427" t="s">
        <v>934</v>
      </c>
      <c r="H427" t="s">
        <v>1653</v>
      </c>
      <c r="J427" t="s">
        <v>2453</v>
      </c>
      <c r="K427" t="s">
        <v>3177</v>
      </c>
      <c r="L427" t="s">
        <v>3332</v>
      </c>
      <c r="M427" t="s">
        <v>3379</v>
      </c>
      <c r="N427">
        <v>11225</v>
      </c>
      <c r="O427" t="s">
        <v>3382</v>
      </c>
      <c r="P427" t="s">
        <v>3380</v>
      </c>
      <c r="Q427" t="s">
        <v>3397</v>
      </c>
      <c r="R427" t="s">
        <v>3750</v>
      </c>
      <c r="S427">
        <v>8</v>
      </c>
      <c r="T427" t="s">
        <v>4196</v>
      </c>
      <c r="U427" t="s">
        <v>4223</v>
      </c>
      <c r="W427" t="s">
        <v>4241</v>
      </c>
      <c r="X427" t="s">
        <v>3382</v>
      </c>
      <c r="Y427" t="s">
        <v>3382</v>
      </c>
      <c r="AA427" t="s">
        <v>4256</v>
      </c>
      <c r="AC427">
        <v>0</v>
      </c>
      <c r="AD427">
        <v>850</v>
      </c>
      <c r="AE427">
        <v>33.5</v>
      </c>
      <c r="AG427" t="s">
        <v>4688</v>
      </c>
      <c r="AI427" t="s">
        <v>5740</v>
      </c>
      <c r="AJ427">
        <v>15</v>
      </c>
      <c r="AL427">
        <v>2</v>
      </c>
      <c r="AM427">
        <v>0</v>
      </c>
      <c r="AN427">
        <v>292.13</v>
      </c>
      <c r="AQ427" t="s">
        <v>6287</v>
      </c>
      <c r="AR427" t="s">
        <v>5312</v>
      </c>
      <c r="AS427" t="s">
        <v>6298</v>
      </c>
      <c r="AT427">
        <v>49400</v>
      </c>
      <c r="AX427" t="s">
        <v>6413</v>
      </c>
      <c r="BA427" t="s">
        <v>6477</v>
      </c>
      <c r="BD427" t="s">
        <v>230</v>
      </c>
    </row>
    <row r="428" spans="1:57">
      <c r="A428" s="1">
        <f>HYPERLINK("https://lsnyc.legalserver.org/matter/dynamic-profile/view/1872022","18-1872022")</f>
        <v>0</v>
      </c>
      <c r="B428" t="s">
        <v>58</v>
      </c>
      <c r="C428" t="s">
        <v>127</v>
      </c>
      <c r="D428" t="s">
        <v>214</v>
      </c>
      <c r="E428" t="s">
        <v>383</v>
      </c>
      <c r="G428" t="s">
        <v>935</v>
      </c>
      <c r="H428" t="s">
        <v>1334</v>
      </c>
      <c r="J428" t="s">
        <v>2454</v>
      </c>
      <c r="K428" t="s">
        <v>3007</v>
      </c>
      <c r="L428" t="s">
        <v>3332</v>
      </c>
      <c r="M428" t="s">
        <v>3379</v>
      </c>
      <c r="N428">
        <v>11220</v>
      </c>
      <c r="O428" t="s">
        <v>3382</v>
      </c>
      <c r="P428" t="s">
        <v>3381</v>
      </c>
      <c r="Q428" t="s">
        <v>3399</v>
      </c>
      <c r="S428">
        <v>37</v>
      </c>
      <c r="T428" t="s">
        <v>4197</v>
      </c>
      <c r="U428" t="s">
        <v>4223</v>
      </c>
      <c r="W428" t="s">
        <v>4240</v>
      </c>
      <c r="X428" t="s">
        <v>3382</v>
      </c>
      <c r="AA428" t="s">
        <v>4256</v>
      </c>
      <c r="AC428">
        <v>673</v>
      </c>
      <c r="AD428">
        <v>673</v>
      </c>
      <c r="AE428">
        <v>28.2</v>
      </c>
      <c r="AG428" t="s">
        <v>4689</v>
      </c>
      <c r="AI428" t="s">
        <v>5741</v>
      </c>
      <c r="AJ428">
        <v>24</v>
      </c>
      <c r="AK428" t="s">
        <v>6267</v>
      </c>
      <c r="AL428">
        <v>2</v>
      </c>
      <c r="AM428">
        <v>0</v>
      </c>
      <c r="AN428">
        <v>94.78</v>
      </c>
      <c r="AQ428" t="s">
        <v>6287</v>
      </c>
      <c r="AS428" t="s">
        <v>6298</v>
      </c>
      <c r="AT428">
        <v>15600</v>
      </c>
      <c r="AX428" t="s">
        <v>6409</v>
      </c>
      <c r="BA428" t="s">
        <v>6473</v>
      </c>
      <c r="BD428" t="s">
        <v>231</v>
      </c>
    </row>
    <row r="429" spans="1:57">
      <c r="A429" s="1">
        <f>HYPERLINK("https://lsnyc.legalserver.org/matter/dynamic-profile/view/1910860","19-1910860")</f>
        <v>0</v>
      </c>
      <c r="B429" t="s">
        <v>58</v>
      </c>
      <c r="C429" t="s">
        <v>128</v>
      </c>
      <c r="D429" t="s">
        <v>215</v>
      </c>
      <c r="E429" t="s">
        <v>317</v>
      </c>
      <c r="F429" t="s">
        <v>576</v>
      </c>
      <c r="G429" t="s">
        <v>936</v>
      </c>
      <c r="H429" t="s">
        <v>1654</v>
      </c>
      <c r="J429" t="s">
        <v>2455</v>
      </c>
      <c r="K429" t="s">
        <v>3178</v>
      </c>
      <c r="L429" t="s">
        <v>3332</v>
      </c>
      <c r="M429" t="s">
        <v>3379</v>
      </c>
      <c r="N429">
        <v>11225</v>
      </c>
      <c r="O429" t="s">
        <v>3381</v>
      </c>
      <c r="P429" t="s">
        <v>3381</v>
      </c>
      <c r="S429">
        <v>0</v>
      </c>
      <c r="T429" t="s">
        <v>4196</v>
      </c>
      <c r="U429" t="s">
        <v>4223</v>
      </c>
      <c r="V429" t="s">
        <v>4231</v>
      </c>
      <c r="W429" t="s">
        <v>4240</v>
      </c>
      <c r="X429" t="s">
        <v>3382</v>
      </c>
      <c r="AA429" t="s">
        <v>4256</v>
      </c>
      <c r="AC429">
        <v>0</v>
      </c>
      <c r="AD429">
        <v>780</v>
      </c>
      <c r="AE429">
        <v>1.25</v>
      </c>
      <c r="AF429" t="s">
        <v>4269</v>
      </c>
      <c r="AG429" t="s">
        <v>4690</v>
      </c>
      <c r="AI429" t="s">
        <v>5742</v>
      </c>
      <c r="AJ429">
        <v>0</v>
      </c>
      <c r="AK429" t="s">
        <v>6267</v>
      </c>
      <c r="AL429">
        <v>1</v>
      </c>
      <c r="AM429">
        <v>0</v>
      </c>
      <c r="AN429">
        <v>36.03</v>
      </c>
      <c r="AS429" t="s">
        <v>6298</v>
      </c>
      <c r="AT429">
        <v>4500</v>
      </c>
      <c r="AX429" t="s">
        <v>128</v>
      </c>
      <c r="BA429" t="s">
        <v>6539</v>
      </c>
      <c r="BD429" t="s">
        <v>576</v>
      </c>
    </row>
    <row r="430" spans="1:57">
      <c r="A430" s="1">
        <f>HYPERLINK("https://lsnyc.legalserver.org/matter/dynamic-profile/view/1847686","17-1847686")</f>
        <v>0</v>
      </c>
      <c r="B430" t="s">
        <v>58</v>
      </c>
      <c r="C430" t="s">
        <v>129</v>
      </c>
      <c r="D430" t="s">
        <v>214</v>
      </c>
      <c r="E430" t="s">
        <v>384</v>
      </c>
      <c r="G430" t="s">
        <v>602</v>
      </c>
      <c r="H430" t="s">
        <v>1655</v>
      </c>
      <c r="J430" t="s">
        <v>2456</v>
      </c>
      <c r="K430" t="s">
        <v>3179</v>
      </c>
      <c r="L430" t="s">
        <v>3332</v>
      </c>
      <c r="M430" t="s">
        <v>3379</v>
      </c>
      <c r="N430">
        <v>11225</v>
      </c>
      <c r="O430" t="s">
        <v>3382</v>
      </c>
      <c r="P430" t="s">
        <v>3381</v>
      </c>
      <c r="Q430" t="s">
        <v>3399</v>
      </c>
      <c r="R430" t="s">
        <v>3751</v>
      </c>
      <c r="S430">
        <v>14</v>
      </c>
      <c r="T430" t="s">
        <v>4205</v>
      </c>
      <c r="U430" t="s">
        <v>4223</v>
      </c>
      <c r="W430" t="s">
        <v>4241</v>
      </c>
      <c r="X430" t="s">
        <v>3382</v>
      </c>
      <c r="AA430" t="s">
        <v>4256</v>
      </c>
      <c r="AC430">
        <v>1400</v>
      </c>
      <c r="AD430">
        <v>1400</v>
      </c>
      <c r="AE430">
        <v>77.3</v>
      </c>
      <c r="AG430" t="s">
        <v>4691</v>
      </c>
      <c r="AI430" t="s">
        <v>5743</v>
      </c>
      <c r="AJ430">
        <v>90</v>
      </c>
      <c r="AK430" t="s">
        <v>6267</v>
      </c>
      <c r="AL430">
        <v>2</v>
      </c>
      <c r="AM430">
        <v>2</v>
      </c>
      <c r="AN430">
        <v>45.45</v>
      </c>
      <c r="AQ430" t="s">
        <v>6286</v>
      </c>
      <c r="AS430" t="s">
        <v>6298</v>
      </c>
      <c r="AT430">
        <v>11180</v>
      </c>
      <c r="AX430" t="s">
        <v>6407</v>
      </c>
      <c r="BA430" t="s">
        <v>6549</v>
      </c>
      <c r="BD430" t="s">
        <v>6643</v>
      </c>
    </row>
    <row r="431" spans="1:57">
      <c r="A431" s="1">
        <f>HYPERLINK("https://lsnyc.legalserver.org/matter/dynamic-profile/view/1888571","19-1888571")</f>
        <v>0</v>
      </c>
      <c r="B431" t="s">
        <v>58</v>
      </c>
      <c r="C431" t="s">
        <v>129</v>
      </c>
      <c r="D431" t="s">
        <v>215</v>
      </c>
      <c r="E431" t="s">
        <v>358</v>
      </c>
      <c r="F431" t="s">
        <v>266</v>
      </c>
      <c r="G431" t="s">
        <v>937</v>
      </c>
      <c r="H431" t="s">
        <v>1656</v>
      </c>
      <c r="J431" t="s">
        <v>2389</v>
      </c>
      <c r="K431" t="s">
        <v>3180</v>
      </c>
      <c r="L431" t="s">
        <v>3332</v>
      </c>
      <c r="M431" t="s">
        <v>3379</v>
      </c>
      <c r="N431">
        <v>11216</v>
      </c>
      <c r="O431" t="s">
        <v>3381</v>
      </c>
      <c r="P431" t="s">
        <v>3382</v>
      </c>
      <c r="Q431" t="s">
        <v>3386</v>
      </c>
      <c r="R431" t="s">
        <v>3752</v>
      </c>
      <c r="S431">
        <v>12</v>
      </c>
      <c r="T431" t="s">
        <v>4196</v>
      </c>
      <c r="U431" t="s">
        <v>4223</v>
      </c>
      <c r="V431" t="s">
        <v>4231</v>
      </c>
      <c r="W431" t="s">
        <v>4240</v>
      </c>
      <c r="X431" t="s">
        <v>3382</v>
      </c>
      <c r="AA431" t="s">
        <v>4256</v>
      </c>
      <c r="AC431">
        <v>0</v>
      </c>
      <c r="AD431">
        <v>1440.54</v>
      </c>
      <c r="AE431">
        <v>34.4</v>
      </c>
      <c r="AF431" t="s">
        <v>4269</v>
      </c>
      <c r="AG431" t="s">
        <v>4692</v>
      </c>
      <c r="AI431" t="s">
        <v>5744</v>
      </c>
      <c r="AJ431">
        <v>70</v>
      </c>
      <c r="AK431" t="s">
        <v>6267</v>
      </c>
      <c r="AL431">
        <v>1</v>
      </c>
      <c r="AM431">
        <v>0</v>
      </c>
      <c r="AN431">
        <v>148.34</v>
      </c>
      <c r="AQ431" t="s">
        <v>6287</v>
      </c>
      <c r="AR431" t="s">
        <v>6293</v>
      </c>
      <c r="AS431" t="s">
        <v>6298</v>
      </c>
      <c r="AT431">
        <v>18528</v>
      </c>
      <c r="AX431" t="s">
        <v>6409</v>
      </c>
      <c r="BA431" t="s">
        <v>6550</v>
      </c>
      <c r="BD431" t="s">
        <v>581</v>
      </c>
    </row>
    <row r="432" spans="1:57">
      <c r="A432" s="1">
        <f>HYPERLINK("https://lsnyc.legalserver.org/matter/dynamic-profile/view/1841670","17-1841670")</f>
        <v>0</v>
      </c>
      <c r="B432" t="s">
        <v>58</v>
      </c>
      <c r="C432" t="s">
        <v>129</v>
      </c>
      <c r="D432" t="s">
        <v>214</v>
      </c>
      <c r="E432" t="s">
        <v>385</v>
      </c>
      <c r="G432" t="s">
        <v>938</v>
      </c>
      <c r="H432" t="s">
        <v>1657</v>
      </c>
      <c r="J432" t="s">
        <v>2457</v>
      </c>
      <c r="K432" t="s">
        <v>3181</v>
      </c>
      <c r="L432" t="s">
        <v>3332</v>
      </c>
      <c r="M432" t="s">
        <v>3379</v>
      </c>
      <c r="N432">
        <v>11208</v>
      </c>
      <c r="O432" t="s">
        <v>3382</v>
      </c>
      <c r="P432" t="s">
        <v>3381</v>
      </c>
      <c r="Q432" t="s">
        <v>3390</v>
      </c>
      <c r="S432">
        <v>13</v>
      </c>
      <c r="T432" t="s">
        <v>4210</v>
      </c>
      <c r="U432" t="s">
        <v>4223</v>
      </c>
      <c r="W432" t="s">
        <v>4240</v>
      </c>
      <c r="X432" t="s">
        <v>3382</v>
      </c>
      <c r="AA432" t="s">
        <v>4258</v>
      </c>
      <c r="AC432">
        <v>236</v>
      </c>
      <c r="AD432">
        <v>236</v>
      </c>
      <c r="AE432">
        <v>102.7</v>
      </c>
      <c r="AG432" t="s">
        <v>4693</v>
      </c>
      <c r="AH432" t="s">
        <v>5291</v>
      </c>
      <c r="AI432" t="s">
        <v>5745</v>
      </c>
      <c r="AJ432">
        <v>42</v>
      </c>
      <c r="AK432" t="s">
        <v>6278</v>
      </c>
      <c r="AL432">
        <v>1</v>
      </c>
      <c r="AM432">
        <v>0</v>
      </c>
      <c r="AN432">
        <v>0</v>
      </c>
      <c r="AQ432" t="s">
        <v>6287</v>
      </c>
      <c r="AR432" t="s">
        <v>5312</v>
      </c>
      <c r="AS432" t="s">
        <v>6298</v>
      </c>
      <c r="AT432">
        <v>0</v>
      </c>
      <c r="AU432" t="s">
        <v>6317</v>
      </c>
      <c r="AX432" t="s">
        <v>6409</v>
      </c>
      <c r="BA432" t="s">
        <v>6486</v>
      </c>
      <c r="BD432" t="s">
        <v>218</v>
      </c>
    </row>
    <row r="433" spans="1:57">
      <c r="A433" s="1">
        <f>HYPERLINK("https://lsnyc.legalserver.org/matter/dynamic-profile/view/1906339","19-1906339")</f>
        <v>0</v>
      </c>
      <c r="B433" t="s">
        <v>58</v>
      </c>
      <c r="C433" t="s">
        <v>130</v>
      </c>
      <c r="D433" t="s">
        <v>214</v>
      </c>
      <c r="E433" t="s">
        <v>329</v>
      </c>
      <c r="G433" t="s">
        <v>939</v>
      </c>
      <c r="H433" t="s">
        <v>1658</v>
      </c>
      <c r="J433" t="s">
        <v>2458</v>
      </c>
      <c r="K433" t="s">
        <v>3091</v>
      </c>
      <c r="L433" t="s">
        <v>3332</v>
      </c>
      <c r="M433" t="s">
        <v>3379</v>
      </c>
      <c r="N433">
        <v>11225</v>
      </c>
      <c r="O433" t="s">
        <v>3382</v>
      </c>
      <c r="P433" t="s">
        <v>3381</v>
      </c>
      <c r="Q433" t="s">
        <v>3383</v>
      </c>
      <c r="S433">
        <v>15</v>
      </c>
      <c r="T433" t="s">
        <v>4203</v>
      </c>
      <c r="U433" t="s">
        <v>4225</v>
      </c>
      <c r="W433" t="s">
        <v>4241</v>
      </c>
      <c r="X433" t="s">
        <v>3382</v>
      </c>
      <c r="AA433" t="s">
        <v>4256</v>
      </c>
      <c r="AC433">
        <v>0</v>
      </c>
      <c r="AD433">
        <v>1254.73</v>
      </c>
      <c r="AE433">
        <v>0.5</v>
      </c>
      <c r="AG433" t="s">
        <v>4694</v>
      </c>
      <c r="AI433" t="s">
        <v>5746</v>
      </c>
      <c r="AJ433">
        <v>60</v>
      </c>
      <c r="AK433" t="s">
        <v>6267</v>
      </c>
      <c r="AL433">
        <v>1</v>
      </c>
      <c r="AM433">
        <v>0</v>
      </c>
      <c r="AN433">
        <v>187.35</v>
      </c>
      <c r="AS433" t="s">
        <v>6298</v>
      </c>
      <c r="AT433">
        <v>23400</v>
      </c>
      <c r="AX433" t="s">
        <v>6407</v>
      </c>
      <c r="BA433" t="s">
        <v>6485</v>
      </c>
      <c r="BD433" t="s">
        <v>340</v>
      </c>
    </row>
    <row r="434" spans="1:57">
      <c r="A434" s="1">
        <f>HYPERLINK("https://lsnyc.legalserver.org/matter/dynamic-profile/view/1915327","19-1915327")</f>
        <v>0</v>
      </c>
      <c r="B434" t="s">
        <v>58</v>
      </c>
      <c r="C434" t="s">
        <v>130</v>
      </c>
      <c r="D434" t="s">
        <v>214</v>
      </c>
      <c r="E434" t="s">
        <v>217</v>
      </c>
      <c r="G434" t="s">
        <v>940</v>
      </c>
      <c r="H434" t="s">
        <v>1659</v>
      </c>
      <c r="J434" t="s">
        <v>2459</v>
      </c>
      <c r="K434" t="s">
        <v>2998</v>
      </c>
      <c r="L434" t="s">
        <v>3332</v>
      </c>
      <c r="M434" t="s">
        <v>3379</v>
      </c>
      <c r="N434">
        <v>11225</v>
      </c>
      <c r="O434" t="s">
        <v>3380</v>
      </c>
      <c r="P434" t="s">
        <v>3381</v>
      </c>
      <c r="Q434" t="s">
        <v>3397</v>
      </c>
      <c r="R434" t="s">
        <v>3753</v>
      </c>
      <c r="S434">
        <v>7</v>
      </c>
      <c r="T434" t="s">
        <v>4196</v>
      </c>
      <c r="U434" t="s">
        <v>4224</v>
      </c>
      <c r="W434" t="s">
        <v>4241</v>
      </c>
      <c r="X434" t="s">
        <v>3382</v>
      </c>
      <c r="AA434" t="s">
        <v>4256</v>
      </c>
      <c r="AC434">
        <v>0</v>
      </c>
      <c r="AD434">
        <v>1800.75</v>
      </c>
      <c r="AE434">
        <v>0</v>
      </c>
      <c r="AG434" t="s">
        <v>4695</v>
      </c>
      <c r="AI434" t="s">
        <v>5747</v>
      </c>
      <c r="AJ434">
        <v>0</v>
      </c>
      <c r="AL434">
        <v>1</v>
      </c>
      <c r="AM434">
        <v>1</v>
      </c>
      <c r="AN434">
        <v>184.51</v>
      </c>
      <c r="AS434" t="s">
        <v>6298</v>
      </c>
      <c r="AT434">
        <v>31200</v>
      </c>
      <c r="AX434" t="s">
        <v>6410</v>
      </c>
      <c r="BA434" t="s">
        <v>6477</v>
      </c>
      <c r="BE434" t="s">
        <v>6702</v>
      </c>
    </row>
    <row r="435" spans="1:57">
      <c r="A435" s="1">
        <f>HYPERLINK("https://lsnyc.legalserver.org/matter/dynamic-profile/view/1915018","19-1915018")</f>
        <v>0</v>
      </c>
      <c r="B435" t="s">
        <v>58</v>
      </c>
      <c r="C435" t="s">
        <v>130</v>
      </c>
      <c r="D435" t="s">
        <v>214</v>
      </c>
      <c r="E435" t="s">
        <v>218</v>
      </c>
      <c r="G435" t="s">
        <v>941</v>
      </c>
      <c r="H435" t="s">
        <v>1660</v>
      </c>
      <c r="J435" t="s">
        <v>2460</v>
      </c>
      <c r="K435" t="s">
        <v>3182</v>
      </c>
      <c r="L435" t="s">
        <v>3332</v>
      </c>
      <c r="M435" t="s">
        <v>3379</v>
      </c>
      <c r="N435">
        <v>11225</v>
      </c>
      <c r="O435" t="s">
        <v>3380</v>
      </c>
      <c r="P435" t="s">
        <v>3381</v>
      </c>
      <c r="Q435" t="s">
        <v>3397</v>
      </c>
      <c r="R435" t="s">
        <v>3754</v>
      </c>
      <c r="S435">
        <v>0</v>
      </c>
      <c r="U435" t="s">
        <v>4224</v>
      </c>
      <c r="W435" t="s">
        <v>4241</v>
      </c>
      <c r="X435" t="s">
        <v>3382</v>
      </c>
      <c r="AA435" t="s">
        <v>4256</v>
      </c>
      <c r="AC435">
        <v>0</v>
      </c>
      <c r="AD435">
        <v>0</v>
      </c>
      <c r="AE435">
        <v>0</v>
      </c>
      <c r="AG435" t="s">
        <v>4696</v>
      </c>
      <c r="AI435" t="s">
        <v>5748</v>
      </c>
      <c r="AJ435">
        <v>0</v>
      </c>
      <c r="AL435">
        <v>2</v>
      </c>
      <c r="AM435">
        <v>0</v>
      </c>
      <c r="AN435">
        <v>112.95</v>
      </c>
      <c r="AS435" t="s">
        <v>6298</v>
      </c>
      <c r="AT435">
        <v>19100</v>
      </c>
      <c r="AX435" t="s">
        <v>6411</v>
      </c>
      <c r="BA435" t="s">
        <v>3391</v>
      </c>
      <c r="BE435" t="s">
        <v>6702</v>
      </c>
    </row>
    <row r="436" spans="1:57">
      <c r="A436" s="1">
        <f>HYPERLINK("https://lsnyc.legalserver.org/matter/dynamic-profile/view/1904872","19-1904872")</f>
        <v>0</v>
      </c>
      <c r="B436" t="s">
        <v>58</v>
      </c>
      <c r="C436" t="s">
        <v>130</v>
      </c>
      <c r="D436" t="s">
        <v>214</v>
      </c>
      <c r="E436" t="s">
        <v>280</v>
      </c>
      <c r="G436" t="s">
        <v>942</v>
      </c>
      <c r="H436" t="s">
        <v>1661</v>
      </c>
      <c r="J436" t="s">
        <v>2461</v>
      </c>
      <c r="K436" t="s">
        <v>3017</v>
      </c>
      <c r="L436" t="s">
        <v>3332</v>
      </c>
      <c r="M436" t="s">
        <v>3379</v>
      </c>
      <c r="N436">
        <v>11216</v>
      </c>
      <c r="O436" t="s">
        <v>3381</v>
      </c>
      <c r="P436" t="s">
        <v>3381</v>
      </c>
      <c r="Q436" t="s">
        <v>3386</v>
      </c>
      <c r="R436" t="s">
        <v>3755</v>
      </c>
      <c r="S436">
        <v>6</v>
      </c>
      <c r="T436" t="s">
        <v>4197</v>
      </c>
      <c r="U436" t="s">
        <v>4225</v>
      </c>
      <c r="W436" t="s">
        <v>4241</v>
      </c>
      <c r="X436" t="s">
        <v>3382</v>
      </c>
      <c r="AA436" t="s">
        <v>4256</v>
      </c>
      <c r="AC436">
        <v>0</v>
      </c>
      <c r="AD436">
        <v>654</v>
      </c>
      <c r="AE436">
        <v>0.7</v>
      </c>
      <c r="AG436" t="s">
        <v>4697</v>
      </c>
      <c r="AH436" t="s">
        <v>5292</v>
      </c>
      <c r="AI436" t="s">
        <v>5749</v>
      </c>
      <c r="AJ436">
        <v>40</v>
      </c>
      <c r="AK436" t="s">
        <v>6267</v>
      </c>
      <c r="AL436">
        <v>1</v>
      </c>
      <c r="AM436">
        <v>0</v>
      </c>
      <c r="AN436">
        <v>208.17</v>
      </c>
      <c r="AO436" t="s">
        <v>309</v>
      </c>
      <c r="AP436" t="s">
        <v>6283</v>
      </c>
      <c r="AS436" t="s">
        <v>6298</v>
      </c>
      <c r="AT436">
        <v>26000</v>
      </c>
      <c r="AX436" t="s">
        <v>6407</v>
      </c>
      <c r="BA436" t="s">
        <v>6473</v>
      </c>
      <c r="BD436" t="s">
        <v>329</v>
      </c>
    </row>
    <row r="437" spans="1:57">
      <c r="A437" s="1">
        <f>HYPERLINK("https://lsnyc.legalserver.org/matter/dynamic-profile/view/1903644","19-1903644")</f>
        <v>0</v>
      </c>
      <c r="B437" t="s">
        <v>58</v>
      </c>
      <c r="C437" t="s">
        <v>130</v>
      </c>
      <c r="D437" t="s">
        <v>215</v>
      </c>
      <c r="E437" t="s">
        <v>386</v>
      </c>
      <c r="F437" t="s">
        <v>280</v>
      </c>
      <c r="G437" t="s">
        <v>943</v>
      </c>
      <c r="H437" t="s">
        <v>1662</v>
      </c>
      <c r="J437" t="s">
        <v>2462</v>
      </c>
      <c r="K437" t="s">
        <v>3183</v>
      </c>
      <c r="L437" t="s">
        <v>3332</v>
      </c>
      <c r="M437" t="s">
        <v>3379</v>
      </c>
      <c r="N437">
        <v>11215</v>
      </c>
      <c r="O437" t="s">
        <v>3381</v>
      </c>
      <c r="P437" t="s">
        <v>3381</v>
      </c>
      <c r="S437">
        <v>0</v>
      </c>
      <c r="U437" t="s">
        <v>4225</v>
      </c>
      <c r="V437" t="s">
        <v>4230</v>
      </c>
      <c r="W437" t="s">
        <v>4240</v>
      </c>
      <c r="X437" t="s">
        <v>3382</v>
      </c>
      <c r="AA437" t="s">
        <v>4256</v>
      </c>
      <c r="AC437">
        <v>0</v>
      </c>
      <c r="AD437">
        <v>0</v>
      </c>
      <c r="AE437">
        <v>1.35</v>
      </c>
      <c r="AF437" t="s">
        <v>4268</v>
      </c>
      <c r="AG437" t="s">
        <v>4698</v>
      </c>
      <c r="AI437" t="s">
        <v>5750</v>
      </c>
      <c r="AJ437">
        <v>0</v>
      </c>
      <c r="AL437">
        <v>1</v>
      </c>
      <c r="AM437">
        <v>0</v>
      </c>
      <c r="AN437">
        <v>48.04</v>
      </c>
      <c r="AT437">
        <v>6000</v>
      </c>
      <c r="AX437" t="s">
        <v>132</v>
      </c>
      <c r="BA437" t="s">
        <v>6503</v>
      </c>
      <c r="BD437" t="s">
        <v>434</v>
      </c>
    </row>
    <row r="438" spans="1:57">
      <c r="A438" s="1">
        <f>HYPERLINK("https://lsnyc.legalserver.org/matter/dynamic-profile/view/1911495","19-1911495")</f>
        <v>0</v>
      </c>
      <c r="B438" t="s">
        <v>58</v>
      </c>
      <c r="C438" t="s">
        <v>130</v>
      </c>
      <c r="D438" t="s">
        <v>214</v>
      </c>
      <c r="E438" t="s">
        <v>334</v>
      </c>
      <c r="G438" t="s">
        <v>944</v>
      </c>
      <c r="H438" t="s">
        <v>1663</v>
      </c>
      <c r="J438" t="s">
        <v>2463</v>
      </c>
      <c r="K438" t="s">
        <v>3159</v>
      </c>
      <c r="L438" t="s">
        <v>3332</v>
      </c>
      <c r="M438" t="s">
        <v>3379</v>
      </c>
      <c r="N438">
        <v>11213</v>
      </c>
      <c r="O438" t="s">
        <v>3382</v>
      </c>
      <c r="P438" t="s">
        <v>3381</v>
      </c>
      <c r="R438" t="s">
        <v>3756</v>
      </c>
      <c r="S438">
        <v>0</v>
      </c>
      <c r="T438" t="s">
        <v>4197</v>
      </c>
      <c r="U438" t="s">
        <v>4225</v>
      </c>
      <c r="W438" t="s">
        <v>4240</v>
      </c>
      <c r="X438" t="s">
        <v>3382</v>
      </c>
      <c r="AA438" t="s">
        <v>4256</v>
      </c>
      <c r="AC438">
        <v>0</v>
      </c>
      <c r="AD438">
        <v>0</v>
      </c>
      <c r="AE438">
        <v>0.8</v>
      </c>
      <c r="AG438" t="s">
        <v>4699</v>
      </c>
      <c r="AI438" t="s">
        <v>5751</v>
      </c>
      <c r="AJ438">
        <v>0</v>
      </c>
      <c r="AL438">
        <v>1</v>
      </c>
      <c r="AM438">
        <v>0</v>
      </c>
      <c r="AN438">
        <v>0</v>
      </c>
      <c r="AS438" t="s">
        <v>6298</v>
      </c>
      <c r="AT438">
        <v>0</v>
      </c>
      <c r="AX438" t="s">
        <v>6408</v>
      </c>
      <c r="BA438" t="s">
        <v>6479</v>
      </c>
      <c r="BD438" t="s">
        <v>248</v>
      </c>
      <c r="BE438" t="s">
        <v>6702</v>
      </c>
    </row>
    <row r="439" spans="1:57">
      <c r="A439" s="1">
        <f>HYPERLINK("https://lsnyc.legalserver.org/matter/dynamic-profile/view/1906756","19-1906756")</f>
        <v>0</v>
      </c>
      <c r="B439" t="s">
        <v>58</v>
      </c>
      <c r="C439" t="s">
        <v>130</v>
      </c>
      <c r="D439" t="s">
        <v>214</v>
      </c>
      <c r="E439" t="s">
        <v>387</v>
      </c>
      <c r="G439" t="s">
        <v>685</v>
      </c>
      <c r="H439" t="s">
        <v>1664</v>
      </c>
      <c r="J439" t="s">
        <v>2464</v>
      </c>
      <c r="K439" t="s">
        <v>2997</v>
      </c>
      <c r="L439" t="s">
        <v>3332</v>
      </c>
      <c r="M439" t="s">
        <v>3379</v>
      </c>
      <c r="N439">
        <v>11210</v>
      </c>
      <c r="O439" t="s">
        <v>3381</v>
      </c>
      <c r="P439" t="s">
        <v>3381</v>
      </c>
      <c r="Q439" t="s">
        <v>3397</v>
      </c>
      <c r="S439">
        <v>17</v>
      </c>
      <c r="T439" t="s">
        <v>4196</v>
      </c>
      <c r="U439" t="s">
        <v>4226</v>
      </c>
      <c r="W439" t="s">
        <v>4241</v>
      </c>
      <c r="X439" t="s">
        <v>3382</v>
      </c>
      <c r="AA439" t="s">
        <v>4256</v>
      </c>
      <c r="AC439">
        <v>0</v>
      </c>
      <c r="AD439">
        <v>900</v>
      </c>
      <c r="AE439">
        <v>2.4</v>
      </c>
      <c r="AG439" t="s">
        <v>4700</v>
      </c>
      <c r="AI439" t="s">
        <v>5752</v>
      </c>
      <c r="AJ439">
        <v>0</v>
      </c>
      <c r="AL439">
        <v>1</v>
      </c>
      <c r="AM439">
        <v>1</v>
      </c>
      <c r="AN439">
        <v>142.14</v>
      </c>
      <c r="AS439" t="s">
        <v>6298</v>
      </c>
      <c r="AT439">
        <v>24036</v>
      </c>
      <c r="AX439" t="s">
        <v>6407</v>
      </c>
      <c r="BA439" t="s">
        <v>6551</v>
      </c>
      <c r="BD439" t="s">
        <v>6644</v>
      </c>
    </row>
    <row r="440" spans="1:57">
      <c r="A440" s="1">
        <f>HYPERLINK("https://lsnyc.legalserver.org/matter/dynamic-profile/view/1915283","19-1915283")</f>
        <v>0</v>
      </c>
      <c r="B440" t="s">
        <v>58</v>
      </c>
      <c r="C440" t="s">
        <v>130</v>
      </c>
      <c r="D440" t="s">
        <v>214</v>
      </c>
      <c r="E440" t="s">
        <v>217</v>
      </c>
      <c r="G440" t="s">
        <v>945</v>
      </c>
      <c r="H440" t="s">
        <v>1665</v>
      </c>
      <c r="J440" t="s">
        <v>2465</v>
      </c>
      <c r="K440" t="s">
        <v>3184</v>
      </c>
      <c r="L440" t="s">
        <v>3332</v>
      </c>
      <c r="M440" t="s">
        <v>3379</v>
      </c>
      <c r="N440">
        <v>11210</v>
      </c>
      <c r="O440" t="s">
        <v>3380</v>
      </c>
      <c r="P440" t="s">
        <v>3381</v>
      </c>
      <c r="Q440" t="s">
        <v>3383</v>
      </c>
      <c r="R440" t="s">
        <v>3757</v>
      </c>
      <c r="S440">
        <v>16</v>
      </c>
      <c r="T440" t="s">
        <v>4196</v>
      </c>
      <c r="U440" t="s">
        <v>4224</v>
      </c>
      <c r="W440" t="s">
        <v>4240</v>
      </c>
      <c r="X440" t="s">
        <v>3382</v>
      </c>
      <c r="AA440" t="s">
        <v>4256</v>
      </c>
      <c r="AC440">
        <v>0</v>
      </c>
      <c r="AD440">
        <v>1302.17</v>
      </c>
      <c r="AE440">
        <v>0</v>
      </c>
      <c r="AG440" t="s">
        <v>4701</v>
      </c>
      <c r="AI440" t="s">
        <v>5753</v>
      </c>
      <c r="AJ440">
        <v>0</v>
      </c>
      <c r="AL440">
        <v>4</v>
      </c>
      <c r="AM440">
        <v>1</v>
      </c>
      <c r="AN440">
        <v>29.95</v>
      </c>
      <c r="AS440" t="s">
        <v>6298</v>
      </c>
      <c r="AT440">
        <v>9036</v>
      </c>
      <c r="AX440" t="s">
        <v>6410</v>
      </c>
      <c r="BA440" t="s">
        <v>6552</v>
      </c>
      <c r="BE440" t="s">
        <v>6702</v>
      </c>
    </row>
    <row r="441" spans="1:57">
      <c r="A441" s="1">
        <f>HYPERLINK("https://lsnyc.legalserver.org/matter/dynamic-profile/view/1898129","19-1898129")</f>
        <v>0</v>
      </c>
      <c r="B441" t="s">
        <v>58</v>
      </c>
      <c r="C441" t="s">
        <v>130</v>
      </c>
      <c r="D441" t="s">
        <v>214</v>
      </c>
      <c r="E441" t="s">
        <v>359</v>
      </c>
      <c r="G441" t="s">
        <v>817</v>
      </c>
      <c r="H441" t="s">
        <v>1666</v>
      </c>
      <c r="J441" t="s">
        <v>2466</v>
      </c>
      <c r="K441" t="s">
        <v>3185</v>
      </c>
      <c r="L441" t="s">
        <v>3332</v>
      </c>
      <c r="M441" t="s">
        <v>3379</v>
      </c>
      <c r="N441">
        <v>11206</v>
      </c>
      <c r="O441" t="s">
        <v>3382</v>
      </c>
      <c r="P441" t="s">
        <v>3380</v>
      </c>
      <c r="Q441" t="s">
        <v>3383</v>
      </c>
      <c r="R441" t="s">
        <v>3758</v>
      </c>
      <c r="S441">
        <v>0</v>
      </c>
      <c r="T441" t="s">
        <v>4196</v>
      </c>
      <c r="U441" t="s">
        <v>4223</v>
      </c>
      <c r="W441" t="s">
        <v>4240</v>
      </c>
      <c r="X441" t="s">
        <v>3382</v>
      </c>
      <c r="Y441" t="s">
        <v>3382</v>
      </c>
      <c r="AA441" t="s">
        <v>4256</v>
      </c>
      <c r="AB441" t="s">
        <v>4261</v>
      </c>
      <c r="AC441">
        <v>0</v>
      </c>
      <c r="AD441">
        <v>954</v>
      </c>
      <c r="AE441">
        <v>8.4</v>
      </c>
      <c r="AG441" t="s">
        <v>4702</v>
      </c>
      <c r="AI441" t="s">
        <v>5754</v>
      </c>
      <c r="AJ441">
        <v>0</v>
      </c>
      <c r="AL441">
        <v>1</v>
      </c>
      <c r="AM441">
        <v>0</v>
      </c>
      <c r="AN441">
        <v>159.58</v>
      </c>
      <c r="AS441" t="s">
        <v>6298</v>
      </c>
      <c r="AT441">
        <v>19932</v>
      </c>
      <c r="AX441" t="s">
        <v>6409</v>
      </c>
      <c r="BA441" t="s">
        <v>6487</v>
      </c>
      <c r="BD441" t="s">
        <v>317</v>
      </c>
    </row>
    <row r="442" spans="1:57">
      <c r="A442" s="1">
        <f>HYPERLINK("https://lsnyc.legalserver.org/matter/dynamic-profile/view/1913464","19-1913464")</f>
        <v>0</v>
      </c>
      <c r="B442" t="s">
        <v>58</v>
      </c>
      <c r="C442" t="s">
        <v>131</v>
      </c>
      <c r="D442" t="s">
        <v>214</v>
      </c>
      <c r="E442" t="s">
        <v>270</v>
      </c>
      <c r="G442" t="s">
        <v>946</v>
      </c>
      <c r="H442" t="s">
        <v>1667</v>
      </c>
      <c r="J442" t="s">
        <v>2467</v>
      </c>
      <c r="K442" t="s">
        <v>3186</v>
      </c>
      <c r="L442" t="s">
        <v>3332</v>
      </c>
      <c r="M442" t="s">
        <v>3379</v>
      </c>
      <c r="N442">
        <v>11226</v>
      </c>
      <c r="O442" t="s">
        <v>3380</v>
      </c>
      <c r="P442" t="s">
        <v>3381</v>
      </c>
      <c r="Q442" t="s">
        <v>3383</v>
      </c>
      <c r="R442" t="s">
        <v>3759</v>
      </c>
      <c r="S442">
        <v>0</v>
      </c>
      <c r="T442" t="s">
        <v>4197</v>
      </c>
      <c r="U442" t="s">
        <v>4224</v>
      </c>
      <c r="W442" t="s">
        <v>4241</v>
      </c>
      <c r="X442" t="s">
        <v>3382</v>
      </c>
      <c r="AA442" t="s">
        <v>4256</v>
      </c>
      <c r="AC442">
        <v>0</v>
      </c>
      <c r="AD442">
        <v>0</v>
      </c>
      <c r="AE442">
        <v>6.5</v>
      </c>
      <c r="AG442" t="s">
        <v>4703</v>
      </c>
      <c r="AI442" t="s">
        <v>5755</v>
      </c>
      <c r="AJ442">
        <v>50</v>
      </c>
      <c r="AL442">
        <v>1</v>
      </c>
      <c r="AM442">
        <v>0</v>
      </c>
      <c r="AN442">
        <v>219.06</v>
      </c>
      <c r="AR442" t="s">
        <v>5312</v>
      </c>
      <c r="AS442" t="s">
        <v>6298</v>
      </c>
      <c r="AT442">
        <v>27360</v>
      </c>
      <c r="AX442" t="s">
        <v>6410</v>
      </c>
      <c r="BA442" t="s">
        <v>6553</v>
      </c>
      <c r="BD442" t="s">
        <v>231</v>
      </c>
      <c r="BE442" t="s">
        <v>6702</v>
      </c>
    </row>
    <row r="443" spans="1:57">
      <c r="A443" s="1">
        <f>HYPERLINK("https://lsnyc.legalserver.org/matter/dynamic-profile/view/1894720","19-1894720")</f>
        <v>0</v>
      </c>
      <c r="B443" t="s">
        <v>58</v>
      </c>
      <c r="C443" t="s">
        <v>132</v>
      </c>
      <c r="D443" t="s">
        <v>214</v>
      </c>
      <c r="E443" t="s">
        <v>299</v>
      </c>
      <c r="G443" t="s">
        <v>947</v>
      </c>
      <c r="H443" t="s">
        <v>1668</v>
      </c>
      <c r="J443" t="s">
        <v>2468</v>
      </c>
      <c r="K443" t="s">
        <v>3187</v>
      </c>
      <c r="L443" t="s">
        <v>3332</v>
      </c>
      <c r="M443" t="s">
        <v>3379</v>
      </c>
      <c r="N443">
        <v>11238</v>
      </c>
      <c r="O443" t="s">
        <v>3381</v>
      </c>
      <c r="P443" t="s">
        <v>3381</v>
      </c>
      <c r="Q443" t="s">
        <v>3386</v>
      </c>
      <c r="R443" t="s">
        <v>3760</v>
      </c>
      <c r="S443">
        <v>19</v>
      </c>
      <c r="T443" t="s">
        <v>4196</v>
      </c>
      <c r="U443" t="s">
        <v>4226</v>
      </c>
      <c r="W443" t="s">
        <v>4240</v>
      </c>
      <c r="X443" t="s">
        <v>3382</v>
      </c>
      <c r="AA443" t="s">
        <v>4256</v>
      </c>
      <c r="AC443">
        <v>0</v>
      </c>
      <c r="AD443">
        <v>1380.76</v>
      </c>
      <c r="AE443">
        <v>4.7</v>
      </c>
      <c r="AG443" t="s">
        <v>4704</v>
      </c>
      <c r="AI443" t="s">
        <v>5756</v>
      </c>
      <c r="AJ443">
        <v>0</v>
      </c>
      <c r="AK443" t="s">
        <v>6267</v>
      </c>
      <c r="AL443">
        <v>1</v>
      </c>
      <c r="AM443">
        <v>0</v>
      </c>
      <c r="AN443">
        <v>36.12</v>
      </c>
      <c r="AS443" t="s">
        <v>6298</v>
      </c>
      <c r="AT443">
        <v>4512</v>
      </c>
      <c r="AX443" t="s">
        <v>132</v>
      </c>
      <c r="BA443" t="s">
        <v>6542</v>
      </c>
      <c r="BD443" t="s">
        <v>255</v>
      </c>
    </row>
    <row r="444" spans="1:57">
      <c r="A444" s="1">
        <f>HYPERLINK("https://lsnyc.legalserver.org/matter/dynamic-profile/view/1912747","19-1912747")</f>
        <v>0</v>
      </c>
      <c r="B444" t="s">
        <v>58</v>
      </c>
      <c r="C444" t="s">
        <v>132</v>
      </c>
      <c r="D444" t="s">
        <v>214</v>
      </c>
      <c r="E444" t="s">
        <v>272</v>
      </c>
      <c r="G444" t="s">
        <v>948</v>
      </c>
      <c r="H444" t="s">
        <v>1669</v>
      </c>
      <c r="J444" t="s">
        <v>2469</v>
      </c>
      <c r="K444" t="s">
        <v>3052</v>
      </c>
      <c r="L444" t="s">
        <v>3332</v>
      </c>
      <c r="M444" t="s">
        <v>3379</v>
      </c>
      <c r="N444">
        <v>11238</v>
      </c>
      <c r="O444" t="s">
        <v>3381</v>
      </c>
      <c r="P444" t="s">
        <v>3381</v>
      </c>
      <c r="R444" t="s">
        <v>3761</v>
      </c>
      <c r="S444">
        <v>0</v>
      </c>
      <c r="W444" t="s">
        <v>4240</v>
      </c>
      <c r="X444" t="s">
        <v>3382</v>
      </c>
      <c r="AA444" t="s">
        <v>4259</v>
      </c>
      <c r="AC444">
        <v>0</v>
      </c>
      <c r="AD444">
        <v>0</v>
      </c>
      <c r="AE444">
        <v>2</v>
      </c>
      <c r="AG444" t="s">
        <v>4705</v>
      </c>
      <c r="AI444" t="s">
        <v>5757</v>
      </c>
      <c r="AJ444">
        <v>0</v>
      </c>
      <c r="AL444">
        <v>1</v>
      </c>
      <c r="AM444">
        <v>0</v>
      </c>
      <c r="AN444">
        <v>106.16</v>
      </c>
      <c r="AS444" t="s">
        <v>6298</v>
      </c>
      <c r="AT444">
        <v>13260</v>
      </c>
      <c r="AX444" t="s">
        <v>6420</v>
      </c>
      <c r="BA444" t="s">
        <v>6475</v>
      </c>
      <c r="BD444" t="s">
        <v>275</v>
      </c>
    </row>
    <row r="445" spans="1:57">
      <c r="A445" s="1">
        <f>HYPERLINK("https://lsnyc.legalserver.org/matter/dynamic-profile/view/1890458","19-1890458")</f>
        <v>0</v>
      </c>
      <c r="B445" t="s">
        <v>58</v>
      </c>
      <c r="C445" t="s">
        <v>132</v>
      </c>
      <c r="D445" t="s">
        <v>214</v>
      </c>
      <c r="E445" t="s">
        <v>343</v>
      </c>
      <c r="G445" t="s">
        <v>949</v>
      </c>
      <c r="H445" t="s">
        <v>1670</v>
      </c>
      <c r="J445" t="s">
        <v>2470</v>
      </c>
      <c r="K445" t="s">
        <v>3024</v>
      </c>
      <c r="L445" t="s">
        <v>3332</v>
      </c>
      <c r="M445" t="s">
        <v>3379</v>
      </c>
      <c r="N445">
        <v>11233</v>
      </c>
      <c r="O445" t="s">
        <v>3381</v>
      </c>
      <c r="P445" t="s">
        <v>3381</v>
      </c>
      <c r="Q445" t="s">
        <v>3386</v>
      </c>
      <c r="R445" t="s">
        <v>3762</v>
      </c>
      <c r="S445">
        <v>14</v>
      </c>
      <c r="T445" t="s">
        <v>4196</v>
      </c>
      <c r="U445" t="s">
        <v>4226</v>
      </c>
      <c r="W445" t="s">
        <v>4240</v>
      </c>
      <c r="X445" t="s">
        <v>3382</v>
      </c>
      <c r="Y445" t="s">
        <v>3382</v>
      </c>
      <c r="AA445" t="s">
        <v>4256</v>
      </c>
      <c r="AC445">
        <v>0</v>
      </c>
      <c r="AD445">
        <v>490</v>
      </c>
      <c r="AE445">
        <v>5.4</v>
      </c>
      <c r="AG445" t="s">
        <v>4706</v>
      </c>
      <c r="AJ445">
        <v>0</v>
      </c>
      <c r="AK445" t="s">
        <v>6267</v>
      </c>
      <c r="AL445">
        <v>1</v>
      </c>
      <c r="AM445">
        <v>0</v>
      </c>
      <c r="AN445">
        <v>37.05</v>
      </c>
      <c r="AS445" t="s">
        <v>6298</v>
      </c>
      <c r="AT445">
        <v>4628</v>
      </c>
      <c r="AX445" t="s">
        <v>6421</v>
      </c>
      <c r="BA445" t="s">
        <v>6542</v>
      </c>
      <c r="BD445" t="s">
        <v>321</v>
      </c>
    </row>
    <row r="446" spans="1:57">
      <c r="A446" s="1">
        <f>HYPERLINK("https://lsnyc.legalserver.org/matter/dynamic-profile/view/1901426","19-1901426")</f>
        <v>0</v>
      </c>
      <c r="B446" t="s">
        <v>58</v>
      </c>
      <c r="C446" t="s">
        <v>132</v>
      </c>
      <c r="D446" t="s">
        <v>214</v>
      </c>
      <c r="E446" t="s">
        <v>302</v>
      </c>
      <c r="G446" t="s">
        <v>950</v>
      </c>
      <c r="H446" t="s">
        <v>1528</v>
      </c>
      <c r="J446" t="s">
        <v>2471</v>
      </c>
      <c r="K446" t="s">
        <v>3006</v>
      </c>
      <c r="L446" t="s">
        <v>3332</v>
      </c>
      <c r="M446" t="s">
        <v>3379</v>
      </c>
      <c r="N446">
        <v>11226</v>
      </c>
      <c r="O446" t="s">
        <v>3381</v>
      </c>
      <c r="P446" t="s">
        <v>3381</v>
      </c>
      <c r="Q446" t="s">
        <v>3385</v>
      </c>
      <c r="R446" t="s">
        <v>3763</v>
      </c>
      <c r="S446">
        <v>10</v>
      </c>
      <c r="T446" t="s">
        <v>4196</v>
      </c>
      <c r="U446" t="s">
        <v>4223</v>
      </c>
      <c r="W446" t="s">
        <v>4241</v>
      </c>
      <c r="X446" t="s">
        <v>3382</v>
      </c>
      <c r="Y446" t="s">
        <v>3382</v>
      </c>
      <c r="AA446" t="s">
        <v>4256</v>
      </c>
      <c r="AC446">
        <v>0</v>
      </c>
      <c r="AD446">
        <v>1294</v>
      </c>
      <c r="AE446">
        <v>6.35</v>
      </c>
      <c r="AG446" t="s">
        <v>4707</v>
      </c>
      <c r="AI446" t="s">
        <v>5758</v>
      </c>
      <c r="AJ446">
        <v>30</v>
      </c>
      <c r="AL446">
        <v>1</v>
      </c>
      <c r="AM446">
        <v>0</v>
      </c>
      <c r="AN446">
        <v>81.67</v>
      </c>
      <c r="AR446" t="s">
        <v>6292</v>
      </c>
      <c r="AS446" t="s">
        <v>6298</v>
      </c>
      <c r="AT446">
        <v>10200</v>
      </c>
      <c r="AX446" t="s">
        <v>6388</v>
      </c>
      <c r="BA446" t="s">
        <v>6511</v>
      </c>
      <c r="BD446" t="s">
        <v>272</v>
      </c>
    </row>
    <row r="447" spans="1:57">
      <c r="A447" s="1">
        <f>HYPERLINK("https://lsnyc.legalserver.org/matter/dynamic-profile/view/1911507","19-1911507")</f>
        <v>0</v>
      </c>
      <c r="B447" t="s">
        <v>58</v>
      </c>
      <c r="C447" t="s">
        <v>132</v>
      </c>
      <c r="D447" t="s">
        <v>214</v>
      </c>
      <c r="E447" t="s">
        <v>334</v>
      </c>
      <c r="G447" t="s">
        <v>951</v>
      </c>
      <c r="H447" t="s">
        <v>1464</v>
      </c>
      <c r="J447" t="s">
        <v>2472</v>
      </c>
      <c r="L447" t="s">
        <v>3332</v>
      </c>
      <c r="M447" t="s">
        <v>3379</v>
      </c>
      <c r="N447">
        <v>11225</v>
      </c>
      <c r="O447" t="s">
        <v>3381</v>
      </c>
      <c r="P447" t="s">
        <v>3381</v>
      </c>
      <c r="S447">
        <v>43</v>
      </c>
      <c r="T447" t="s">
        <v>4203</v>
      </c>
      <c r="W447" t="s">
        <v>4241</v>
      </c>
      <c r="X447" t="s">
        <v>3382</v>
      </c>
      <c r="AA447" t="s">
        <v>4256</v>
      </c>
      <c r="AC447">
        <v>0</v>
      </c>
      <c r="AD447">
        <v>820</v>
      </c>
      <c r="AE447">
        <v>3.1</v>
      </c>
      <c r="AG447" t="s">
        <v>4708</v>
      </c>
      <c r="AJ447">
        <v>0</v>
      </c>
      <c r="AK447" t="s">
        <v>6267</v>
      </c>
      <c r="AL447">
        <v>1</v>
      </c>
      <c r="AM447">
        <v>0</v>
      </c>
      <c r="AN447">
        <v>123.75</v>
      </c>
      <c r="AR447" t="s">
        <v>6293</v>
      </c>
      <c r="AS447" t="s">
        <v>6298</v>
      </c>
      <c r="AT447">
        <v>15456</v>
      </c>
      <c r="AX447" t="s">
        <v>6403</v>
      </c>
      <c r="BA447" t="s">
        <v>6491</v>
      </c>
      <c r="BD447" t="s">
        <v>270</v>
      </c>
    </row>
    <row r="448" spans="1:57">
      <c r="A448" s="1">
        <f>HYPERLINK("https://lsnyc.legalserver.org/matter/dynamic-profile/view/1875966","18-1875966")</f>
        <v>0</v>
      </c>
      <c r="B448" t="s">
        <v>58</v>
      </c>
      <c r="C448" t="s">
        <v>132</v>
      </c>
      <c r="D448" t="s">
        <v>214</v>
      </c>
      <c r="E448" t="s">
        <v>388</v>
      </c>
      <c r="G448" t="s">
        <v>952</v>
      </c>
      <c r="H448" t="s">
        <v>1671</v>
      </c>
      <c r="J448" t="s">
        <v>2433</v>
      </c>
      <c r="K448" t="s">
        <v>3188</v>
      </c>
      <c r="L448" t="s">
        <v>3332</v>
      </c>
      <c r="M448" t="s">
        <v>3379</v>
      </c>
      <c r="N448">
        <v>11224</v>
      </c>
      <c r="O448" t="s">
        <v>3381</v>
      </c>
      <c r="P448" t="s">
        <v>3381</v>
      </c>
      <c r="S448">
        <v>0</v>
      </c>
      <c r="U448" t="s">
        <v>4223</v>
      </c>
      <c r="W448" t="s">
        <v>4240</v>
      </c>
      <c r="X448" t="s">
        <v>3382</v>
      </c>
      <c r="AA448" t="s">
        <v>4256</v>
      </c>
      <c r="AC448">
        <v>0</v>
      </c>
      <c r="AD448">
        <v>0</v>
      </c>
      <c r="AE448">
        <v>18.55</v>
      </c>
      <c r="AG448" t="s">
        <v>4709</v>
      </c>
      <c r="AI448" t="s">
        <v>5759</v>
      </c>
      <c r="AJ448">
        <v>0</v>
      </c>
      <c r="AL448">
        <v>1</v>
      </c>
      <c r="AM448">
        <v>0</v>
      </c>
      <c r="AN448">
        <v>40.26</v>
      </c>
      <c r="AS448" t="s">
        <v>6298</v>
      </c>
      <c r="AT448">
        <v>4888</v>
      </c>
      <c r="AX448" t="s">
        <v>6415</v>
      </c>
      <c r="BA448" t="s">
        <v>6483</v>
      </c>
      <c r="BD448" t="s">
        <v>266</v>
      </c>
    </row>
    <row r="449" spans="1:57">
      <c r="A449" s="1">
        <f>HYPERLINK("https://lsnyc.legalserver.org/matter/dynamic-profile/view/1915486","19-1915486")</f>
        <v>0</v>
      </c>
      <c r="B449" t="s">
        <v>58</v>
      </c>
      <c r="C449" t="s">
        <v>132</v>
      </c>
      <c r="D449" t="s">
        <v>214</v>
      </c>
      <c r="E449" t="s">
        <v>316</v>
      </c>
      <c r="G449" t="s">
        <v>841</v>
      </c>
      <c r="H449" t="s">
        <v>1672</v>
      </c>
      <c r="J449" t="s">
        <v>2473</v>
      </c>
      <c r="K449" t="s">
        <v>3166</v>
      </c>
      <c r="L449" t="s">
        <v>3332</v>
      </c>
      <c r="M449" t="s">
        <v>3379</v>
      </c>
      <c r="N449">
        <v>11221</v>
      </c>
      <c r="O449" t="s">
        <v>3381</v>
      </c>
      <c r="P449" t="s">
        <v>3381</v>
      </c>
      <c r="R449" t="s">
        <v>3764</v>
      </c>
      <c r="S449">
        <v>4</v>
      </c>
      <c r="T449" t="s">
        <v>4196</v>
      </c>
      <c r="W449" t="s">
        <v>4241</v>
      </c>
      <c r="X449" t="s">
        <v>3382</v>
      </c>
      <c r="AA449" t="s">
        <v>4256</v>
      </c>
      <c r="AC449">
        <v>0</v>
      </c>
      <c r="AD449">
        <v>1233</v>
      </c>
      <c r="AE449">
        <v>0.25</v>
      </c>
      <c r="AG449" t="s">
        <v>4710</v>
      </c>
      <c r="AI449" t="s">
        <v>5760</v>
      </c>
      <c r="AJ449">
        <v>6</v>
      </c>
      <c r="AK449" t="s">
        <v>6269</v>
      </c>
      <c r="AL449">
        <v>1</v>
      </c>
      <c r="AM449">
        <v>0</v>
      </c>
      <c r="AN449">
        <v>69.27</v>
      </c>
      <c r="AR449" t="s">
        <v>6292</v>
      </c>
      <c r="AS449" t="s">
        <v>6298</v>
      </c>
      <c r="AT449">
        <v>8652</v>
      </c>
      <c r="AX449" t="s">
        <v>6415</v>
      </c>
      <c r="BA449" t="s">
        <v>6499</v>
      </c>
      <c r="BD449" t="s">
        <v>231</v>
      </c>
    </row>
    <row r="450" spans="1:57">
      <c r="A450" s="1">
        <f>HYPERLINK("https://lsnyc.legalserver.org/matter/dynamic-profile/view/1891993","19-1891993")</f>
        <v>0</v>
      </c>
      <c r="B450" t="s">
        <v>58</v>
      </c>
      <c r="C450" t="s">
        <v>132</v>
      </c>
      <c r="D450" t="s">
        <v>214</v>
      </c>
      <c r="E450" t="s">
        <v>361</v>
      </c>
      <c r="G450" t="s">
        <v>953</v>
      </c>
      <c r="H450" t="s">
        <v>1673</v>
      </c>
      <c r="J450" t="s">
        <v>2396</v>
      </c>
      <c r="K450" t="s">
        <v>3021</v>
      </c>
      <c r="L450" t="s">
        <v>3332</v>
      </c>
      <c r="M450" t="s">
        <v>3379</v>
      </c>
      <c r="N450">
        <v>11221</v>
      </c>
      <c r="O450" t="s">
        <v>3381</v>
      </c>
      <c r="P450" t="s">
        <v>3381</v>
      </c>
      <c r="S450">
        <v>0</v>
      </c>
      <c r="U450" t="s">
        <v>4223</v>
      </c>
      <c r="W450" t="s">
        <v>4240</v>
      </c>
      <c r="X450" t="s">
        <v>3382</v>
      </c>
      <c r="AA450" t="s">
        <v>4256</v>
      </c>
      <c r="AC450">
        <v>0</v>
      </c>
      <c r="AD450">
        <v>0</v>
      </c>
      <c r="AE450">
        <v>16.25</v>
      </c>
      <c r="AG450" t="s">
        <v>4711</v>
      </c>
      <c r="AI450" t="s">
        <v>5761</v>
      </c>
      <c r="AJ450">
        <v>0</v>
      </c>
      <c r="AL450">
        <v>1</v>
      </c>
      <c r="AM450">
        <v>0</v>
      </c>
      <c r="AN450">
        <v>106.45</v>
      </c>
      <c r="AS450" t="s">
        <v>6298</v>
      </c>
      <c r="AT450">
        <v>13296</v>
      </c>
      <c r="AX450" t="s">
        <v>6415</v>
      </c>
      <c r="BA450" t="s">
        <v>6491</v>
      </c>
      <c r="BD450" t="s">
        <v>249</v>
      </c>
    </row>
    <row r="451" spans="1:57">
      <c r="A451" s="1">
        <f>HYPERLINK("https://lsnyc.legalserver.org/matter/dynamic-profile/view/1914297","19-1914297")</f>
        <v>0</v>
      </c>
      <c r="B451" t="s">
        <v>58</v>
      </c>
      <c r="C451" t="s">
        <v>132</v>
      </c>
      <c r="D451" t="s">
        <v>214</v>
      </c>
      <c r="E451" t="s">
        <v>222</v>
      </c>
      <c r="G451" t="s">
        <v>617</v>
      </c>
      <c r="H451" t="s">
        <v>1674</v>
      </c>
      <c r="J451" t="s">
        <v>2474</v>
      </c>
      <c r="K451" t="s">
        <v>3018</v>
      </c>
      <c r="L451" t="s">
        <v>3332</v>
      </c>
      <c r="M451" t="s">
        <v>3379</v>
      </c>
      <c r="N451">
        <v>11218</v>
      </c>
      <c r="O451" t="s">
        <v>3381</v>
      </c>
      <c r="P451" t="s">
        <v>3381</v>
      </c>
      <c r="S451">
        <v>34</v>
      </c>
      <c r="W451" t="s">
        <v>4240</v>
      </c>
      <c r="X451" t="s">
        <v>3382</v>
      </c>
      <c r="AA451" t="s">
        <v>4256</v>
      </c>
      <c r="AC451">
        <v>0</v>
      </c>
      <c r="AD451">
        <v>263</v>
      </c>
      <c r="AE451">
        <v>3.4</v>
      </c>
      <c r="AG451" t="s">
        <v>4712</v>
      </c>
      <c r="AI451" t="s">
        <v>5762</v>
      </c>
      <c r="AJ451">
        <v>0</v>
      </c>
      <c r="AK451" t="s">
        <v>6273</v>
      </c>
      <c r="AL451">
        <v>1</v>
      </c>
      <c r="AM451">
        <v>0</v>
      </c>
      <c r="AN451">
        <v>13.84</v>
      </c>
      <c r="AS451" t="s">
        <v>6299</v>
      </c>
      <c r="AT451">
        <v>1728</v>
      </c>
      <c r="AX451" t="s">
        <v>6415</v>
      </c>
      <c r="BA451" t="s">
        <v>6542</v>
      </c>
      <c r="BD451" t="s">
        <v>218</v>
      </c>
    </row>
    <row r="452" spans="1:57">
      <c r="A452" s="1">
        <f>HYPERLINK("https://lsnyc.legalserver.org/matter/dynamic-profile/view/1902550","19-1902550")</f>
        <v>0</v>
      </c>
      <c r="B452" t="s">
        <v>58</v>
      </c>
      <c r="C452" t="s">
        <v>132</v>
      </c>
      <c r="D452" t="s">
        <v>214</v>
      </c>
      <c r="E452" t="s">
        <v>273</v>
      </c>
      <c r="G452" t="s">
        <v>710</v>
      </c>
      <c r="H452" t="s">
        <v>1528</v>
      </c>
      <c r="J452" t="s">
        <v>2475</v>
      </c>
      <c r="K452">
        <v>6</v>
      </c>
      <c r="L452" t="s">
        <v>3332</v>
      </c>
      <c r="M452" t="s">
        <v>3379</v>
      </c>
      <c r="N452">
        <v>11216</v>
      </c>
      <c r="O452" t="s">
        <v>3381</v>
      </c>
      <c r="P452" t="s">
        <v>3381</v>
      </c>
      <c r="S452">
        <v>0</v>
      </c>
      <c r="U452" t="s">
        <v>4223</v>
      </c>
      <c r="W452" t="s">
        <v>4241</v>
      </c>
      <c r="X452" t="s">
        <v>3382</v>
      </c>
      <c r="AA452" t="s">
        <v>4256</v>
      </c>
      <c r="AC452">
        <v>0</v>
      </c>
      <c r="AD452">
        <v>0</v>
      </c>
      <c r="AE452">
        <v>11</v>
      </c>
      <c r="AG452" t="s">
        <v>4713</v>
      </c>
      <c r="AI452" t="s">
        <v>5763</v>
      </c>
      <c r="AJ452">
        <v>0</v>
      </c>
      <c r="AL452">
        <v>1</v>
      </c>
      <c r="AM452">
        <v>0</v>
      </c>
      <c r="AN452">
        <v>89.06</v>
      </c>
      <c r="AT452">
        <v>11124</v>
      </c>
      <c r="AX452" t="s">
        <v>6421</v>
      </c>
      <c r="BA452" t="s">
        <v>6511</v>
      </c>
      <c r="BD452" t="s">
        <v>295</v>
      </c>
    </row>
    <row r="453" spans="1:57">
      <c r="A453" s="1">
        <f>HYPERLINK("https://lsnyc.legalserver.org/matter/dynamic-profile/view/1914287","19-1914287")</f>
        <v>0</v>
      </c>
      <c r="B453" t="s">
        <v>58</v>
      </c>
      <c r="C453" t="s">
        <v>132</v>
      </c>
      <c r="D453" t="s">
        <v>214</v>
      </c>
      <c r="E453" t="s">
        <v>266</v>
      </c>
      <c r="G453" t="s">
        <v>954</v>
      </c>
      <c r="H453" t="s">
        <v>1588</v>
      </c>
      <c r="J453" t="s">
        <v>2476</v>
      </c>
      <c r="K453" t="s">
        <v>3079</v>
      </c>
      <c r="L453" t="s">
        <v>3332</v>
      </c>
      <c r="M453" t="s">
        <v>3379</v>
      </c>
      <c r="N453">
        <v>11205</v>
      </c>
      <c r="O453" t="s">
        <v>3381</v>
      </c>
      <c r="P453" t="s">
        <v>3381</v>
      </c>
      <c r="Q453" t="s">
        <v>3386</v>
      </c>
      <c r="S453">
        <v>4</v>
      </c>
      <c r="T453" t="s">
        <v>4196</v>
      </c>
      <c r="W453" t="s">
        <v>4240</v>
      </c>
      <c r="X453" t="s">
        <v>3382</v>
      </c>
      <c r="Y453" t="s">
        <v>3382</v>
      </c>
      <c r="AA453" t="s">
        <v>4256</v>
      </c>
      <c r="AC453">
        <v>0</v>
      </c>
      <c r="AD453">
        <v>894.54</v>
      </c>
      <c r="AE453">
        <v>0.65</v>
      </c>
      <c r="AG453" t="s">
        <v>4714</v>
      </c>
      <c r="AI453" t="s">
        <v>5764</v>
      </c>
      <c r="AJ453">
        <v>20</v>
      </c>
      <c r="AK453" t="s">
        <v>6266</v>
      </c>
      <c r="AL453">
        <v>1</v>
      </c>
      <c r="AM453">
        <v>0</v>
      </c>
      <c r="AN453">
        <v>82.43000000000001</v>
      </c>
      <c r="AR453" t="s">
        <v>6292</v>
      </c>
      <c r="AS453" t="s">
        <v>6298</v>
      </c>
      <c r="AT453">
        <v>10296</v>
      </c>
      <c r="AX453" t="s">
        <v>6415</v>
      </c>
      <c r="BA453" t="s">
        <v>6499</v>
      </c>
      <c r="BD453" t="s">
        <v>243</v>
      </c>
    </row>
    <row r="454" spans="1:57">
      <c r="A454" s="1">
        <f>HYPERLINK("https://lsnyc.legalserver.org/matter/dynamic-profile/view/1872834","18-1872834")</f>
        <v>0</v>
      </c>
      <c r="B454" t="s">
        <v>58</v>
      </c>
      <c r="C454" t="s">
        <v>132</v>
      </c>
      <c r="D454" t="s">
        <v>214</v>
      </c>
      <c r="E454" t="s">
        <v>389</v>
      </c>
      <c r="G454" t="s">
        <v>955</v>
      </c>
      <c r="H454" t="s">
        <v>1675</v>
      </c>
      <c r="J454" t="s">
        <v>2477</v>
      </c>
      <c r="K454" t="s">
        <v>3189</v>
      </c>
      <c r="L454" t="s">
        <v>3332</v>
      </c>
      <c r="M454" t="s">
        <v>3379</v>
      </c>
      <c r="N454">
        <v>11203</v>
      </c>
      <c r="O454" t="s">
        <v>3382</v>
      </c>
      <c r="P454" t="s">
        <v>3381</v>
      </c>
      <c r="R454" t="s">
        <v>3765</v>
      </c>
      <c r="S454">
        <v>10</v>
      </c>
      <c r="T454" t="s">
        <v>4196</v>
      </c>
      <c r="U454" t="s">
        <v>4223</v>
      </c>
      <c r="W454" t="s">
        <v>4240</v>
      </c>
      <c r="X454" t="s">
        <v>3382</v>
      </c>
      <c r="AA454" t="s">
        <v>4256</v>
      </c>
      <c r="AC454">
        <v>0</v>
      </c>
      <c r="AD454">
        <v>1884.6</v>
      </c>
      <c r="AE454">
        <v>9.25</v>
      </c>
      <c r="AG454" t="s">
        <v>4715</v>
      </c>
      <c r="AH454" t="s">
        <v>5293</v>
      </c>
      <c r="AI454" t="s">
        <v>5765</v>
      </c>
      <c r="AJ454">
        <v>6</v>
      </c>
      <c r="AK454" t="s">
        <v>6267</v>
      </c>
      <c r="AL454">
        <v>1</v>
      </c>
      <c r="AM454">
        <v>0</v>
      </c>
      <c r="AN454">
        <v>0</v>
      </c>
      <c r="AQ454" t="s">
        <v>6287</v>
      </c>
      <c r="AS454" t="s">
        <v>6298</v>
      </c>
      <c r="AT454">
        <v>0</v>
      </c>
      <c r="AV454" t="s">
        <v>3380</v>
      </c>
      <c r="AX454" t="s">
        <v>145</v>
      </c>
      <c r="BA454" t="s">
        <v>6486</v>
      </c>
      <c r="BD454" t="s">
        <v>263</v>
      </c>
      <c r="BE454" t="s">
        <v>6703</v>
      </c>
    </row>
    <row r="455" spans="1:57">
      <c r="A455" s="1">
        <f>HYPERLINK("https://lsnyc.legalserver.org/matter/dynamic-profile/view/1899948","19-1899948")</f>
        <v>0</v>
      </c>
      <c r="B455" t="s">
        <v>58</v>
      </c>
      <c r="C455" t="s">
        <v>132</v>
      </c>
      <c r="D455" t="s">
        <v>214</v>
      </c>
      <c r="E455" t="s">
        <v>255</v>
      </c>
      <c r="G455" t="s">
        <v>956</v>
      </c>
      <c r="H455" t="s">
        <v>1676</v>
      </c>
      <c r="J455" t="s">
        <v>2478</v>
      </c>
      <c r="K455" t="s">
        <v>3190</v>
      </c>
      <c r="L455" t="s">
        <v>3332</v>
      </c>
      <c r="M455" t="s">
        <v>3379</v>
      </c>
      <c r="N455">
        <v>11203</v>
      </c>
      <c r="O455" t="s">
        <v>3381</v>
      </c>
      <c r="P455" t="s">
        <v>3381</v>
      </c>
      <c r="Q455" t="s">
        <v>3383</v>
      </c>
      <c r="R455" t="s">
        <v>3766</v>
      </c>
      <c r="S455">
        <v>0</v>
      </c>
      <c r="T455" t="s">
        <v>4196</v>
      </c>
      <c r="U455" t="s">
        <v>4223</v>
      </c>
      <c r="W455" t="s">
        <v>4240</v>
      </c>
      <c r="X455" t="s">
        <v>3382</v>
      </c>
      <c r="AA455" t="s">
        <v>4256</v>
      </c>
      <c r="AC455">
        <v>0</v>
      </c>
      <c r="AD455">
        <v>1535</v>
      </c>
      <c r="AE455">
        <v>12.4</v>
      </c>
      <c r="AG455" t="s">
        <v>4716</v>
      </c>
      <c r="AI455" t="s">
        <v>5766</v>
      </c>
      <c r="AJ455">
        <v>67</v>
      </c>
      <c r="AL455">
        <v>1</v>
      </c>
      <c r="AM455">
        <v>0</v>
      </c>
      <c r="AN455">
        <v>115.29</v>
      </c>
      <c r="AR455" t="s">
        <v>6292</v>
      </c>
      <c r="AS455" t="s">
        <v>6298</v>
      </c>
      <c r="AT455">
        <v>14400</v>
      </c>
      <c r="AX455" t="s">
        <v>6396</v>
      </c>
      <c r="BA455" t="s">
        <v>6473</v>
      </c>
      <c r="BD455" t="s">
        <v>316</v>
      </c>
    </row>
    <row r="456" spans="1:57">
      <c r="A456" s="1">
        <f>HYPERLINK("https://lsnyc.legalserver.org/matter/dynamic-profile/view/1857287","18-1857287")</f>
        <v>0</v>
      </c>
      <c r="B456" t="s">
        <v>58</v>
      </c>
      <c r="C456" t="s">
        <v>133</v>
      </c>
      <c r="D456" t="s">
        <v>215</v>
      </c>
      <c r="E456" t="s">
        <v>390</v>
      </c>
      <c r="F456" t="s">
        <v>495</v>
      </c>
      <c r="G456" t="s">
        <v>680</v>
      </c>
      <c r="H456" t="s">
        <v>1412</v>
      </c>
      <c r="J456" t="s">
        <v>2479</v>
      </c>
      <c r="L456" t="s">
        <v>3332</v>
      </c>
      <c r="M456" t="s">
        <v>3379</v>
      </c>
      <c r="N456">
        <v>11220</v>
      </c>
      <c r="O456" t="s">
        <v>3382</v>
      </c>
      <c r="P456" t="s">
        <v>3381</v>
      </c>
      <c r="S456">
        <v>0</v>
      </c>
      <c r="V456" t="s">
        <v>4230</v>
      </c>
      <c r="W456" t="s">
        <v>4240</v>
      </c>
      <c r="X456" t="s">
        <v>3382</v>
      </c>
      <c r="AA456" t="s">
        <v>4256</v>
      </c>
      <c r="AC456">
        <v>0</v>
      </c>
      <c r="AD456">
        <v>0</v>
      </c>
      <c r="AE456">
        <v>1.3</v>
      </c>
      <c r="AF456" t="s">
        <v>4267</v>
      </c>
      <c r="AG456" t="s">
        <v>4717</v>
      </c>
      <c r="AI456" t="s">
        <v>5767</v>
      </c>
      <c r="AJ456">
        <v>0</v>
      </c>
      <c r="AL456">
        <v>2</v>
      </c>
      <c r="AM456">
        <v>0</v>
      </c>
      <c r="AN456">
        <v>110.84</v>
      </c>
      <c r="AS456" t="s">
        <v>6298</v>
      </c>
      <c r="AT456">
        <v>18000</v>
      </c>
      <c r="AX456" t="s">
        <v>6422</v>
      </c>
      <c r="BA456" t="s">
        <v>6477</v>
      </c>
      <c r="BD456" t="s">
        <v>6645</v>
      </c>
    </row>
    <row r="457" spans="1:57">
      <c r="A457" s="1">
        <f>HYPERLINK("https://lsnyc.legalserver.org/matter/dynamic-profile/view/1856927","18-1856927")</f>
        <v>0</v>
      </c>
      <c r="B457" t="s">
        <v>58</v>
      </c>
      <c r="C457" t="s">
        <v>133</v>
      </c>
      <c r="D457" t="s">
        <v>215</v>
      </c>
      <c r="E457" t="s">
        <v>391</v>
      </c>
      <c r="F457" t="s">
        <v>495</v>
      </c>
      <c r="G457" t="s">
        <v>957</v>
      </c>
      <c r="H457" t="s">
        <v>1677</v>
      </c>
      <c r="J457" t="s">
        <v>2480</v>
      </c>
      <c r="K457" t="s">
        <v>3015</v>
      </c>
      <c r="L457" t="s">
        <v>3332</v>
      </c>
      <c r="M457" t="s">
        <v>3379</v>
      </c>
      <c r="N457">
        <v>11206</v>
      </c>
      <c r="O457" t="s">
        <v>3382</v>
      </c>
      <c r="P457" t="s">
        <v>3381</v>
      </c>
      <c r="S457">
        <v>13</v>
      </c>
      <c r="V457" t="s">
        <v>4230</v>
      </c>
      <c r="W457" t="s">
        <v>4240</v>
      </c>
      <c r="X457" t="s">
        <v>3382</v>
      </c>
      <c r="AA457" t="s">
        <v>4258</v>
      </c>
      <c r="AC457">
        <v>0</v>
      </c>
      <c r="AD457">
        <v>0</v>
      </c>
      <c r="AE457">
        <v>0.7</v>
      </c>
      <c r="AF457" t="s">
        <v>4267</v>
      </c>
      <c r="AG457" t="s">
        <v>4718</v>
      </c>
      <c r="AI457" t="s">
        <v>5768</v>
      </c>
      <c r="AJ457">
        <v>0</v>
      </c>
      <c r="AL457">
        <v>1</v>
      </c>
      <c r="AM457">
        <v>0</v>
      </c>
      <c r="AN457">
        <v>19.4</v>
      </c>
      <c r="AS457" t="s">
        <v>6298</v>
      </c>
      <c r="AT457">
        <v>2340</v>
      </c>
      <c r="AX457" t="s">
        <v>6399</v>
      </c>
      <c r="BA457" t="s">
        <v>6483</v>
      </c>
      <c r="BD457" t="s">
        <v>391</v>
      </c>
    </row>
    <row r="458" spans="1:57">
      <c r="A458" s="1">
        <f>HYPERLINK("https://lsnyc.legalserver.org/matter/dynamic-profile/view/1847263","17-1847263")</f>
        <v>0</v>
      </c>
      <c r="B458" t="s">
        <v>58</v>
      </c>
      <c r="C458" t="s">
        <v>134</v>
      </c>
      <c r="D458" t="s">
        <v>214</v>
      </c>
      <c r="E458" t="s">
        <v>392</v>
      </c>
      <c r="G458" t="s">
        <v>958</v>
      </c>
      <c r="H458" t="s">
        <v>1578</v>
      </c>
      <c r="J458" t="s">
        <v>2481</v>
      </c>
      <c r="K458">
        <v>1</v>
      </c>
      <c r="L458" t="s">
        <v>3332</v>
      </c>
      <c r="M458" t="s">
        <v>3379</v>
      </c>
      <c r="N458">
        <v>11236</v>
      </c>
      <c r="O458" t="s">
        <v>3382</v>
      </c>
      <c r="P458" t="s">
        <v>3381</v>
      </c>
      <c r="Q458" t="s">
        <v>3399</v>
      </c>
      <c r="S458">
        <v>-1</v>
      </c>
      <c r="T458" t="s">
        <v>4205</v>
      </c>
      <c r="U458" t="s">
        <v>4223</v>
      </c>
      <c r="W458" t="s">
        <v>4240</v>
      </c>
      <c r="X458" t="s">
        <v>3382</v>
      </c>
      <c r="Y458" t="s">
        <v>3382</v>
      </c>
      <c r="AA458" t="s">
        <v>4256</v>
      </c>
      <c r="AC458">
        <v>1268</v>
      </c>
      <c r="AD458">
        <v>1268</v>
      </c>
      <c r="AE458">
        <v>12.5</v>
      </c>
      <c r="AG458" t="s">
        <v>4719</v>
      </c>
      <c r="AI458" t="s">
        <v>5769</v>
      </c>
      <c r="AJ458">
        <v>6</v>
      </c>
      <c r="AK458" t="s">
        <v>6266</v>
      </c>
      <c r="AL458">
        <v>1</v>
      </c>
      <c r="AM458">
        <v>2</v>
      </c>
      <c r="AN458">
        <v>91.56</v>
      </c>
      <c r="AQ458" t="s">
        <v>6286</v>
      </c>
      <c r="AR458" t="s">
        <v>6291</v>
      </c>
      <c r="AS458" t="s">
        <v>6298</v>
      </c>
      <c r="AT458">
        <v>18696</v>
      </c>
      <c r="AX458" t="s">
        <v>123</v>
      </c>
      <c r="BA458" t="s">
        <v>6483</v>
      </c>
      <c r="BD458" t="s">
        <v>6646</v>
      </c>
    </row>
    <row r="459" spans="1:57">
      <c r="A459" s="1">
        <f>HYPERLINK("https://lsnyc.legalserver.org/matter/dynamic-profile/view/0763040","14-0763040")</f>
        <v>0</v>
      </c>
      <c r="B459" t="s">
        <v>58</v>
      </c>
      <c r="C459" t="s">
        <v>134</v>
      </c>
      <c r="D459" t="s">
        <v>214</v>
      </c>
      <c r="E459" t="s">
        <v>393</v>
      </c>
      <c r="G459" t="s">
        <v>959</v>
      </c>
      <c r="H459" t="s">
        <v>1678</v>
      </c>
      <c r="J459" t="s">
        <v>2482</v>
      </c>
      <c r="K459" t="s">
        <v>3191</v>
      </c>
      <c r="L459" t="s">
        <v>3332</v>
      </c>
      <c r="M459" t="s">
        <v>3379</v>
      </c>
      <c r="N459">
        <v>11233</v>
      </c>
      <c r="O459" t="s">
        <v>3382</v>
      </c>
      <c r="P459" t="s">
        <v>3381</v>
      </c>
      <c r="R459" t="s">
        <v>3767</v>
      </c>
      <c r="S459">
        <v>7</v>
      </c>
      <c r="T459" t="s">
        <v>4197</v>
      </c>
      <c r="U459" t="s">
        <v>4223</v>
      </c>
      <c r="W459" t="s">
        <v>4240</v>
      </c>
      <c r="X459" t="s">
        <v>3382</v>
      </c>
      <c r="AA459" t="s">
        <v>4256</v>
      </c>
      <c r="AC459">
        <v>875</v>
      </c>
      <c r="AD459">
        <v>875</v>
      </c>
      <c r="AE459">
        <v>51</v>
      </c>
      <c r="AG459" t="s">
        <v>4720</v>
      </c>
      <c r="AH459" t="s">
        <v>5294</v>
      </c>
      <c r="AI459" t="s">
        <v>5770</v>
      </c>
      <c r="AJ459">
        <v>0</v>
      </c>
      <c r="AL459">
        <v>2</v>
      </c>
      <c r="AM459">
        <v>2</v>
      </c>
      <c r="AN459">
        <v>50.92</v>
      </c>
      <c r="AS459" t="s">
        <v>6298</v>
      </c>
      <c r="AT459">
        <v>12144</v>
      </c>
      <c r="AX459" t="s">
        <v>6409</v>
      </c>
      <c r="BA459" t="s">
        <v>6522</v>
      </c>
      <c r="BD459" t="s">
        <v>6646</v>
      </c>
    </row>
    <row r="460" spans="1:57">
      <c r="A460" s="1">
        <f>HYPERLINK("https://lsnyc.legalserver.org/matter/dynamic-profile/view/1911321","19-1911321")</f>
        <v>0</v>
      </c>
      <c r="B460" t="s">
        <v>58</v>
      </c>
      <c r="C460" t="s">
        <v>134</v>
      </c>
      <c r="D460" t="s">
        <v>214</v>
      </c>
      <c r="E460" t="s">
        <v>253</v>
      </c>
      <c r="G460" t="s">
        <v>960</v>
      </c>
      <c r="H460" t="s">
        <v>1679</v>
      </c>
      <c r="J460" t="s">
        <v>2483</v>
      </c>
      <c r="K460" t="s">
        <v>3192</v>
      </c>
      <c r="L460" t="s">
        <v>3332</v>
      </c>
      <c r="M460" t="s">
        <v>3379</v>
      </c>
      <c r="N460">
        <v>11233</v>
      </c>
      <c r="O460" t="s">
        <v>3380</v>
      </c>
      <c r="P460" t="s">
        <v>3381</v>
      </c>
      <c r="Q460" t="s">
        <v>3383</v>
      </c>
      <c r="R460" t="s">
        <v>3768</v>
      </c>
      <c r="S460">
        <v>0</v>
      </c>
      <c r="T460" t="s">
        <v>4196</v>
      </c>
      <c r="U460" t="s">
        <v>4224</v>
      </c>
      <c r="W460" t="s">
        <v>4240</v>
      </c>
      <c r="X460" t="s">
        <v>3382</v>
      </c>
      <c r="AA460" t="s">
        <v>4256</v>
      </c>
      <c r="AC460">
        <v>0</v>
      </c>
      <c r="AD460">
        <v>0</v>
      </c>
      <c r="AE460">
        <v>1</v>
      </c>
      <c r="AG460" t="s">
        <v>4721</v>
      </c>
      <c r="AI460" t="s">
        <v>5771</v>
      </c>
      <c r="AJ460">
        <v>0</v>
      </c>
      <c r="AL460">
        <v>2</v>
      </c>
      <c r="AM460">
        <v>5</v>
      </c>
      <c r="AN460">
        <v>0</v>
      </c>
      <c r="AS460" t="s">
        <v>6298</v>
      </c>
      <c r="AT460">
        <v>0</v>
      </c>
      <c r="AX460" t="s">
        <v>6410</v>
      </c>
      <c r="BA460" t="s">
        <v>6479</v>
      </c>
      <c r="BD460" t="s">
        <v>268</v>
      </c>
      <c r="BE460" t="s">
        <v>6702</v>
      </c>
    </row>
    <row r="461" spans="1:57">
      <c r="A461" s="1">
        <f>HYPERLINK("https://lsnyc.legalserver.org/matter/dynamic-profile/view/1875145","18-1875145")</f>
        <v>0</v>
      </c>
      <c r="B461" t="s">
        <v>58</v>
      </c>
      <c r="C461" t="s">
        <v>134</v>
      </c>
      <c r="D461" t="s">
        <v>214</v>
      </c>
      <c r="E461" t="s">
        <v>394</v>
      </c>
      <c r="G461" t="s">
        <v>961</v>
      </c>
      <c r="H461" t="s">
        <v>1680</v>
      </c>
      <c r="J461" t="s">
        <v>2484</v>
      </c>
      <c r="K461" t="s">
        <v>2998</v>
      </c>
      <c r="L461" t="s">
        <v>3332</v>
      </c>
      <c r="M461" t="s">
        <v>3379</v>
      </c>
      <c r="N461">
        <v>11206</v>
      </c>
      <c r="O461" t="s">
        <v>3381</v>
      </c>
      <c r="P461" t="s">
        <v>3381</v>
      </c>
      <c r="Q461" t="s">
        <v>3386</v>
      </c>
      <c r="R461" t="s">
        <v>3769</v>
      </c>
      <c r="S461">
        <v>23</v>
      </c>
      <c r="T461" t="s">
        <v>4196</v>
      </c>
      <c r="U461" t="s">
        <v>4223</v>
      </c>
      <c r="W461" t="s">
        <v>4240</v>
      </c>
      <c r="X461" t="s">
        <v>3382</v>
      </c>
      <c r="Y461" t="s">
        <v>3382</v>
      </c>
      <c r="AA461" t="s">
        <v>4258</v>
      </c>
      <c r="AC461">
        <v>2086</v>
      </c>
      <c r="AD461">
        <v>2086</v>
      </c>
      <c r="AE461">
        <v>6.5</v>
      </c>
      <c r="AG461" t="s">
        <v>4722</v>
      </c>
      <c r="AI461" t="s">
        <v>5772</v>
      </c>
      <c r="AJ461">
        <v>0</v>
      </c>
      <c r="AK461" t="s">
        <v>6270</v>
      </c>
      <c r="AL461">
        <v>5</v>
      </c>
      <c r="AM461">
        <v>3</v>
      </c>
      <c r="AN461">
        <v>55.21</v>
      </c>
      <c r="AS461" t="s">
        <v>6298</v>
      </c>
      <c r="AT461">
        <v>23400</v>
      </c>
      <c r="AX461" t="s">
        <v>6413</v>
      </c>
      <c r="BA461" t="s">
        <v>6477</v>
      </c>
      <c r="BD461" t="s">
        <v>490</v>
      </c>
    </row>
    <row r="462" spans="1:57">
      <c r="A462" s="1">
        <f>HYPERLINK("https://lsnyc.legalserver.org/matter/dynamic-profile/view/1911190","19-1911190")</f>
        <v>0</v>
      </c>
      <c r="B462" t="s">
        <v>58</v>
      </c>
      <c r="C462" t="s">
        <v>135</v>
      </c>
      <c r="D462" t="s">
        <v>214</v>
      </c>
      <c r="E462" t="s">
        <v>279</v>
      </c>
      <c r="G462" t="s">
        <v>962</v>
      </c>
      <c r="H462" t="s">
        <v>1681</v>
      </c>
      <c r="J462" t="s">
        <v>2485</v>
      </c>
      <c r="K462" t="s">
        <v>3193</v>
      </c>
      <c r="L462" t="s">
        <v>3332</v>
      </c>
      <c r="M462" t="s">
        <v>3379</v>
      </c>
      <c r="N462">
        <v>11229</v>
      </c>
      <c r="O462" t="s">
        <v>3380</v>
      </c>
      <c r="P462" t="s">
        <v>3381</v>
      </c>
      <c r="Q462" t="s">
        <v>3388</v>
      </c>
      <c r="R462" t="s">
        <v>3770</v>
      </c>
      <c r="S462">
        <v>22</v>
      </c>
      <c r="T462" t="s">
        <v>4196</v>
      </c>
      <c r="W462" t="s">
        <v>4240</v>
      </c>
      <c r="X462" t="s">
        <v>3382</v>
      </c>
      <c r="AA462" t="s">
        <v>4258</v>
      </c>
      <c r="AC462">
        <v>0</v>
      </c>
      <c r="AD462">
        <v>231.98</v>
      </c>
      <c r="AE462">
        <v>0.7</v>
      </c>
      <c r="AG462" t="s">
        <v>4723</v>
      </c>
      <c r="AI462" t="s">
        <v>5773</v>
      </c>
      <c r="AJ462">
        <v>45</v>
      </c>
      <c r="AL462">
        <v>1</v>
      </c>
      <c r="AM462">
        <v>1</v>
      </c>
      <c r="AN462">
        <v>55.64</v>
      </c>
      <c r="AS462" t="s">
        <v>6298</v>
      </c>
      <c r="AT462">
        <v>9408</v>
      </c>
      <c r="AX462" t="s">
        <v>6409</v>
      </c>
      <c r="BA462" t="s">
        <v>6499</v>
      </c>
      <c r="BD462" t="s">
        <v>246</v>
      </c>
      <c r="BE462" t="s">
        <v>6702</v>
      </c>
    </row>
    <row r="463" spans="1:57">
      <c r="A463" s="1">
        <f>HYPERLINK("https://lsnyc.legalserver.org/matter/dynamic-profile/view/1910533","19-1910533")</f>
        <v>0</v>
      </c>
      <c r="B463" t="s">
        <v>58</v>
      </c>
      <c r="C463" t="s">
        <v>135</v>
      </c>
      <c r="D463" t="s">
        <v>214</v>
      </c>
      <c r="E463" t="s">
        <v>328</v>
      </c>
      <c r="G463" t="s">
        <v>963</v>
      </c>
      <c r="H463" t="s">
        <v>1682</v>
      </c>
      <c r="J463" t="s">
        <v>2430</v>
      </c>
      <c r="K463" t="s">
        <v>3004</v>
      </c>
      <c r="L463" t="s">
        <v>3332</v>
      </c>
      <c r="M463" t="s">
        <v>3379</v>
      </c>
      <c r="N463">
        <v>11226</v>
      </c>
      <c r="O463" t="s">
        <v>3381</v>
      </c>
      <c r="P463" t="s">
        <v>3381</v>
      </c>
      <c r="Q463" t="s">
        <v>3383</v>
      </c>
      <c r="R463" t="s">
        <v>3771</v>
      </c>
      <c r="S463">
        <v>0</v>
      </c>
      <c r="T463" t="s">
        <v>4196</v>
      </c>
      <c r="U463" t="s">
        <v>4223</v>
      </c>
      <c r="W463" t="s">
        <v>4241</v>
      </c>
      <c r="X463" t="s">
        <v>3382</v>
      </c>
      <c r="AA463" t="s">
        <v>4256</v>
      </c>
      <c r="AC463">
        <v>0</v>
      </c>
      <c r="AD463">
        <v>0</v>
      </c>
      <c r="AE463">
        <v>24.1</v>
      </c>
      <c r="AG463" t="s">
        <v>4724</v>
      </c>
      <c r="AI463" t="s">
        <v>5774</v>
      </c>
      <c r="AJ463">
        <v>0</v>
      </c>
      <c r="AL463">
        <v>1</v>
      </c>
      <c r="AM463">
        <v>1</v>
      </c>
      <c r="AN463">
        <v>33.78</v>
      </c>
      <c r="AT463">
        <v>5712</v>
      </c>
      <c r="AX463" t="s">
        <v>6410</v>
      </c>
      <c r="BA463" t="s">
        <v>6477</v>
      </c>
      <c r="BD463" t="s">
        <v>218</v>
      </c>
    </row>
    <row r="464" spans="1:57">
      <c r="A464" s="1">
        <f>HYPERLINK("https://lsnyc.legalserver.org/matter/dynamic-profile/view/1876674","18-1876674")</f>
        <v>0</v>
      </c>
      <c r="B464" t="s">
        <v>58</v>
      </c>
      <c r="C464" t="s">
        <v>135</v>
      </c>
      <c r="D464" t="s">
        <v>215</v>
      </c>
      <c r="E464" t="s">
        <v>395</v>
      </c>
      <c r="F464" t="s">
        <v>577</v>
      </c>
      <c r="G464" t="s">
        <v>949</v>
      </c>
      <c r="H464" t="s">
        <v>1683</v>
      </c>
      <c r="J464" t="s">
        <v>2486</v>
      </c>
      <c r="K464" t="s">
        <v>3126</v>
      </c>
      <c r="L464" t="s">
        <v>3332</v>
      </c>
      <c r="M464" t="s">
        <v>3379</v>
      </c>
      <c r="N464">
        <v>11225</v>
      </c>
      <c r="O464" t="s">
        <v>3382</v>
      </c>
      <c r="P464" t="s">
        <v>3381</v>
      </c>
      <c r="R464" t="s">
        <v>3772</v>
      </c>
      <c r="S464">
        <v>0</v>
      </c>
      <c r="T464" t="s">
        <v>4196</v>
      </c>
      <c r="U464" t="s">
        <v>4223</v>
      </c>
      <c r="V464" t="s">
        <v>4234</v>
      </c>
      <c r="W464" t="s">
        <v>4241</v>
      </c>
      <c r="X464" t="s">
        <v>3382</v>
      </c>
      <c r="AA464" t="s">
        <v>4256</v>
      </c>
      <c r="AC464">
        <v>0</v>
      </c>
      <c r="AD464">
        <v>0</v>
      </c>
      <c r="AE464">
        <v>17.9</v>
      </c>
      <c r="AF464" t="s">
        <v>4275</v>
      </c>
      <c r="AG464" t="s">
        <v>4725</v>
      </c>
      <c r="AJ464">
        <v>0</v>
      </c>
      <c r="AL464">
        <v>1</v>
      </c>
      <c r="AM464">
        <v>0</v>
      </c>
      <c r="AN464">
        <v>0</v>
      </c>
      <c r="AS464" t="s">
        <v>6298</v>
      </c>
      <c r="AT464">
        <v>0</v>
      </c>
      <c r="AX464" t="s">
        <v>6410</v>
      </c>
      <c r="BA464" t="s">
        <v>6518</v>
      </c>
      <c r="BD464" t="s">
        <v>323</v>
      </c>
    </row>
    <row r="465" spans="1:57">
      <c r="A465" s="1">
        <f>HYPERLINK("https://lsnyc.legalserver.org/matter/dynamic-profile/view/1911171","19-1911171")</f>
        <v>0</v>
      </c>
      <c r="B465" t="s">
        <v>58</v>
      </c>
      <c r="C465" t="s">
        <v>135</v>
      </c>
      <c r="D465" t="s">
        <v>214</v>
      </c>
      <c r="E465" t="s">
        <v>279</v>
      </c>
      <c r="G465" t="s">
        <v>964</v>
      </c>
      <c r="H465" t="s">
        <v>1364</v>
      </c>
      <c r="J465" t="s">
        <v>2487</v>
      </c>
      <c r="L465" t="s">
        <v>3332</v>
      </c>
      <c r="M465" t="s">
        <v>3379</v>
      </c>
      <c r="N465">
        <v>11216</v>
      </c>
      <c r="O465" t="s">
        <v>3380</v>
      </c>
      <c r="P465" t="s">
        <v>3381</v>
      </c>
      <c r="Q465" t="s">
        <v>3391</v>
      </c>
      <c r="R465" t="s">
        <v>3773</v>
      </c>
      <c r="S465">
        <v>1</v>
      </c>
      <c r="U465" t="s">
        <v>4225</v>
      </c>
      <c r="W465" t="s">
        <v>4241</v>
      </c>
      <c r="X465" t="s">
        <v>3382</v>
      </c>
      <c r="AA465" t="s">
        <v>4256</v>
      </c>
      <c r="AC465">
        <v>0</v>
      </c>
      <c r="AD465">
        <v>500</v>
      </c>
      <c r="AE465">
        <v>2.4</v>
      </c>
      <c r="AG465" t="s">
        <v>4726</v>
      </c>
      <c r="AI465" t="s">
        <v>5775</v>
      </c>
      <c r="AJ465">
        <v>6</v>
      </c>
      <c r="AL465">
        <v>1</v>
      </c>
      <c r="AM465">
        <v>0</v>
      </c>
      <c r="AN465">
        <v>52.04</v>
      </c>
      <c r="AS465" t="s">
        <v>6298</v>
      </c>
      <c r="AT465">
        <v>6500</v>
      </c>
      <c r="AX465" t="s">
        <v>6409</v>
      </c>
      <c r="BA465" t="s">
        <v>6503</v>
      </c>
      <c r="BD465" t="s">
        <v>313</v>
      </c>
      <c r="BE465" t="s">
        <v>6702</v>
      </c>
    </row>
    <row r="466" spans="1:57">
      <c r="A466" s="1">
        <f>HYPERLINK("https://lsnyc.legalserver.org/matter/dynamic-profile/view/1887431","19-1887431")</f>
        <v>0</v>
      </c>
      <c r="B466" t="s">
        <v>58</v>
      </c>
      <c r="C466" t="s">
        <v>135</v>
      </c>
      <c r="D466" t="s">
        <v>215</v>
      </c>
      <c r="E466" t="s">
        <v>368</v>
      </c>
      <c r="F466" t="s">
        <v>578</v>
      </c>
      <c r="G466" t="s">
        <v>965</v>
      </c>
      <c r="H466" t="s">
        <v>1684</v>
      </c>
      <c r="J466" t="s">
        <v>2488</v>
      </c>
      <c r="K466">
        <v>2</v>
      </c>
      <c r="L466" t="s">
        <v>3332</v>
      </c>
      <c r="M466" t="s">
        <v>3379</v>
      </c>
      <c r="N466">
        <v>11215</v>
      </c>
      <c r="O466" t="s">
        <v>3381</v>
      </c>
      <c r="P466" t="s">
        <v>3381</v>
      </c>
      <c r="S466">
        <v>0</v>
      </c>
      <c r="V466" t="s">
        <v>4230</v>
      </c>
      <c r="W466" t="s">
        <v>4240</v>
      </c>
      <c r="X466" t="s">
        <v>3382</v>
      </c>
      <c r="AA466" t="s">
        <v>4256</v>
      </c>
      <c r="AC466">
        <v>0</v>
      </c>
      <c r="AD466">
        <v>0</v>
      </c>
      <c r="AE466">
        <v>2.9</v>
      </c>
      <c r="AF466" t="s">
        <v>4268</v>
      </c>
      <c r="AG466" t="s">
        <v>4727</v>
      </c>
      <c r="AJ466">
        <v>0</v>
      </c>
      <c r="AL466">
        <v>2</v>
      </c>
      <c r="AM466">
        <v>3</v>
      </c>
      <c r="AN466">
        <v>0</v>
      </c>
      <c r="AS466" t="s">
        <v>6298</v>
      </c>
      <c r="AT466">
        <v>0</v>
      </c>
      <c r="AX466" t="s">
        <v>6423</v>
      </c>
      <c r="AZ466" t="s">
        <v>3391</v>
      </c>
      <c r="BA466" t="s">
        <v>6479</v>
      </c>
      <c r="BB466" t="s">
        <v>6604</v>
      </c>
      <c r="BC466" t="s">
        <v>6620</v>
      </c>
      <c r="BD466" t="s">
        <v>344</v>
      </c>
    </row>
    <row r="467" spans="1:57">
      <c r="A467" s="1">
        <f>HYPERLINK("https://lsnyc.legalserver.org/matter/dynamic-profile/view/1900451","19-1900451")</f>
        <v>0</v>
      </c>
      <c r="B467" t="s">
        <v>58</v>
      </c>
      <c r="C467" t="s">
        <v>135</v>
      </c>
      <c r="D467" t="s">
        <v>214</v>
      </c>
      <c r="E467" t="s">
        <v>396</v>
      </c>
      <c r="G467" t="s">
        <v>966</v>
      </c>
      <c r="H467" t="s">
        <v>1060</v>
      </c>
      <c r="J467" t="s">
        <v>2489</v>
      </c>
      <c r="K467" t="s">
        <v>3194</v>
      </c>
      <c r="L467" t="s">
        <v>3332</v>
      </c>
      <c r="M467" t="s">
        <v>3379</v>
      </c>
      <c r="N467">
        <v>11213</v>
      </c>
      <c r="O467" t="s">
        <v>3382</v>
      </c>
      <c r="P467" t="s">
        <v>3381</v>
      </c>
      <c r="Q467" t="s">
        <v>3385</v>
      </c>
      <c r="R467" t="s">
        <v>3774</v>
      </c>
      <c r="S467">
        <v>13</v>
      </c>
      <c r="T467" t="s">
        <v>4197</v>
      </c>
      <c r="U467" t="s">
        <v>4223</v>
      </c>
      <c r="W467" t="s">
        <v>4240</v>
      </c>
      <c r="X467" t="s">
        <v>3382</v>
      </c>
      <c r="AA467" t="s">
        <v>4256</v>
      </c>
      <c r="AC467">
        <v>0</v>
      </c>
      <c r="AD467">
        <v>551.34</v>
      </c>
      <c r="AE467">
        <v>25.7</v>
      </c>
      <c r="AG467" t="s">
        <v>4728</v>
      </c>
      <c r="AH467" t="s">
        <v>5295</v>
      </c>
      <c r="AI467" t="s">
        <v>5776</v>
      </c>
      <c r="AJ467">
        <v>4</v>
      </c>
      <c r="AL467">
        <v>1</v>
      </c>
      <c r="AM467">
        <v>0</v>
      </c>
      <c r="AN467">
        <v>229.4</v>
      </c>
      <c r="AO467" t="s">
        <v>6281</v>
      </c>
      <c r="AP467" t="s">
        <v>6283</v>
      </c>
      <c r="AS467" t="s">
        <v>6298</v>
      </c>
      <c r="AT467">
        <v>28652</v>
      </c>
      <c r="AX467" t="s">
        <v>6407</v>
      </c>
      <c r="BA467" t="s">
        <v>6477</v>
      </c>
      <c r="BD467" t="s">
        <v>217</v>
      </c>
    </row>
    <row r="468" spans="1:57">
      <c r="A468" s="1">
        <f>HYPERLINK("https://lsnyc.legalserver.org/matter/dynamic-profile/view/0743146","13-0743146")</f>
        <v>0</v>
      </c>
      <c r="B468" t="s">
        <v>58</v>
      </c>
      <c r="C468" t="s">
        <v>136</v>
      </c>
      <c r="D468" t="s">
        <v>215</v>
      </c>
      <c r="E468" t="s">
        <v>397</v>
      </c>
      <c r="F468" t="s">
        <v>251</v>
      </c>
      <c r="G468" t="s">
        <v>967</v>
      </c>
      <c r="H468" t="s">
        <v>1366</v>
      </c>
      <c r="J468" t="s">
        <v>2490</v>
      </c>
      <c r="K468" t="s">
        <v>3122</v>
      </c>
      <c r="L468" t="s">
        <v>3332</v>
      </c>
      <c r="M468" t="s">
        <v>3379</v>
      </c>
      <c r="N468">
        <v>11237</v>
      </c>
      <c r="O468" t="s">
        <v>3382</v>
      </c>
      <c r="P468" t="s">
        <v>3381</v>
      </c>
      <c r="Q468" t="s">
        <v>3386</v>
      </c>
      <c r="R468" t="s">
        <v>3775</v>
      </c>
      <c r="S468">
        <v>0</v>
      </c>
      <c r="V468" t="s">
        <v>4231</v>
      </c>
      <c r="W468" t="s">
        <v>4240</v>
      </c>
      <c r="X468" t="s">
        <v>3382</v>
      </c>
      <c r="AA468" t="s">
        <v>4256</v>
      </c>
      <c r="AC468">
        <v>0</v>
      </c>
      <c r="AD468">
        <v>0</v>
      </c>
      <c r="AE468">
        <v>28.51</v>
      </c>
      <c r="AF468" t="s">
        <v>4277</v>
      </c>
      <c r="AG468" t="s">
        <v>4729</v>
      </c>
      <c r="AH468">
        <v>4022339</v>
      </c>
      <c r="AI468" t="s">
        <v>5777</v>
      </c>
      <c r="AJ468">
        <v>0</v>
      </c>
      <c r="AL468">
        <v>2</v>
      </c>
      <c r="AM468">
        <v>1</v>
      </c>
      <c r="AN468">
        <v>20.63</v>
      </c>
      <c r="AS468" t="s">
        <v>6298</v>
      </c>
      <c r="AT468">
        <v>4030</v>
      </c>
      <c r="AX468" t="s">
        <v>6424</v>
      </c>
      <c r="BA468" t="s">
        <v>6538</v>
      </c>
      <c r="BD468" t="s">
        <v>469</v>
      </c>
    </row>
    <row r="469" spans="1:57">
      <c r="A469" s="1">
        <f>HYPERLINK("https://lsnyc.legalserver.org/matter/dynamic-profile/view/1844598","17-1844598")</f>
        <v>0</v>
      </c>
      <c r="B469" t="s">
        <v>58</v>
      </c>
      <c r="C469" t="s">
        <v>137</v>
      </c>
      <c r="D469" t="s">
        <v>215</v>
      </c>
      <c r="E469" t="s">
        <v>398</v>
      </c>
      <c r="F469" t="s">
        <v>405</v>
      </c>
      <c r="G469" t="s">
        <v>968</v>
      </c>
      <c r="H469" t="s">
        <v>737</v>
      </c>
      <c r="J469" t="s">
        <v>2491</v>
      </c>
      <c r="K469" t="s">
        <v>3195</v>
      </c>
      <c r="L469" t="s">
        <v>3332</v>
      </c>
      <c r="M469" t="s">
        <v>3379</v>
      </c>
      <c r="N469">
        <v>11230</v>
      </c>
      <c r="O469" t="s">
        <v>3382</v>
      </c>
      <c r="P469" t="s">
        <v>3381</v>
      </c>
      <c r="Q469" t="s">
        <v>3389</v>
      </c>
      <c r="R469" t="s">
        <v>3776</v>
      </c>
      <c r="S469">
        <v>37</v>
      </c>
      <c r="T469" t="s">
        <v>4196</v>
      </c>
      <c r="U469" t="s">
        <v>4223</v>
      </c>
      <c r="V469" t="s">
        <v>4231</v>
      </c>
      <c r="W469" t="s">
        <v>4240</v>
      </c>
      <c r="X469" t="s">
        <v>3382</v>
      </c>
      <c r="AA469" t="s">
        <v>4256</v>
      </c>
      <c r="AC469">
        <v>996.83</v>
      </c>
      <c r="AD469">
        <v>996.83</v>
      </c>
      <c r="AE469">
        <v>12.5</v>
      </c>
      <c r="AF469" t="s">
        <v>4269</v>
      </c>
      <c r="AG469" t="s">
        <v>4730</v>
      </c>
      <c r="AI469" t="s">
        <v>5778</v>
      </c>
      <c r="AJ469">
        <v>48</v>
      </c>
      <c r="AK469" t="s">
        <v>6267</v>
      </c>
      <c r="AL469">
        <v>2</v>
      </c>
      <c r="AM469">
        <v>0</v>
      </c>
      <c r="AN469">
        <v>108.76</v>
      </c>
      <c r="AQ469" t="s">
        <v>6287</v>
      </c>
      <c r="AS469" t="s">
        <v>6298</v>
      </c>
      <c r="AT469">
        <v>17662</v>
      </c>
      <c r="AX469" t="s">
        <v>6407</v>
      </c>
      <c r="BA469" t="s">
        <v>6544</v>
      </c>
      <c r="BD469" t="s">
        <v>405</v>
      </c>
    </row>
    <row r="470" spans="1:57">
      <c r="A470" s="1">
        <f>HYPERLINK("https://lsnyc.legalserver.org/matter/dynamic-profile/view/1866656","18-1866656")</f>
        <v>0</v>
      </c>
      <c r="B470" t="s">
        <v>58</v>
      </c>
      <c r="C470" t="s">
        <v>138</v>
      </c>
      <c r="D470" t="s">
        <v>215</v>
      </c>
      <c r="E470" t="s">
        <v>399</v>
      </c>
      <c r="F470" t="s">
        <v>329</v>
      </c>
      <c r="G470" t="s">
        <v>969</v>
      </c>
      <c r="H470" t="s">
        <v>1685</v>
      </c>
      <c r="J470" t="s">
        <v>2492</v>
      </c>
      <c r="K470" t="s">
        <v>3196</v>
      </c>
      <c r="L470" t="s">
        <v>3332</v>
      </c>
      <c r="M470" t="s">
        <v>3379</v>
      </c>
      <c r="N470">
        <v>11225</v>
      </c>
      <c r="O470" t="s">
        <v>3381</v>
      </c>
      <c r="P470" t="s">
        <v>3381</v>
      </c>
      <c r="Q470" t="s">
        <v>3386</v>
      </c>
      <c r="R470" t="s">
        <v>3777</v>
      </c>
      <c r="S470">
        <v>4</v>
      </c>
      <c r="T470" t="s">
        <v>4197</v>
      </c>
      <c r="U470" t="s">
        <v>4223</v>
      </c>
      <c r="V470" t="s">
        <v>4231</v>
      </c>
      <c r="W470" t="s">
        <v>4241</v>
      </c>
      <c r="X470" t="s">
        <v>3382</v>
      </c>
      <c r="Y470" t="s">
        <v>3382</v>
      </c>
      <c r="AA470" t="s">
        <v>4256</v>
      </c>
      <c r="AC470">
        <v>904.96</v>
      </c>
      <c r="AD470">
        <v>904.96</v>
      </c>
      <c r="AE470">
        <v>199.2</v>
      </c>
      <c r="AF470" t="s">
        <v>4269</v>
      </c>
      <c r="AG470" t="s">
        <v>4731</v>
      </c>
      <c r="AJ470">
        <v>96</v>
      </c>
      <c r="AK470" t="s">
        <v>6267</v>
      </c>
      <c r="AL470">
        <v>1</v>
      </c>
      <c r="AM470">
        <v>0</v>
      </c>
      <c r="AN470">
        <v>238.88</v>
      </c>
      <c r="AO470" t="s">
        <v>6282</v>
      </c>
      <c r="AQ470" t="s">
        <v>6287</v>
      </c>
      <c r="AR470" t="s">
        <v>5312</v>
      </c>
      <c r="AS470" t="s">
        <v>6298</v>
      </c>
      <c r="AT470">
        <v>29000</v>
      </c>
      <c r="AX470" t="s">
        <v>138</v>
      </c>
      <c r="BA470" t="s">
        <v>6477</v>
      </c>
      <c r="BD470" t="s">
        <v>581</v>
      </c>
    </row>
    <row r="471" spans="1:57">
      <c r="A471" s="1">
        <f>HYPERLINK("https://lsnyc.legalserver.org/matter/dynamic-profile/view/1877992","18-1877992")</f>
        <v>0</v>
      </c>
      <c r="B471" t="s">
        <v>58</v>
      </c>
      <c r="C471" t="s">
        <v>139</v>
      </c>
      <c r="D471" t="s">
        <v>215</v>
      </c>
      <c r="E471" t="s">
        <v>400</v>
      </c>
      <c r="F471" t="s">
        <v>322</v>
      </c>
      <c r="G471" t="s">
        <v>970</v>
      </c>
      <c r="H471" t="s">
        <v>1357</v>
      </c>
      <c r="J471" t="s">
        <v>2493</v>
      </c>
      <c r="K471" t="s">
        <v>3110</v>
      </c>
      <c r="L471" t="s">
        <v>3332</v>
      </c>
      <c r="M471" t="s">
        <v>3379</v>
      </c>
      <c r="N471">
        <v>11236</v>
      </c>
      <c r="O471" t="s">
        <v>3382</v>
      </c>
      <c r="P471" t="s">
        <v>3381</v>
      </c>
      <c r="Q471" t="s">
        <v>3386</v>
      </c>
      <c r="R471" t="s">
        <v>3778</v>
      </c>
      <c r="S471">
        <v>7</v>
      </c>
      <c r="T471" t="s">
        <v>4197</v>
      </c>
      <c r="U471" t="s">
        <v>4223</v>
      </c>
      <c r="V471" t="s">
        <v>4231</v>
      </c>
      <c r="W471" t="s">
        <v>4240</v>
      </c>
      <c r="X471" t="s">
        <v>3382</v>
      </c>
      <c r="Y471" t="s">
        <v>3382</v>
      </c>
      <c r="AA471" t="s">
        <v>4256</v>
      </c>
      <c r="AC471">
        <v>0</v>
      </c>
      <c r="AD471">
        <v>0</v>
      </c>
      <c r="AE471">
        <v>22.1</v>
      </c>
      <c r="AF471" t="s">
        <v>4269</v>
      </c>
      <c r="AG471" t="s">
        <v>4732</v>
      </c>
      <c r="AI471" t="s">
        <v>5779</v>
      </c>
      <c r="AJ471">
        <v>0</v>
      </c>
      <c r="AK471" t="s">
        <v>6267</v>
      </c>
      <c r="AL471">
        <v>1</v>
      </c>
      <c r="AM471">
        <v>2</v>
      </c>
      <c r="AN471">
        <v>97.70999999999999</v>
      </c>
      <c r="AQ471" t="s">
        <v>6288</v>
      </c>
      <c r="AS471" t="s">
        <v>6298</v>
      </c>
      <c r="AT471">
        <v>20304</v>
      </c>
      <c r="AX471" t="s">
        <v>6409</v>
      </c>
      <c r="AY471" t="s">
        <v>6461</v>
      </c>
      <c r="AZ471" t="s">
        <v>6470</v>
      </c>
      <c r="BA471" t="s">
        <v>6477</v>
      </c>
      <c r="BB471" t="s">
        <v>6602</v>
      </c>
      <c r="BC471" t="s">
        <v>6621</v>
      </c>
      <c r="BD471" t="s">
        <v>6647</v>
      </c>
    </row>
    <row r="472" spans="1:57">
      <c r="A472" s="1">
        <f>HYPERLINK("https://lsnyc.legalserver.org/matter/dynamic-profile/view/1906426","19-1906426")</f>
        <v>0</v>
      </c>
      <c r="B472" t="s">
        <v>58</v>
      </c>
      <c r="C472" t="s">
        <v>139</v>
      </c>
      <c r="D472" t="s">
        <v>214</v>
      </c>
      <c r="E472" t="s">
        <v>310</v>
      </c>
      <c r="G472" t="s">
        <v>971</v>
      </c>
      <c r="H472" t="s">
        <v>1686</v>
      </c>
      <c r="J472" t="s">
        <v>2494</v>
      </c>
      <c r="K472" t="s">
        <v>3197</v>
      </c>
      <c r="L472" t="s">
        <v>3332</v>
      </c>
      <c r="M472" t="s">
        <v>3379</v>
      </c>
      <c r="N472">
        <v>11236</v>
      </c>
      <c r="O472" t="s">
        <v>3380</v>
      </c>
      <c r="P472" t="s">
        <v>3381</v>
      </c>
      <c r="Q472" t="s">
        <v>3383</v>
      </c>
      <c r="R472" t="s">
        <v>3779</v>
      </c>
      <c r="S472">
        <v>1</v>
      </c>
      <c r="T472" t="s">
        <v>4205</v>
      </c>
      <c r="U472" t="s">
        <v>4223</v>
      </c>
      <c r="W472" t="s">
        <v>4240</v>
      </c>
      <c r="X472" t="s">
        <v>3382</v>
      </c>
      <c r="Y472" t="s">
        <v>3382</v>
      </c>
      <c r="AA472" t="s">
        <v>4256</v>
      </c>
      <c r="AB472" t="s">
        <v>4262</v>
      </c>
      <c r="AC472">
        <v>0</v>
      </c>
      <c r="AD472">
        <v>1283</v>
      </c>
      <c r="AE472">
        <v>71</v>
      </c>
      <c r="AG472" t="s">
        <v>4733</v>
      </c>
      <c r="AI472" t="s">
        <v>5780</v>
      </c>
      <c r="AJ472">
        <v>2</v>
      </c>
      <c r="AK472" t="s">
        <v>6274</v>
      </c>
      <c r="AL472">
        <v>1</v>
      </c>
      <c r="AM472">
        <v>1</v>
      </c>
      <c r="AN472">
        <v>48.26</v>
      </c>
      <c r="AR472" t="s">
        <v>6289</v>
      </c>
      <c r="AS472" t="s">
        <v>6298</v>
      </c>
      <c r="AT472">
        <v>8160</v>
      </c>
      <c r="AX472" t="s">
        <v>6409</v>
      </c>
      <c r="BA472" t="s">
        <v>6554</v>
      </c>
      <c r="BD472" t="s">
        <v>267</v>
      </c>
      <c r="BE472" t="s">
        <v>6702</v>
      </c>
    </row>
    <row r="473" spans="1:57">
      <c r="A473" s="1">
        <f>HYPERLINK("https://lsnyc.legalserver.org/matter/dynamic-profile/view/1911340","19-1911340")</f>
        <v>0</v>
      </c>
      <c r="B473" t="s">
        <v>58</v>
      </c>
      <c r="C473" t="s">
        <v>139</v>
      </c>
      <c r="D473" t="s">
        <v>214</v>
      </c>
      <c r="E473" t="s">
        <v>253</v>
      </c>
      <c r="G473" t="s">
        <v>972</v>
      </c>
      <c r="H473" t="s">
        <v>1687</v>
      </c>
      <c r="J473" t="s">
        <v>2495</v>
      </c>
      <c r="K473" t="s">
        <v>3198</v>
      </c>
      <c r="L473" t="s">
        <v>3332</v>
      </c>
      <c r="M473" t="s">
        <v>3379</v>
      </c>
      <c r="N473">
        <v>11216</v>
      </c>
      <c r="O473" t="s">
        <v>3380</v>
      </c>
      <c r="P473" t="s">
        <v>3381</v>
      </c>
      <c r="Q473" t="s">
        <v>3383</v>
      </c>
      <c r="R473" t="s">
        <v>3780</v>
      </c>
      <c r="S473">
        <v>0</v>
      </c>
      <c r="T473" t="s">
        <v>4196</v>
      </c>
      <c r="U473" t="s">
        <v>4223</v>
      </c>
      <c r="W473" t="s">
        <v>4241</v>
      </c>
      <c r="X473" t="s">
        <v>3382</v>
      </c>
      <c r="Y473" t="s">
        <v>3382</v>
      </c>
      <c r="AA473" t="s">
        <v>4256</v>
      </c>
      <c r="AC473">
        <v>0</v>
      </c>
      <c r="AD473">
        <v>0</v>
      </c>
      <c r="AE473">
        <v>5.5</v>
      </c>
      <c r="AG473" t="s">
        <v>4734</v>
      </c>
      <c r="AI473" t="s">
        <v>5781</v>
      </c>
      <c r="AJ473">
        <v>0</v>
      </c>
      <c r="AK473" t="s">
        <v>6267</v>
      </c>
      <c r="AL473">
        <v>2</v>
      </c>
      <c r="AM473">
        <v>0</v>
      </c>
      <c r="AN473">
        <v>157.75</v>
      </c>
      <c r="AR473" t="s">
        <v>3391</v>
      </c>
      <c r="AS473" t="s">
        <v>6298</v>
      </c>
      <c r="AT473">
        <v>26676</v>
      </c>
      <c r="AX473" t="s">
        <v>6412</v>
      </c>
      <c r="BA473" t="s">
        <v>6477</v>
      </c>
      <c r="BD473" t="s">
        <v>222</v>
      </c>
      <c r="BE473" t="s">
        <v>6702</v>
      </c>
    </row>
    <row r="474" spans="1:57">
      <c r="A474" s="1">
        <f>HYPERLINK("https://lsnyc.legalserver.org/matter/dynamic-profile/view/1909689","19-1909689")</f>
        <v>0</v>
      </c>
      <c r="B474" t="s">
        <v>58</v>
      </c>
      <c r="C474" t="s">
        <v>140</v>
      </c>
      <c r="D474" t="s">
        <v>214</v>
      </c>
      <c r="E474" t="s">
        <v>330</v>
      </c>
      <c r="G474" t="s">
        <v>694</v>
      </c>
      <c r="H474" t="s">
        <v>1688</v>
      </c>
      <c r="J474" t="s">
        <v>2496</v>
      </c>
      <c r="K474" t="s">
        <v>3069</v>
      </c>
      <c r="L474" t="s">
        <v>3332</v>
      </c>
      <c r="M474" t="s">
        <v>3379</v>
      </c>
      <c r="N474">
        <v>11238</v>
      </c>
      <c r="O474" t="s">
        <v>3381</v>
      </c>
      <c r="P474" t="s">
        <v>3381</v>
      </c>
      <c r="S474">
        <v>0</v>
      </c>
      <c r="T474" t="s">
        <v>4207</v>
      </c>
      <c r="U474" t="s">
        <v>4223</v>
      </c>
      <c r="W474" t="s">
        <v>4240</v>
      </c>
      <c r="X474" t="s">
        <v>3382</v>
      </c>
      <c r="Y474" t="s">
        <v>3382</v>
      </c>
      <c r="AA474" t="s">
        <v>4256</v>
      </c>
      <c r="AB474" t="s">
        <v>4261</v>
      </c>
      <c r="AC474">
        <v>0</v>
      </c>
      <c r="AD474">
        <v>0</v>
      </c>
      <c r="AE474">
        <v>5</v>
      </c>
      <c r="AG474" t="s">
        <v>4735</v>
      </c>
      <c r="AI474" t="s">
        <v>5782</v>
      </c>
      <c r="AJ474">
        <v>0</v>
      </c>
      <c r="AL474">
        <v>2</v>
      </c>
      <c r="AM474">
        <v>0</v>
      </c>
      <c r="AN474">
        <v>396.22</v>
      </c>
      <c r="AO474" t="s">
        <v>216</v>
      </c>
      <c r="AP474" t="s">
        <v>6283</v>
      </c>
      <c r="AS474" t="s">
        <v>6298</v>
      </c>
      <c r="AT474">
        <v>67000</v>
      </c>
      <c r="AX474" t="s">
        <v>140</v>
      </c>
      <c r="BA474" t="s">
        <v>6477</v>
      </c>
      <c r="BD474" t="s">
        <v>294</v>
      </c>
    </row>
    <row r="475" spans="1:57">
      <c r="A475" s="1">
        <f>HYPERLINK("https://lsnyc.legalserver.org/matter/dynamic-profile/view/0822503","16-0822503")</f>
        <v>0</v>
      </c>
      <c r="B475" t="s">
        <v>58</v>
      </c>
      <c r="C475" t="s">
        <v>140</v>
      </c>
      <c r="D475" t="s">
        <v>214</v>
      </c>
      <c r="E475" t="s">
        <v>401</v>
      </c>
      <c r="G475" t="s">
        <v>973</v>
      </c>
      <c r="H475" t="s">
        <v>1689</v>
      </c>
      <c r="J475" t="s">
        <v>2497</v>
      </c>
      <c r="L475" t="s">
        <v>3332</v>
      </c>
      <c r="M475" t="s">
        <v>3379</v>
      </c>
      <c r="N475">
        <v>11224</v>
      </c>
      <c r="O475" t="s">
        <v>3382</v>
      </c>
      <c r="P475" t="s">
        <v>3381</v>
      </c>
      <c r="Q475" t="s">
        <v>3385</v>
      </c>
      <c r="R475" t="s">
        <v>3781</v>
      </c>
      <c r="S475">
        <v>1</v>
      </c>
      <c r="T475" t="s">
        <v>4196</v>
      </c>
      <c r="U475" t="s">
        <v>4223</v>
      </c>
      <c r="W475" t="s">
        <v>4240</v>
      </c>
      <c r="X475" t="s">
        <v>3382</v>
      </c>
      <c r="Y475" t="s">
        <v>3382</v>
      </c>
      <c r="AA475" t="s">
        <v>4258</v>
      </c>
      <c r="AC475">
        <v>1348</v>
      </c>
      <c r="AD475">
        <v>1348</v>
      </c>
      <c r="AE475">
        <v>13.5</v>
      </c>
      <c r="AG475" t="s">
        <v>4736</v>
      </c>
      <c r="AI475" t="s">
        <v>5783</v>
      </c>
      <c r="AJ475">
        <v>0</v>
      </c>
      <c r="AK475" t="s">
        <v>6278</v>
      </c>
      <c r="AL475">
        <v>1</v>
      </c>
      <c r="AM475">
        <v>4</v>
      </c>
      <c r="AN475">
        <v>0</v>
      </c>
      <c r="AQ475" t="s">
        <v>6286</v>
      </c>
      <c r="AR475" t="s">
        <v>5312</v>
      </c>
      <c r="AS475" t="s">
        <v>6298</v>
      </c>
      <c r="AT475">
        <v>0</v>
      </c>
      <c r="AV475" t="s">
        <v>3382</v>
      </c>
      <c r="AX475" t="s">
        <v>6425</v>
      </c>
      <c r="BA475" t="s">
        <v>6479</v>
      </c>
      <c r="BD475" t="s">
        <v>557</v>
      </c>
    </row>
    <row r="476" spans="1:57">
      <c r="A476" s="1">
        <f>HYPERLINK("https://lsnyc.legalserver.org/matter/dynamic-profile/view/1911276","19-1911276")</f>
        <v>0</v>
      </c>
      <c r="B476" t="s">
        <v>58</v>
      </c>
      <c r="C476" t="s">
        <v>140</v>
      </c>
      <c r="D476" t="s">
        <v>214</v>
      </c>
      <c r="E476" t="s">
        <v>233</v>
      </c>
      <c r="G476" t="s">
        <v>974</v>
      </c>
      <c r="H476" t="s">
        <v>1379</v>
      </c>
      <c r="J476" t="s">
        <v>2498</v>
      </c>
      <c r="L476" t="s">
        <v>3332</v>
      </c>
      <c r="M476" t="s">
        <v>3379</v>
      </c>
      <c r="N476">
        <v>11221</v>
      </c>
      <c r="O476" t="s">
        <v>3380</v>
      </c>
      <c r="P476" t="s">
        <v>3381</v>
      </c>
      <c r="Q476" t="s">
        <v>3383</v>
      </c>
      <c r="R476" t="s">
        <v>3782</v>
      </c>
      <c r="S476">
        <v>0</v>
      </c>
      <c r="T476" t="s">
        <v>4196</v>
      </c>
      <c r="U476" t="s">
        <v>4223</v>
      </c>
      <c r="W476" t="s">
        <v>4241</v>
      </c>
      <c r="X476" t="s">
        <v>3382</v>
      </c>
      <c r="Y476" t="s">
        <v>3382</v>
      </c>
      <c r="AA476" t="s">
        <v>4256</v>
      </c>
      <c r="AC476">
        <v>0</v>
      </c>
      <c r="AD476">
        <v>0</v>
      </c>
      <c r="AE476">
        <v>2.6</v>
      </c>
      <c r="AG476" t="s">
        <v>4737</v>
      </c>
      <c r="AI476" t="s">
        <v>5784</v>
      </c>
      <c r="AJ476">
        <v>0</v>
      </c>
      <c r="AK476" t="s">
        <v>6267</v>
      </c>
      <c r="AL476">
        <v>1</v>
      </c>
      <c r="AM476">
        <v>0</v>
      </c>
      <c r="AN476">
        <v>246.47</v>
      </c>
      <c r="AS476" t="s">
        <v>6298</v>
      </c>
      <c r="AT476">
        <v>30784</v>
      </c>
      <c r="AX476" t="s">
        <v>6409</v>
      </c>
      <c r="BA476" t="s">
        <v>6473</v>
      </c>
      <c r="BD476" t="s">
        <v>268</v>
      </c>
      <c r="BE476" t="s">
        <v>6702</v>
      </c>
    </row>
    <row r="477" spans="1:57">
      <c r="A477" s="1">
        <f>HYPERLINK("https://lsnyc.legalserver.org/matter/dynamic-profile/view/1911762","19-1911762")</f>
        <v>0</v>
      </c>
      <c r="B477" t="s">
        <v>58</v>
      </c>
      <c r="C477" t="s">
        <v>140</v>
      </c>
      <c r="D477" t="s">
        <v>214</v>
      </c>
      <c r="E477" t="s">
        <v>313</v>
      </c>
      <c r="G477" t="s">
        <v>975</v>
      </c>
      <c r="H477" t="s">
        <v>1690</v>
      </c>
      <c r="J477" t="s">
        <v>2499</v>
      </c>
      <c r="K477" t="s">
        <v>3199</v>
      </c>
      <c r="L477" t="s">
        <v>3332</v>
      </c>
      <c r="M477" t="s">
        <v>3379</v>
      </c>
      <c r="N477">
        <v>11220</v>
      </c>
      <c r="O477" t="s">
        <v>3380</v>
      </c>
      <c r="P477" t="s">
        <v>3381</v>
      </c>
      <c r="Q477" t="s">
        <v>3383</v>
      </c>
      <c r="R477" t="s">
        <v>3783</v>
      </c>
      <c r="S477">
        <v>0</v>
      </c>
      <c r="T477" t="s">
        <v>4196</v>
      </c>
      <c r="W477" t="s">
        <v>4240</v>
      </c>
      <c r="X477" t="s">
        <v>3382</v>
      </c>
      <c r="AA477" t="s">
        <v>4256</v>
      </c>
      <c r="AC477">
        <v>0</v>
      </c>
      <c r="AD477">
        <v>2010</v>
      </c>
      <c r="AE477">
        <v>3.25</v>
      </c>
      <c r="AG477" t="s">
        <v>4738</v>
      </c>
      <c r="AI477" t="s">
        <v>5785</v>
      </c>
      <c r="AJ477">
        <v>0</v>
      </c>
      <c r="AL477">
        <v>2</v>
      </c>
      <c r="AM477">
        <v>3</v>
      </c>
      <c r="AN477">
        <v>6.68</v>
      </c>
      <c r="AS477" t="s">
        <v>6298</v>
      </c>
      <c r="AT477">
        <v>2016</v>
      </c>
      <c r="AX477" t="s">
        <v>6409</v>
      </c>
      <c r="BA477" t="s">
        <v>6483</v>
      </c>
      <c r="BD477" t="s">
        <v>243</v>
      </c>
      <c r="BE477" t="s">
        <v>6702</v>
      </c>
    </row>
    <row r="478" spans="1:57">
      <c r="A478" s="1">
        <f>HYPERLINK("https://lsnyc.legalserver.org/matter/dynamic-profile/view/1858899","18-1858899")</f>
        <v>0</v>
      </c>
      <c r="B478" t="s">
        <v>58</v>
      </c>
      <c r="C478" t="s">
        <v>140</v>
      </c>
      <c r="D478" t="s">
        <v>214</v>
      </c>
      <c r="E478" t="s">
        <v>402</v>
      </c>
      <c r="G478" t="s">
        <v>976</v>
      </c>
      <c r="H478" t="s">
        <v>1691</v>
      </c>
      <c r="J478" t="s">
        <v>2500</v>
      </c>
      <c r="K478" t="s">
        <v>3200</v>
      </c>
      <c r="L478" t="s">
        <v>3332</v>
      </c>
      <c r="M478" t="s">
        <v>3379</v>
      </c>
      <c r="N478">
        <v>11217</v>
      </c>
      <c r="O478" t="s">
        <v>3382</v>
      </c>
      <c r="P478" t="s">
        <v>3381</v>
      </c>
      <c r="S478">
        <v>0</v>
      </c>
      <c r="T478" t="s">
        <v>4196</v>
      </c>
      <c r="U478" t="s">
        <v>4224</v>
      </c>
      <c r="W478" t="s">
        <v>4240</v>
      </c>
      <c r="X478" t="s">
        <v>3382</v>
      </c>
      <c r="AA478" t="s">
        <v>4258</v>
      </c>
      <c r="AC478">
        <v>0</v>
      </c>
      <c r="AD478">
        <v>0</v>
      </c>
      <c r="AE478">
        <v>0</v>
      </c>
      <c r="AG478" t="s">
        <v>4739</v>
      </c>
      <c r="AJ478">
        <v>0</v>
      </c>
      <c r="AL478">
        <v>2</v>
      </c>
      <c r="AM478">
        <v>0</v>
      </c>
      <c r="AN478">
        <v>134.26</v>
      </c>
      <c r="AQ478" t="s">
        <v>6287</v>
      </c>
      <c r="AS478" t="s">
        <v>6299</v>
      </c>
      <c r="AT478">
        <v>21804</v>
      </c>
      <c r="AV478" t="s">
        <v>3380</v>
      </c>
      <c r="AX478" t="s">
        <v>6412</v>
      </c>
      <c r="BA478" t="s">
        <v>6555</v>
      </c>
    </row>
    <row r="479" spans="1:57">
      <c r="A479" s="1">
        <f>HYPERLINK("https://lsnyc.legalserver.org/matter/dynamic-profile/view/1911743","19-1911743")</f>
        <v>0</v>
      </c>
      <c r="B479" t="s">
        <v>58</v>
      </c>
      <c r="C479" t="s">
        <v>140</v>
      </c>
      <c r="D479" t="s">
        <v>214</v>
      </c>
      <c r="E479" t="s">
        <v>313</v>
      </c>
      <c r="G479" t="s">
        <v>977</v>
      </c>
      <c r="H479" t="s">
        <v>1692</v>
      </c>
      <c r="J479" t="s">
        <v>2501</v>
      </c>
      <c r="K479" t="s">
        <v>3049</v>
      </c>
      <c r="L479" t="s">
        <v>3332</v>
      </c>
      <c r="M479" t="s">
        <v>3379</v>
      </c>
      <c r="N479">
        <v>11213</v>
      </c>
      <c r="O479" t="s">
        <v>3380</v>
      </c>
      <c r="P479" t="s">
        <v>3381</v>
      </c>
      <c r="Q479" t="s">
        <v>3396</v>
      </c>
      <c r="R479" t="s">
        <v>3784</v>
      </c>
      <c r="S479">
        <v>20</v>
      </c>
      <c r="T479" t="s">
        <v>4196</v>
      </c>
      <c r="U479" t="s">
        <v>4223</v>
      </c>
      <c r="W479" t="s">
        <v>4240</v>
      </c>
      <c r="X479" t="s">
        <v>3382</v>
      </c>
      <c r="Y479" t="s">
        <v>3382</v>
      </c>
      <c r="AA479" t="s">
        <v>4256</v>
      </c>
      <c r="AB479" t="s">
        <v>4264</v>
      </c>
      <c r="AC479">
        <v>0</v>
      </c>
      <c r="AD479">
        <v>860</v>
      </c>
      <c r="AE479">
        <v>6.5</v>
      </c>
      <c r="AG479" t="s">
        <v>4740</v>
      </c>
      <c r="AI479" t="s">
        <v>5786</v>
      </c>
      <c r="AJ479">
        <v>20</v>
      </c>
      <c r="AL479">
        <v>1</v>
      </c>
      <c r="AM479">
        <v>0</v>
      </c>
      <c r="AN479">
        <v>78.78</v>
      </c>
      <c r="AS479" t="s">
        <v>6298</v>
      </c>
      <c r="AT479">
        <v>9840</v>
      </c>
      <c r="AX479" t="s">
        <v>6410</v>
      </c>
      <c r="BA479" t="s">
        <v>6511</v>
      </c>
      <c r="BD479" t="s">
        <v>6648</v>
      </c>
      <c r="BE479" t="s">
        <v>6702</v>
      </c>
    </row>
    <row r="480" spans="1:57">
      <c r="A480" s="1">
        <f>HYPERLINK("https://lsnyc.legalserver.org/matter/dynamic-profile/view/1909236","19-1909236")</f>
        <v>0</v>
      </c>
      <c r="B480" t="s">
        <v>58</v>
      </c>
      <c r="C480" t="s">
        <v>141</v>
      </c>
      <c r="D480" t="s">
        <v>214</v>
      </c>
      <c r="E480" t="s">
        <v>318</v>
      </c>
      <c r="G480" t="s">
        <v>969</v>
      </c>
      <c r="H480" t="s">
        <v>1685</v>
      </c>
      <c r="J480" t="s">
        <v>2492</v>
      </c>
      <c r="K480" t="s">
        <v>3196</v>
      </c>
      <c r="L480" t="s">
        <v>3332</v>
      </c>
      <c r="M480" t="s">
        <v>3379</v>
      </c>
      <c r="N480">
        <v>11225</v>
      </c>
      <c r="O480" t="s">
        <v>3381</v>
      </c>
      <c r="P480" t="s">
        <v>3381</v>
      </c>
      <c r="Q480" t="s">
        <v>3386</v>
      </c>
      <c r="R480" t="s">
        <v>3785</v>
      </c>
      <c r="S480">
        <v>8</v>
      </c>
      <c r="U480" t="s">
        <v>4223</v>
      </c>
      <c r="W480" t="s">
        <v>4241</v>
      </c>
      <c r="X480" t="s">
        <v>3382</v>
      </c>
      <c r="AA480" t="s">
        <v>4256</v>
      </c>
      <c r="AC480">
        <v>0</v>
      </c>
      <c r="AD480">
        <v>1100</v>
      </c>
      <c r="AE480">
        <v>70</v>
      </c>
      <c r="AG480" t="s">
        <v>4731</v>
      </c>
      <c r="AI480" t="s">
        <v>5787</v>
      </c>
      <c r="AJ480">
        <v>0</v>
      </c>
      <c r="AK480" t="s">
        <v>6267</v>
      </c>
      <c r="AL480">
        <v>1</v>
      </c>
      <c r="AM480">
        <v>1</v>
      </c>
      <c r="AN480">
        <v>85.16</v>
      </c>
      <c r="AR480" t="s">
        <v>5312</v>
      </c>
      <c r="AS480" t="s">
        <v>6298</v>
      </c>
      <c r="AT480">
        <v>14400</v>
      </c>
      <c r="AX480" t="s">
        <v>6396</v>
      </c>
      <c r="BA480" t="s">
        <v>6477</v>
      </c>
      <c r="BD480" t="s">
        <v>231</v>
      </c>
    </row>
    <row r="481" spans="1:57">
      <c r="A481" s="1">
        <f>HYPERLINK("https://lsnyc.legalserver.org/matter/dynamic-profile/view/1910581","19-1910581")</f>
        <v>0</v>
      </c>
      <c r="B481" t="s">
        <v>58</v>
      </c>
      <c r="C481" t="s">
        <v>141</v>
      </c>
      <c r="D481" t="s">
        <v>214</v>
      </c>
      <c r="E481" t="s">
        <v>220</v>
      </c>
      <c r="G481" t="s">
        <v>978</v>
      </c>
      <c r="H481" t="s">
        <v>1693</v>
      </c>
      <c r="J481" t="s">
        <v>2502</v>
      </c>
      <c r="K481">
        <v>5</v>
      </c>
      <c r="L481" t="s">
        <v>3332</v>
      </c>
      <c r="M481" t="s">
        <v>3379</v>
      </c>
      <c r="N481">
        <v>11213</v>
      </c>
      <c r="O481" t="s">
        <v>3381</v>
      </c>
      <c r="P481" t="s">
        <v>3381</v>
      </c>
      <c r="Q481" t="s">
        <v>3396</v>
      </c>
      <c r="R481" t="s">
        <v>3786</v>
      </c>
      <c r="S481">
        <v>5</v>
      </c>
      <c r="T481" t="s">
        <v>4197</v>
      </c>
      <c r="U481" t="s">
        <v>4226</v>
      </c>
      <c r="W481" t="s">
        <v>4240</v>
      </c>
      <c r="X481" t="s">
        <v>3382</v>
      </c>
      <c r="AA481" t="s">
        <v>4256</v>
      </c>
      <c r="AC481">
        <v>0</v>
      </c>
      <c r="AD481">
        <v>481</v>
      </c>
      <c r="AE481">
        <v>15.7</v>
      </c>
      <c r="AG481" t="s">
        <v>4741</v>
      </c>
      <c r="AI481" t="s">
        <v>5788</v>
      </c>
      <c r="AJ481">
        <v>6</v>
      </c>
      <c r="AK481" t="s">
        <v>6267</v>
      </c>
      <c r="AL481">
        <v>2</v>
      </c>
      <c r="AM481">
        <v>1</v>
      </c>
      <c r="AN481">
        <v>45.46</v>
      </c>
      <c r="AR481" t="s">
        <v>6290</v>
      </c>
      <c r="AS481" t="s">
        <v>6298</v>
      </c>
      <c r="AT481">
        <v>9696</v>
      </c>
      <c r="AX481" t="s">
        <v>6407</v>
      </c>
      <c r="BA481" t="s">
        <v>6540</v>
      </c>
      <c r="BD481" t="s">
        <v>218</v>
      </c>
    </row>
    <row r="482" spans="1:57">
      <c r="A482" s="1">
        <f>HYPERLINK("https://lsnyc.legalserver.org/matter/dynamic-profile/view/1910670","19-1910670")</f>
        <v>0</v>
      </c>
      <c r="B482" t="s">
        <v>58</v>
      </c>
      <c r="C482" t="s">
        <v>141</v>
      </c>
      <c r="D482" t="s">
        <v>214</v>
      </c>
      <c r="E482" t="s">
        <v>220</v>
      </c>
      <c r="G482" t="s">
        <v>817</v>
      </c>
      <c r="H482" t="s">
        <v>1666</v>
      </c>
      <c r="J482" t="s">
        <v>2466</v>
      </c>
      <c r="K482" t="s">
        <v>3185</v>
      </c>
      <c r="L482" t="s">
        <v>3332</v>
      </c>
      <c r="M482" t="s">
        <v>3379</v>
      </c>
      <c r="N482">
        <v>11206</v>
      </c>
      <c r="O482" t="s">
        <v>3381</v>
      </c>
      <c r="P482" t="s">
        <v>3381</v>
      </c>
      <c r="S482">
        <v>0</v>
      </c>
      <c r="U482" t="s">
        <v>4224</v>
      </c>
      <c r="W482" t="s">
        <v>4240</v>
      </c>
      <c r="X482" t="s">
        <v>3382</v>
      </c>
      <c r="AA482" t="s">
        <v>4256</v>
      </c>
      <c r="AC482">
        <v>0</v>
      </c>
      <c r="AD482">
        <v>0</v>
      </c>
      <c r="AE482">
        <v>2.1</v>
      </c>
      <c r="AG482" t="s">
        <v>4702</v>
      </c>
      <c r="AI482" t="s">
        <v>5754</v>
      </c>
      <c r="AJ482">
        <v>0</v>
      </c>
      <c r="AL482">
        <v>1</v>
      </c>
      <c r="AM482">
        <v>0</v>
      </c>
      <c r="AN482">
        <v>159.58</v>
      </c>
      <c r="AS482" t="s">
        <v>6298</v>
      </c>
      <c r="AT482">
        <v>19932</v>
      </c>
      <c r="AX482" t="s">
        <v>6407</v>
      </c>
      <c r="BA482" t="s">
        <v>6487</v>
      </c>
      <c r="BD482" t="s">
        <v>253</v>
      </c>
    </row>
    <row r="483" spans="1:57">
      <c r="A483" s="1">
        <f>HYPERLINK("https://lsnyc.legalserver.org/matter/dynamic-profile/view/1915416","19-1915416")</f>
        <v>0</v>
      </c>
      <c r="B483" t="s">
        <v>58</v>
      </c>
      <c r="C483" t="s">
        <v>142</v>
      </c>
      <c r="D483" t="s">
        <v>214</v>
      </c>
      <c r="E483" t="s">
        <v>218</v>
      </c>
      <c r="G483" t="s">
        <v>979</v>
      </c>
      <c r="H483" t="s">
        <v>1649</v>
      </c>
      <c r="L483" t="s">
        <v>3332</v>
      </c>
      <c r="M483" t="s">
        <v>3379</v>
      </c>
      <c r="N483">
        <v>11221</v>
      </c>
      <c r="O483" t="s">
        <v>3381</v>
      </c>
      <c r="P483" t="s">
        <v>3381</v>
      </c>
      <c r="R483" t="s">
        <v>3787</v>
      </c>
      <c r="S483">
        <v>0</v>
      </c>
      <c r="T483" t="s">
        <v>4196</v>
      </c>
      <c r="U483" t="s">
        <v>4225</v>
      </c>
      <c r="W483" t="s">
        <v>4241</v>
      </c>
      <c r="X483" t="s">
        <v>3382</v>
      </c>
      <c r="AA483" t="s">
        <v>4256</v>
      </c>
      <c r="AC483">
        <v>0</v>
      </c>
      <c r="AD483">
        <v>0</v>
      </c>
      <c r="AE483">
        <v>0</v>
      </c>
      <c r="AG483" t="s">
        <v>4742</v>
      </c>
      <c r="AI483" t="s">
        <v>5789</v>
      </c>
      <c r="AJ483">
        <v>0</v>
      </c>
      <c r="AL483">
        <v>1</v>
      </c>
      <c r="AM483">
        <v>0</v>
      </c>
      <c r="AN483">
        <v>37.68</v>
      </c>
      <c r="AS483" t="s">
        <v>6298</v>
      </c>
      <c r="AT483">
        <v>4706</v>
      </c>
      <c r="AX483" t="s">
        <v>6408</v>
      </c>
      <c r="BA483" t="s">
        <v>6483</v>
      </c>
    </row>
    <row r="484" spans="1:57">
      <c r="A484" s="1">
        <f>HYPERLINK("https://lsnyc.legalserver.org/matter/dynamic-profile/view/1915434","19-1915434")</f>
        <v>0</v>
      </c>
      <c r="B484" t="s">
        <v>58</v>
      </c>
      <c r="C484" t="s">
        <v>142</v>
      </c>
      <c r="D484" t="s">
        <v>214</v>
      </c>
      <c r="E484" t="s">
        <v>218</v>
      </c>
      <c r="G484" t="s">
        <v>980</v>
      </c>
      <c r="H484" t="s">
        <v>1525</v>
      </c>
      <c r="J484" t="s">
        <v>2503</v>
      </c>
      <c r="K484" t="s">
        <v>3110</v>
      </c>
      <c r="L484" t="s">
        <v>3332</v>
      </c>
      <c r="M484" t="s">
        <v>3379</v>
      </c>
      <c r="N484">
        <v>11221</v>
      </c>
      <c r="O484" t="s">
        <v>3381</v>
      </c>
      <c r="P484" t="s">
        <v>3381</v>
      </c>
      <c r="R484" t="s">
        <v>3788</v>
      </c>
      <c r="S484">
        <v>0</v>
      </c>
      <c r="T484" t="s">
        <v>4196</v>
      </c>
      <c r="U484" t="s">
        <v>4225</v>
      </c>
      <c r="W484" t="s">
        <v>4241</v>
      </c>
      <c r="X484" t="s">
        <v>3382</v>
      </c>
      <c r="AA484" t="s">
        <v>4256</v>
      </c>
      <c r="AC484">
        <v>0</v>
      </c>
      <c r="AD484">
        <v>0</v>
      </c>
      <c r="AE484">
        <v>0</v>
      </c>
      <c r="AG484" t="s">
        <v>4743</v>
      </c>
      <c r="AI484" t="s">
        <v>5790</v>
      </c>
      <c r="AJ484">
        <v>0</v>
      </c>
      <c r="AL484">
        <v>1</v>
      </c>
      <c r="AM484">
        <v>0</v>
      </c>
      <c r="AN484">
        <v>74.08</v>
      </c>
      <c r="AS484" t="s">
        <v>6298</v>
      </c>
      <c r="AT484">
        <v>9252</v>
      </c>
      <c r="AX484" t="s">
        <v>6408</v>
      </c>
      <c r="BA484" t="s">
        <v>6487</v>
      </c>
    </row>
    <row r="485" spans="1:57">
      <c r="A485" s="1">
        <f>HYPERLINK("https://lsnyc.legalserver.org/matter/dynamic-profile/view/1898577","19-1898577")</f>
        <v>0</v>
      </c>
      <c r="B485" t="s">
        <v>58</v>
      </c>
      <c r="C485" t="s">
        <v>143</v>
      </c>
      <c r="D485" t="s">
        <v>214</v>
      </c>
      <c r="E485" t="s">
        <v>320</v>
      </c>
      <c r="G485" t="s">
        <v>981</v>
      </c>
      <c r="H485" t="s">
        <v>1694</v>
      </c>
      <c r="J485" t="s">
        <v>2504</v>
      </c>
      <c r="K485" t="s">
        <v>3201</v>
      </c>
      <c r="L485" t="s">
        <v>3332</v>
      </c>
      <c r="M485" t="s">
        <v>3379</v>
      </c>
      <c r="N485">
        <v>11233</v>
      </c>
      <c r="O485" t="s">
        <v>3382</v>
      </c>
      <c r="P485" t="s">
        <v>3382</v>
      </c>
      <c r="Q485" t="s">
        <v>3383</v>
      </c>
      <c r="R485" t="s">
        <v>3789</v>
      </c>
      <c r="S485">
        <v>12</v>
      </c>
      <c r="T485" t="s">
        <v>4196</v>
      </c>
      <c r="U485" t="s">
        <v>4223</v>
      </c>
      <c r="W485" t="s">
        <v>4240</v>
      </c>
      <c r="X485" t="s">
        <v>3382</v>
      </c>
      <c r="AA485" t="s">
        <v>4258</v>
      </c>
      <c r="AC485">
        <v>0</v>
      </c>
      <c r="AD485">
        <v>751</v>
      </c>
      <c r="AE485">
        <v>7.8</v>
      </c>
      <c r="AG485" t="s">
        <v>4744</v>
      </c>
      <c r="AH485" t="s">
        <v>5296</v>
      </c>
      <c r="AI485" t="s">
        <v>5791</v>
      </c>
      <c r="AJ485">
        <v>3</v>
      </c>
      <c r="AK485" t="s">
        <v>6278</v>
      </c>
      <c r="AL485">
        <v>2</v>
      </c>
      <c r="AM485">
        <v>0</v>
      </c>
      <c r="AN485">
        <v>32</v>
      </c>
      <c r="AR485" t="s">
        <v>5312</v>
      </c>
      <c r="AS485" t="s">
        <v>6299</v>
      </c>
      <c r="AT485">
        <v>5412</v>
      </c>
      <c r="AX485" t="s">
        <v>6409</v>
      </c>
      <c r="BA485" t="s">
        <v>6482</v>
      </c>
      <c r="BD485" t="s">
        <v>219</v>
      </c>
    </row>
    <row r="486" spans="1:57">
      <c r="A486" s="1">
        <f>HYPERLINK("https://lsnyc.legalserver.org/matter/dynamic-profile/view/1906272","19-1906272")</f>
        <v>0</v>
      </c>
      <c r="B486" t="s">
        <v>58</v>
      </c>
      <c r="C486" t="s">
        <v>143</v>
      </c>
      <c r="D486" t="s">
        <v>214</v>
      </c>
      <c r="E486" t="s">
        <v>329</v>
      </c>
      <c r="G486" t="s">
        <v>944</v>
      </c>
      <c r="H486" t="s">
        <v>1695</v>
      </c>
      <c r="J486" t="s">
        <v>2505</v>
      </c>
      <c r="K486">
        <v>69</v>
      </c>
      <c r="L486" t="s">
        <v>3332</v>
      </c>
      <c r="M486" t="s">
        <v>3379</v>
      </c>
      <c r="N486">
        <v>11226</v>
      </c>
      <c r="O486" t="s">
        <v>3382</v>
      </c>
      <c r="P486" t="s">
        <v>3381</v>
      </c>
      <c r="R486" t="s">
        <v>3790</v>
      </c>
      <c r="S486">
        <v>49</v>
      </c>
      <c r="T486" t="s">
        <v>4196</v>
      </c>
      <c r="U486" t="s">
        <v>4223</v>
      </c>
      <c r="W486" t="s">
        <v>4241</v>
      </c>
      <c r="X486" t="s">
        <v>3382</v>
      </c>
      <c r="AA486" t="s">
        <v>4256</v>
      </c>
      <c r="AC486">
        <v>0</v>
      </c>
      <c r="AD486">
        <v>869.96</v>
      </c>
      <c r="AE486">
        <v>7.8</v>
      </c>
      <c r="AG486" t="s">
        <v>4745</v>
      </c>
      <c r="AI486" t="s">
        <v>5792</v>
      </c>
      <c r="AJ486">
        <v>0</v>
      </c>
      <c r="AK486" t="s">
        <v>6267</v>
      </c>
      <c r="AL486">
        <v>1</v>
      </c>
      <c r="AM486">
        <v>0</v>
      </c>
      <c r="AN486">
        <v>200.13</v>
      </c>
      <c r="AO486" t="s">
        <v>309</v>
      </c>
      <c r="AP486" t="s">
        <v>6283</v>
      </c>
      <c r="AS486" t="s">
        <v>6298</v>
      </c>
      <c r="AT486">
        <v>24996</v>
      </c>
      <c r="AX486" t="s">
        <v>6407</v>
      </c>
      <c r="BA486" t="s">
        <v>6553</v>
      </c>
      <c r="BD486" t="s">
        <v>238</v>
      </c>
    </row>
    <row r="487" spans="1:57">
      <c r="A487" s="1">
        <f>HYPERLINK("https://lsnyc.legalserver.org/matter/dynamic-profile/view/1906184","19-1906184")</f>
        <v>0</v>
      </c>
      <c r="B487" t="s">
        <v>58</v>
      </c>
      <c r="C487" t="s">
        <v>143</v>
      </c>
      <c r="D487" t="s">
        <v>214</v>
      </c>
      <c r="E487" t="s">
        <v>403</v>
      </c>
      <c r="G487" t="s">
        <v>982</v>
      </c>
      <c r="H487" t="s">
        <v>644</v>
      </c>
      <c r="J487" t="s">
        <v>2506</v>
      </c>
      <c r="K487" t="s">
        <v>3202</v>
      </c>
      <c r="L487" t="s">
        <v>3332</v>
      </c>
      <c r="M487" t="s">
        <v>3379</v>
      </c>
      <c r="N487">
        <v>11221</v>
      </c>
      <c r="O487" t="s">
        <v>3380</v>
      </c>
      <c r="P487" t="s">
        <v>3381</v>
      </c>
      <c r="Q487" t="s">
        <v>3383</v>
      </c>
      <c r="R487" t="s">
        <v>3791</v>
      </c>
      <c r="S487">
        <v>23</v>
      </c>
      <c r="T487" t="s">
        <v>4197</v>
      </c>
      <c r="U487" t="s">
        <v>4223</v>
      </c>
      <c r="W487" t="s">
        <v>4241</v>
      </c>
      <c r="X487" t="s">
        <v>3382</v>
      </c>
      <c r="AA487" t="s">
        <v>4256</v>
      </c>
      <c r="AC487">
        <v>0</v>
      </c>
      <c r="AD487">
        <v>110</v>
      </c>
      <c r="AE487">
        <v>63.3</v>
      </c>
      <c r="AG487" t="s">
        <v>4746</v>
      </c>
      <c r="AJ487">
        <v>3</v>
      </c>
      <c r="AL487">
        <v>1</v>
      </c>
      <c r="AM487">
        <v>0</v>
      </c>
      <c r="AN487">
        <v>0</v>
      </c>
      <c r="AR487" t="s">
        <v>5312</v>
      </c>
      <c r="AS487" t="s">
        <v>6298</v>
      </c>
      <c r="AT487">
        <v>0</v>
      </c>
      <c r="AX487" t="s">
        <v>6410</v>
      </c>
      <c r="BA487" t="s">
        <v>6479</v>
      </c>
      <c r="BD487" t="s">
        <v>217</v>
      </c>
      <c r="BE487" t="s">
        <v>6702</v>
      </c>
    </row>
    <row r="488" spans="1:57">
      <c r="A488" s="1">
        <f>HYPERLINK("https://lsnyc.legalserver.org/matter/dynamic-profile/view/1890598","19-1890598")</f>
        <v>0</v>
      </c>
      <c r="B488" t="s">
        <v>58</v>
      </c>
      <c r="C488" t="s">
        <v>143</v>
      </c>
      <c r="D488" t="s">
        <v>214</v>
      </c>
      <c r="E488" t="s">
        <v>226</v>
      </c>
      <c r="G488" t="s">
        <v>914</v>
      </c>
      <c r="H488" t="s">
        <v>1635</v>
      </c>
      <c r="J488" t="s">
        <v>2507</v>
      </c>
      <c r="K488" t="s">
        <v>2998</v>
      </c>
      <c r="L488" t="s">
        <v>3332</v>
      </c>
      <c r="M488" t="s">
        <v>3379</v>
      </c>
      <c r="N488">
        <v>11218</v>
      </c>
      <c r="O488" t="s">
        <v>3380</v>
      </c>
      <c r="P488" t="s">
        <v>3381</v>
      </c>
      <c r="Q488" t="s">
        <v>3383</v>
      </c>
      <c r="R488" t="s">
        <v>3792</v>
      </c>
      <c r="S488">
        <v>9</v>
      </c>
      <c r="T488" t="s">
        <v>4196</v>
      </c>
      <c r="U488" t="s">
        <v>4223</v>
      </c>
      <c r="W488" t="s">
        <v>4240</v>
      </c>
      <c r="X488" t="s">
        <v>3382</v>
      </c>
      <c r="AA488" t="s">
        <v>4256</v>
      </c>
      <c r="AC488">
        <v>0</v>
      </c>
      <c r="AD488">
        <v>1442</v>
      </c>
      <c r="AE488">
        <v>15.2</v>
      </c>
      <c r="AG488" t="s">
        <v>4663</v>
      </c>
      <c r="AI488" t="s">
        <v>5717</v>
      </c>
      <c r="AJ488">
        <v>80</v>
      </c>
      <c r="AK488" t="s">
        <v>6267</v>
      </c>
      <c r="AL488">
        <v>1</v>
      </c>
      <c r="AM488">
        <v>0</v>
      </c>
      <c r="AN488">
        <v>62.45</v>
      </c>
      <c r="AQ488" t="s">
        <v>6287</v>
      </c>
      <c r="AR488" t="s">
        <v>5312</v>
      </c>
      <c r="AS488" t="s">
        <v>6298</v>
      </c>
      <c r="AT488">
        <v>7800</v>
      </c>
      <c r="AX488" t="s">
        <v>6413</v>
      </c>
      <c r="BA488" t="s">
        <v>6473</v>
      </c>
      <c r="BD488" t="s">
        <v>339</v>
      </c>
    </row>
    <row r="489" spans="1:57">
      <c r="A489" s="1">
        <f>HYPERLINK("https://lsnyc.legalserver.org/matter/dynamic-profile/view/1888511","19-1888511")</f>
        <v>0</v>
      </c>
      <c r="B489" t="s">
        <v>58</v>
      </c>
      <c r="C489" t="s">
        <v>143</v>
      </c>
      <c r="D489" t="s">
        <v>214</v>
      </c>
      <c r="E489" t="s">
        <v>404</v>
      </c>
      <c r="G489" t="s">
        <v>983</v>
      </c>
      <c r="H489" t="s">
        <v>1696</v>
      </c>
      <c r="J489" t="s">
        <v>2508</v>
      </c>
      <c r="K489" t="s">
        <v>3203</v>
      </c>
      <c r="L489" t="s">
        <v>3332</v>
      </c>
      <c r="M489" t="s">
        <v>3379</v>
      </c>
      <c r="N489">
        <v>11214</v>
      </c>
      <c r="O489" t="s">
        <v>3380</v>
      </c>
      <c r="P489" t="s">
        <v>3380</v>
      </c>
      <c r="Q489" t="s">
        <v>3383</v>
      </c>
      <c r="R489" t="s">
        <v>3793</v>
      </c>
      <c r="S489">
        <v>35</v>
      </c>
      <c r="T489" t="s">
        <v>4196</v>
      </c>
      <c r="U489" t="s">
        <v>4223</v>
      </c>
      <c r="W489" t="s">
        <v>4240</v>
      </c>
      <c r="X489" t="s">
        <v>3382</v>
      </c>
      <c r="AA489" t="s">
        <v>4256</v>
      </c>
      <c r="AC489">
        <v>0</v>
      </c>
      <c r="AD489">
        <v>855.88</v>
      </c>
      <c r="AE489">
        <v>28.9</v>
      </c>
      <c r="AG489" t="s">
        <v>4747</v>
      </c>
      <c r="AI489" t="s">
        <v>5793</v>
      </c>
      <c r="AJ489">
        <v>34</v>
      </c>
      <c r="AK489" t="s">
        <v>6267</v>
      </c>
      <c r="AL489">
        <v>1</v>
      </c>
      <c r="AM489">
        <v>0</v>
      </c>
      <c r="AN489">
        <v>137.99</v>
      </c>
      <c r="AQ489" t="s">
        <v>6287</v>
      </c>
      <c r="AR489" t="s">
        <v>5312</v>
      </c>
      <c r="AS489" t="s">
        <v>6298</v>
      </c>
      <c r="AT489">
        <v>16752</v>
      </c>
      <c r="AX489" t="s">
        <v>6410</v>
      </c>
      <c r="BA489" t="s">
        <v>6491</v>
      </c>
      <c r="BD489" t="s">
        <v>256</v>
      </c>
    </row>
    <row r="490" spans="1:57">
      <c r="A490" s="1">
        <f>HYPERLINK("https://lsnyc.legalserver.org/matter/dynamic-profile/view/1905284","19-1905284")</f>
        <v>0</v>
      </c>
      <c r="B490" t="s">
        <v>58</v>
      </c>
      <c r="C490" t="s">
        <v>144</v>
      </c>
      <c r="D490" t="s">
        <v>215</v>
      </c>
      <c r="E490" t="s">
        <v>405</v>
      </c>
      <c r="F490" t="s">
        <v>250</v>
      </c>
      <c r="G490" t="s">
        <v>984</v>
      </c>
      <c r="H490" t="s">
        <v>1697</v>
      </c>
      <c r="J490" t="s">
        <v>2509</v>
      </c>
      <c r="K490" t="s">
        <v>3017</v>
      </c>
      <c r="L490" t="s">
        <v>3332</v>
      </c>
      <c r="M490" t="s">
        <v>3379</v>
      </c>
      <c r="N490">
        <v>11226</v>
      </c>
      <c r="O490" t="s">
        <v>3380</v>
      </c>
      <c r="P490" t="s">
        <v>3381</v>
      </c>
      <c r="Q490" t="s">
        <v>3391</v>
      </c>
      <c r="R490" t="s">
        <v>3794</v>
      </c>
      <c r="S490">
        <v>8</v>
      </c>
      <c r="T490" t="s">
        <v>4196</v>
      </c>
      <c r="U490" t="s">
        <v>4223</v>
      </c>
      <c r="V490" t="s">
        <v>4237</v>
      </c>
      <c r="W490" t="s">
        <v>4241</v>
      </c>
      <c r="X490" t="s">
        <v>3382</v>
      </c>
      <c r="AA490" t="s">
        <v>4256</v>
      </c>
      <c r="AC490">
        <v>0</v>
      </c>
      <c r="AD490">
        <v>1617.84</v>
      </c>
      <c r="AE490">
        <v>8.300000000000001</v>
      </c>
      <c r="AF490" t="s">
        <v>4269</v>
      </c>
      <c r="AG490" t="s">
        <v>4748</v>
      </c>
      <c r="AH490" t="s">
        <v>5297</v>
      </c>
      <c r="AI490" t="s">
        <v>5794</v>
      </c>
      <c r="AJ490">
        <v>36</v>
      </c>
      <c r="AL490">
        <v>2</v>
      </c>
      <c r="AM490">
        <v>1</v>
      </c>
      <c r="AN490">
        <v>199.83</v>
      </c>
      <c r="AS490" t="s">
        <v>6298</v>
      </c>
      <c r="AT490">
        <v>42623.1</v>
      </c>
      <c r="AX490" t="s">
        <v>6409</v>
      </c>
      <c r="BA490" t="s">
        <v>6556</v>
      </c>
      <c r="BD490" t="s">
        <v>250</v>
      </c>
      <c r="BE490" t="s">
        <v>6702</v>
      </c>
    </row>
    <row r="491" spans="1:57">
      <c r="A491" s="1">
        <f>HYPERLINK("https://lsnyc.legalserver.org/matter/dynamic-profile/view/1862616","18-1862616")</f>
        <v>0</v>
      </c>
      <c r="B491" t="s">
        <v>58</v>
      </c>
      <c r="C491" t="s">
        <v>144</v>
      </c>
      <c r="D491" t="s">
        <v>214</v>
      </c>
      <c r="E491" t="s">
        <v>406</v>
      </c>
      <c r="G491" t="s">
        <v>985</v>
      </c>
      <c r="H491" t="s">
        <v>1698</v>
      </c>
      <c r="J491" t="s">
        <v>2459</v>
      </c>
      <c r="K491" t="s">
        <v>3027</v>
      </c>
      <c r="L491" t="s">
        <v>3332</v>
      </c>
      <c r="M491" t="s">
        <v>3379</v>
      </c>
      <c r="N491">
        <v>11225</v>
      </c>
      <c r="O491" t="s">
        <v>3382</v>
      </c>
      <c r="P491" t="s">
        <v>3381</v>
      </c>
      <c r="Q491" t="s">
        <v>3399</v>
      </c>
      <c r="S491">
        <v>3</v>
      </c>
      <c r="T491" t="s">
        <v>4197</v>
      </c>
      <c r="U491" t="s">
        <v>4223</v>
      </c>
      <c r="W491" t="s">
        <v>4241</v>
      </c>
      <c r="X491" t="s">
        <v>3382</v>
      </c>
      <c r="Y491" t="s">
        <v>3380</v>
      </c>
      <c r="AA491" t="s">
        <v>4256</v>
      </c>
      <c r="AC491">
        <v>2065</v>
      </c>
      <c r="AD491">
        <v>2065</v>
      </c>
      <c r="AE491">
        <v>58.4</v>
      </c>
      <c r="AG491" t="s">
        <v>4749</v>
      </c>
      <c r="AI491" t="s">
        <v>5795</v>
      </c>
      <c r="AJ491">
        <v>828</v>
      </c>
      <c r="AK491" t="s">
        <v>6274</v>
      </c>
      <c r="AL491">
        <v>3</v>
      </c>
      <c r="AM491">
        <v>4</v>
      </c>
      <c r="AN491">
        <v>179.72</v>
      </c>
      <c r="AS491" t="s">
        <v>6298</v>
      </c>
      <c r="AT491">
        <v>68400</v>
      </c>
      <c r="AX491" t="s">
        <v>6426</v>
      </c>
      <c r="BA491" t="s">
        <v>6477</v>
      </c>
      <c r="BD491" t="s">
        <v>370</v>
      </c>
    </row>
    <row r="492" spans="1:57">
      <c r="A492" s="1">
        <f>HYPERLINK("https://lsnyc.legalserver.org/matter/dynamic-profile/view/1901625","19-1901625")</f>
        <v>0</v>
      </c>
      <c r="B492" t="s">
        <v>58</v>
      </c>
      <c r="C492" t="s">
        <v>144</v>
      </c>
      <c r="D492" t="s">
        <v>215</v>
      </c>
      <c r="E492" t="s">
        <v>325</v>
      </c>
      <c r="F492" t="s">
        <v>279</v>
      </c>
      <c r="G492" t="s">
        <v>890</v>
      </c>
      <c r="H492" t="s">
        <v>1699</v>
      </c>
      <c r="J492" t="s">
        <v>2510</v>
      </c>
      <c r="K492" t="s">
        <v>3204</v>
      </c>
      <c r="L492" t="s">
        <v>3332</v>
      </c>
      <c r="M492" t="s">
        <v>3379</v>
      </c>
      <c r="N492">
        <v>11225</v>
      </c>
      <c r="O492" t="s">
        <v>3381</v>
      </c>
      <c r="P492" t="s">
        <v>3381</v>
      </c>
      <c r="Q492" t="s">
        <v>3384</v>
      </c>
      <c r="R492" t="s">
        <v>3795</v>
      </c>
      <c r="S492">
        <v>0</v>
      </c>
      <c r="T492" t="s">
        <v>4196</v>
      </c>
      <c r="U492" t="s">
        <v>4223</v>
      </c>
      <c r="V492" t="s">
        <v>4237</v>
      </c>
      <c r="W492" t="s">
        <v>4241</v>
      </c>
      <c r="X492" t="s">
        <v>3382</v>
      </c>
      <c r="AA492" t="s">
        <v>4256</v>
      </c>
      <c r="AC492">
        <v>0</v>
      </c>
      <c r="AD492">
        <v>399.28</v>
      </c>
      <c r="AE492">
        <v>12.7</v>
      </c>
      <c r="AF492" t="s">
        <v>4269</v>
      </c>
      <c r="AG492" t="s">
        <v>4750</v>
      </c>
      <c r="AJ492">
        <v>77</v>
      </c>
      <c r="AL492">
        <v>1</v>
      </c>
      <c r="AM492">
        <v>0</v>
      </c>
      <c r="AN492">
        <v>0</v>
      </c>
      <c r="AT492">
        <v>0</v>
      </c>
      <c r="AX492" t="s">
        <v>6410</v>
      </c>
      <c r="BA492" t="s">
        <v>6479</v>
      </c>
      <c r="BD492" t="s">
        <v>279</v>
      </c>
    </row>
    <row r="493" spans="1:57">
      <c r="A493" s="1">
        <f>HYPERLINK("https://lsnyc.legalserver.org/matter/dynamic-profile/view/1909710","19-1909710")</f>
        <v>0</v>
      </c>
      <c r="B493" t="s">
        <v>58</v>
      </c>
      <c r="C493" t="s">
        <v>144</v>
      </c>
      <c r="D493" t="s">
        <v>214</v>
      </c>
      <c r="E493" t="s">
        <v>407</v>
      </c>
      <c r="G493" t="s">
        <v>986</v>
      </c>
      <c r="H493" t="s">
        <v>1700</v>
      </c>
      <c r="J493" t="s">
        <v>2511</v>
      </c>
      <c r="K493" t="s">
        <v>3040</v>
      </c>
      <c r="L493" t="s">
        <v>3332</v>
      </c>
      <c r="M493" t="s">
        <v>3379</v>
      </c>
      <c r="N493">
        <v>11221</v>
      </c>
      <c r="O493" t="s">
        <v>3380</v>
      </c>
      <c r="P493" t="s">
        <v>3381</v>
      </c>
      <c r="Q493" t="s">
        <v>3397</v>
      </c>
      <c r="R493" t="s">
        <v>3796</v>
      </c>
      <c r="S493">
        <v>0</v>
      </c>
      <c r="T493" t="s">
        <v>4196</v>
      </c>
      <c r="U493" t="s">
        <v>4223</v>
      </c>
      <c r="W493" t="s">
        <v>4241</v>
      </c>
      <c r="X493" t="s">
        <v>3382</v>
      </c>
      <c r="Y493" t="s">
        <v>3382</v>
      </c>
      <c r="AA493" t="s">
        <v>4256</v>
      </c>
      <c r="AC493">
        <v>0</v>
      </c>
      <c r="AD493">
        <v>0</v>
      </c>
      <c r="AE493">
        <v>9</v>
      </c>
      <c r="AG493" t="s">
        <v>4751</v>
      </c>
      <c r="AI493" t="s">
        <v>5796</v>
      </c>
      <c r="AJ493">
        <v>0</v>
      </c>
      <c r="AL493">
        <v>2</v>
      </c>
      <c r="AM493">
        <v>2</v>
      </c>
      <c r="AN493">
        <v>112.62</v>
      </c>
      <c r="AS493" t="s">
        <v>6298</v>
      </c>
      <c r="AT493">
        <v>29000</v>
      </c>
      <c r="AX493" t="s">
        <v>6413</v>
      </c>
      <c r="BA493" t="s">
        <v>6477</v>
      </c>
      <c r="BD493" t="s">
        <v>217</v>
      </c>
      <c r="BE493" t="s">
        <v>6702</v>
      </c>
    </row>
    <row r="494" spans="1:57">
      <c r="A494" s="1">
        <f>HYPERLINK("https://lsnyc.legalserver.org/matter/dynamic-profile/view/1888365","19-1888365")</f>
        <v>0</v>
      </c>
      <c r="B494" t="s">
        <v>58</v>
      </c>
      <c r="C494" t="s">
        <v>145</v>
      </c>
      <c r="D494" t="s">
        <v>214</v>
      </c>
      <c r="E494" t="s">
        <v>372</v>
      </c>
      <c r="G494" t="s">
        <v>987</v>
      </c>
      <c r="H494" t="s">
        <v>1701</v>
      </c>
      <c r="J494" t="s">
        <v>2512</v>
      </c>
      <c r="K494" t="s">
        <v>3205</v>
      </c>
      <c r="L494" t="s">
        <v>3332</v>
      </c>
      <c r="M494" t="s">
        <v>3379</v>
      </c>
      <c r="N494">
        <v>11214</v>
      </c>
      <c r="O494" t="s">
        <v>3382</v>
      </c>
      <c r="P494" t="s">
        <v>3380</v>
      </c>
      <c r="Q494" t="s">
        <v>3384</v>
      </c>
      <c r="R494" t="s">
        <v>3797</v>
      </c>
      <c r="S494">
        <v>9</v>
      </c>
      <c r="T494" t="s">
        <v>4197</v>
      </c>
      <c r="U494" t="s">
        <v>4225</v>
      </c>
      <c r="W494" t="s">
        <v>4240</v>
      </c>
      <c r="X494" t="s">
        <v>3382</v>
      </c>
      <c r="Y494" t="s">
        <v>3382</v>
      </c>
      <c r="AA494" t="s">
        <v>4256</v>
      </c>
      <c r="AC494">
        <v>0</v>
      </c>
      <c r="AD494">
        <v>1550</v>
      </c>
      <c r="AE494">
        <v>1.7</v>
      </c>
      <c r="AG494" t="s">
        <v>4752</v>
      </c>
      <c r="AI494" t="s">
        <v>5797</v>
      </c>
      <c r="AJ494">
        <v>3</v>
      </c>
      <c r="AL494">
        <v>1</v>
      </c>
      <c r="AM494">
        <v>4</v>
      </c>
      <c r="AN494">
        <v>50.65</v>
      </c>
      <c r="AQ494" t="s">
        <v>6286</v>
      </c>
      <c r="AS494" t="s">
        <v>6304</v>
      </c>
      <c r="AT494">
        <v>14900</v>
      </c>
      <c r="AX494" t="s">
        <v>145</v>
      </c>
      <c r="BA494" t="s">
        <v>6557</v>
      </c>
      <c r="BD494" t="s">
        <v>372</v>
      </c>
    </row>
    <row r="495" spans="1:57">
      <c r="A495" s="1">
        <f>HYPERLINK("https://lsnyc.legalserver.org/matter/dynamic-profile/view/0748387","14-0748387")</f>
        <v>0</v>
      </c>
      <c r="B495" t="s">
        <v>58</v>
      </c>
      <c r="C495" t="s">
        <v>146</v>
      </c>
      <c r="D495" t="s">
        <v>214</v>
      </c>
      <c r="E495" t="s">
        <v>408</v>
      </c>
      <c r="G495" t="s">
        <v>988</v>
      </c>
      <c r="H495" t="s">
        <v>1702</v>
      </c>
      <c r="J495" t="s">
        <v>2513</v>
      </c>
      <c r="K495">
        <v>2</v>
      </c>
      <c r="L495" t="s">
        <v>3332</v>
      </c>
      <c r="M495" t="s">
        <v>3379</v>
      </c>
      <c r="N495">
        <v>11211</v>
      </c>
      <c r="O495" t="s">
        <v>3382</v>
      </c>
      <c r="P495" t="s">
        <v>3381</v>
      </c>
      <c r="Q495" t="s">
        <v>3396</v>
      </c>
      <c r="R495" t="s">
        <v>3798</v>
      </c>
      <c r="S495">
        <v>0</v>
      </c>
      <c r="U495" t="s">
        <v>4223</v>
      </c>
      <c r="W495" t="s">
        <v>4240</v>
      </c>
      <c r="X495" t="s">
        <v>3382</v>
      </c>
      <c r="AA495" t="s">
        <v>4256</v>
      </c>
      <c r="AC495">
        <v>0</v>
      </c>
      <c r="AD495">
        <v>0</v>
      </c>
      <c r="AE495">
        <v>32.9</v>
      </c>
      <c r="AF495" t="s">
        <v>4268</v>
      </c>
      <c r="AG495" t="s">
        <v>4753</v>
      </c>
      <c r="AH495" t="s">
        <v>5298</v>
      </c>
      <c r="AI495" t="s">
        <v>5798</v>
      </c>
      <c r="AJ495">
        <v>0</v>
      </c>
      <c r="AL495">
        <v>4</v>
      </c>
      <c r="AM495">
        <v>2</v>
      </c>
      <c r="AN495">
        <v>47.37</v>
      </c>
      <c r="AS495" t="s">
        <v>6298</v>
      </c>
      <c r="AT495">
        <v>15144</v>
      </c>
      <c r="AX495" t="s">
        <v>6427</v>
      </c>
      <c r="BA495" t="s">
        <v>6501</v>
      </c>
      <c r="BD495" t="s">
        <v>493</v>
      </c>
    </row>
    <row r="496" spans="1:57">
      <c r="A496" s="1">
        <f>HYPERLINK("https://lsnyc.legalserver.org/matter/dynamic-profile/view/1869543","18-1869543")</f>
        <v>0</v>
      </c>
      <c r="B496" t="s">
        <v>58</v>
      </c>
      <c r="C496" t="s">
        <v>146</v>
      </c>
      <c r="D496" t="s">
        <v>214</v>
      </c>
      <c r="E496" t="s">
        <v>409</v>
      </c>
      <c r="G496" t="s">
        <v>989</v>
      </c>
      <c r="H496" t="s">
        <v>1703</v>
      </c>
      <c r="J496" t="s">
        <v>2513</v>
      </c>
      <c r="K496">
        <v>4</v>
      </c>
      <c r="L496" t="s">
        <v>3332</v>
      </c>
      <c r="M496" t="s">
        <v>3379</v>
      </c>
      <c r="N496">
        <v>11211</v>
      </c>
      <c r="O496" t="s">
        <v>3381</v>
      </c>
      <c r="P496" t="s">
        <v>3381</v>
      </c>
      <c r="S496">
        <v>0</v>
      </c>
      <c r="W496" t="s">
        <v>4240</v>
      </c>
      <c r="X496" t="s">
        <v>3382</v>
      </c>
      <c r="AA496" t="s">
        <v>4256</v>
      </c>
      <c r="AC496">
        <v>0</v>
      </c>
      <c r="AD496">
        <v>0</v>
      </c>
      <c r="AE496">
        <v>75.09999999999999</v>
      </c>
      <c r="AG496" t="s">
        <v>4754</v>
      </c>
      <c r="AI496" t="s">
        <v>5799</v>
      </c>
      <c r="AJ496">
        <v>0</v>
      </c>
      <c r="AL496">
        <v>4</v>
      </c>
      <c r="AM496">
        <v>4</v>
      </c>
      <c r="AN496">
        <v>66.06999999999999</v>
      </c>
      <c r="AS496" t="s">
        <v>6298</v>
      </c>
      <c r="AT496">
        <v>28000</v>
      </c>
      <c r="AX496" t="s">
        <v>6423</v>
      </c>
      <c r="BA496" t="s">
        <v>6477</v>
      </c>
      <c r="BD496" t="s">
        <v>274</v>
      </c>
    </row>
    <row r="497" spans="1:57">
      <c r="A497" s="1">
        <f>HYPERLINK("https://lsnyc.legalserver.org/matter/dynamic-profile/view/1865817","18-1865817")</f>
        <v>0</v>
      </c>
      <c r="B497" t="s">
        <v>58</v>
      </c>
      <c r="C497" t="s">
        <v>147</v>
      </c>
      <c r="D497" t="s">
        <v>214</v>
      </c>
      <c r="E497" t="s">
        <v>410</v>
      </c>
      <c r="G497" t="s">
        <v>990</v>
      </c>
      <c r="H497" t="s">
        <v>1704</v>
      </c>
      <c r="J497" t="s">
        <v>2514</v>
      </c>
      <c r="K497" t="s">
        <v>3189</v>
      </c>
      <c r="L497" t="s">
        <v>3332</v>
      </c>
      <c r="M497" t="s">
        <v>3379</v>
      </c>
      <c r="N497">
        <v>11215</v>
      </c>
      <c r="O497" t="s">
        <v>3382</v>
      </c>
      <c r="P497" t="s">
        <v>3381</v>
      </c>
      <c r="S497">
        <v>0</v>
      </c>
      <c r="U497" t="s">
        <v>4225</v>
      </c>
      <c r="W497" t="s">
        <v>4240</v>
      </c>
      <c r="X497" t="s">
        <v>3382</v>
      </c>
      <c r="AA497" t="s">
        <v>4257</v>
      </c>
      <c r="AC497">
        <v>0</v>
      </c>
      <c r="AD497">
        <v>0</v>
      </c>
      <c r="AE497">
        <v>1.2</v>
      </c>
      <c r="AG497" t="s">
        <v>4755</v>
      </c>
      <c r="AI497" t="s">
        <v>5800</v>
      </c>
      <c r="AJ497">
        <v>0</v>
      </c>
      <c r="AL497">
        <v>1</v>
      </c>
      <c r="AM497">
        <v>0</v>
      </c>
      <c r="AN497">
        <v>79.47</v>
      </c>
      <c r="AS497" t="s">
        <v>6298</v>
      </c>
      <c r="AT497">
        <v>9648</v>
      </c>
      <c r="AV497" t="s">
        <v>3382</v>
      </c>
      <c r="AX497" t="s">
        <v>147</v>
      </c>
      <c r="BA497" t="s">
        <v>6482</v>
      </c>
      <c r="BD497" t="s">
        <v>6649</v>
      </c>
    </row>
    <row r="498" spans="1:57">
      <c r="A498" s="1">
        <f>HYPERLINK("https://lsnyc.legalserver.org/matter/dynamic-profile/view/1844012","17-1844012")</f>
        <v>0</v>
      </c>
      <c r="B498" t="s">
        <v>58</v>
      </c>
      <c r="C498" t="s">
        <v>147</v>
      </c>
      <c r="D498" t="s">
        <v>214</v>
      </c>
      <c r="E498" t="s">
        <v>377</v>
      </c>
      <c r="G498" t="s">
        <v>777</v>
      </c>
      <c r="H498" t="s">
        <v>1525</v>
      </c>
      <c r="J498" t="s">
        <v>2515</v>
      </c>
      <c r="K498" t="s">
        <v>3116</v>
      </c>
      <c r="L498" t="s">
        <v>3332</v>
      </c>
      <c r="M498" t="s">
        <v>3379</v>
      </c>
      <c r="N498">
        <v>11210</v>
      </c>
      <c r="O498" t="s">
        <v>3382</v>
      </c>
      <c r="P498" t="s">
        <v>3381</v>
      </c>
      <c r="Q498" t="s">
        <v>3385</v>
      </c>
      <c r="R498" t="s">
        <v>3799</v>
      </c>
      <c r="S498">
        <v>30</v>
      </c>
      <c r="T498" t="s">
        <v>4197</v>
      </c>
      <c r="U498" t="s">
        <v>4223</v>
      </c>
      <c r="W498" t="s">
        <v>4240</v>
      </c>
      <c r="X498" t="s">
        <v>3382</v>
      </c>
      <c r="AA498" t="s">
        <v>4256</v>
      </c>
      <c r="AC498">
        <v>630.05</v>
      </c>
      <c r="AD498">
        <v>834.36</v>
      </c>
      <c r="AE498">
        <v>15.25</v>
      </c>
      <c r="AG498" t="s">
        <v>4756</v>
      </c>
      <c r="AI498" t="s">
        <v>5801</v>
      </c>
      <c r="AJ498">
        <v>42</v>
      </c>
      <c r="AK498" t="s">
        <v>6267</v>
      </c>
      <c r="AL498">
        <v>3</v>
      </c>
      <c r="AM498">
        <v>0</v>
      </c>
      <c r="AN498">
        <v>78.62</v>
      </c>
      <c r="AQ498" t="s">
        <v>6287</v>
      </c>
      <c r="AS498" t="s">
        <v>6298</v>
      </c>
      <c r="AT498">
        <v>16054.8</v>
      </c>
      <c r="AV498" t="s">
        <v>3380</v>
      </c>
      <c r="AX498" t="s">
        <v>6407</v>
      </c>
      <c r="BA498" t="s">
        <v>6487</v>
      </c>
      <c r="BD498" t="s">
        <v>6650</v>
      </c>
    </row>
    <row r="499" spans="1:57">
      <c r="A499" s="1">
        <f>HYPERLINK("https://lsnyc.legalserver.org/matter/dynamic-profile/view/1895622","19-1895622")</f>
        <v>0</v>
      </c>
      <c r="B499" t="s">
        <v>58</v>
      </c>
      <c r="C499" t="s">
        <v>148</v>
      </c>
      <c r="D499" t="s">
        <v>215</v>
      </c>
      <c r="E499" t="s">
        <v>411</v>
      </c>
      <c r="F499" t="s">
        <v>544</v>
      </c>
      <c r="G499" t="s">
        <v>614</v>
      </c>
      <c r="H499" t="s">
        <v>1705</v>
      </c>
      <c r="J499" t="s">
        <v>2459</v>
      </c>
      <c r="K499" t="s">
        <v>3206</v>
      </c>
      <c r="L499" t="s">
        <v>3332</v>
      </c>
      <c r="M499" t="s">
        <v>3379</v>
      </c>
      <c r="N499">
        <v>11225</v>
      </c>
      <c r="O499" t="s">
        <v>3381</v>
      </c>
      <c r="P499" t="s">
        <v>3381</v>
      </c>
      <c r="Q499" t="s">
        <v>3397</v>
      </c>
      <c r="R499" t="s">
        <v>3800</v>
      </c>
      <c r="S499">
        <v>35</v>
      </c>
      <c r="T499" t="s">
        <v>4196</v>
      </c>
      <c r="U499" t="s">
        <v>4223</v>
      </c>
      <c r="V499" t="s">
        <v>4231</v>
      </c>
      <c r="W499" t="s">
        <v>4241</v>
      </c>
      <c r="X499" t="s">
        <v>3382</v>
      </c>
      <c r="AA499" t="s">
        <v>4256</v>
      </c>
      <c r="AB499" t="s">
        <v>4261</v>
      </c>
      <c r="AC499">
        <v>0</v>
      </c>
      <c r="AD499">
        <v>1058.31</v>
      </c>
      <c r="AE499">
        <v>13.5</v>
      </c>
      <c r="AF499" t="s">
        <v>4269</v>
      </c>
      <c r="AG499" t="s">
        <v>4757</v>
      </c>
      <c r="AH499" t="s">
        <v>5299</v>
      </c>
      <c r="AJ499">
        <v>124</v>
      </c>
      <c r="AK499" t="s">
        <v>6267</v>
      </c>
      <c r="AL499">
        <v>1</v>
      </c>
      <c r="AM499">
        <v>0</v>
      </c>
      <c r="AN499">
        <v>0</v>
      </c>
      <c r="AR499" t="s">
        <v>6294</v>
      </c>
      <c r="AT499">
        <v>0</v>
      </c>
      <c r="AX499" t="s">
        <v>6410</v>
      </c>
      <c r="BA499" t="s">
        <v>6479</v>
      </c>
      <c r="BD499" t="s">
        <v>544</v>
      </c>
    </row>
    <row r="500" spans="1:57">
      <c r="A500" s="1">
        <f>HYPERLINK("https://lsnyc.legalserver.org/matter/dynamic-profile/view/1860037","18-1860037")</f>
        <v>0</v>
      </c>
      <c r="B500" t="s">
        <v>58</v>
      </c>
      <c r="C500" t="s">
        <v>149</v>
      </c>
      <c r="D500" t="s">
        <v>214</v>
      </c>
      <c r="E500" t="s">
        <v>412</v>
      </c>
      <c r="G500" t="s">
        <v>991</v>
      </c>
      <c r="H500" t="s">
        <v>1706</v>
      </c>
      <c r="J500" t="s">
        <v>2516</v>
      </c>
      <c r="K500" t="s">
        <v>3207</v>
      </c>
      <c r="L500" t="s">
        <v>3332</v>
      </c>
      <c r="M500" t="s">
        <v>3379</v>
      </c>
      <c r="N500">
        <v>11226</v>
      </c>
      <c r="O500" t="s">
        <v>3382</v>
      </c>
      <c r="P500" t="s">
        <v>3381</v>
      </c>
      <c r="Q500" t="s">
        <v>3385</v>
      </c>
      <c r="R500" t="s">
        <v>3801</v>
      </c>
      <c r="S500">
        <v>14</v>
      </c>
      <c r="T500" t="s">
        <v>4206</v>
      </c>
      <c r="U500" t="s">
        <v>4223</v>
      </c>
      <c r="W500" t="s">
        <v>4240</v>
      </c>
      <c r="X500" t="s">
        <v>3382</v>
      </c>
      <c r="Y500" t="s">
        <v>3380</v>
      </c>
      <c r="Z500" t="s">
        <v>4252</v>
      </c>
      <c r="AA500" t="s">
        <v>4256</v>
      </c>
      <c r="AC500">
        <v>0</v>
      </c>
      <c r="AD500">
        <v>0</v>
      </c>
      <c r="AE500">
        <v>0.8</v>
      </c>
      <c r="AG500" t="s">
        <v>4758</v>
      </c>
      <c r="AJ500">
        <v>61</v>
      </c>
      <c r="AK500" t="s">
        <v>6267</v>
      </c>
      <c r="AL500">
        <v>2</v>
      </c>
      <c r="AM500">
        <v>0</v>
      </c>
      <c r="AN500">
        <v>0</v>
      </c>
      <c r="AQ500" t="s">
        <v>6287</v>
      </c>
      <c r="AR500" t="s">
        <v>5312</v>
      </c>
      <c r="AS500" t="s">
        <v>6298</v>
      </c>
      <c r="AT500">
        <v>0</v>
      </c>
      <c r="AX500" t="s">
        <v>123</v>
      </c>
      <c r="BA500" t="s">
        <v>6479</v>
      </c>
      <c r="BD500" t="s">
        <v>412</v>
      </c>
    </row>
    <row r="501" spans="1:57">
      <c r="A501" s="1">
        <f>HYPERLINK("https://lsnyc.legalserver.org/matter/dynamic-profile/view/1872865","18-1872865")</f>
        <v>0</v>
      </c>
      <c r="B501" t="s">
        <v>58</v>
      </c>
      <c r="C501" t="s">
        <v>149</v>
      </c>
      <c r="D501" t="s">
        <v>214</v>
      </c>
      <c r="E501" t="s">
        <v>389</v>
      </c>
      <c r="G501" t="s">
        <v>814</v>
      </c>
      <c r="H501" t="s">
        <v>1707</v>
      </c>
      <c r="J501" t="s">
        <v>2517</v>
      </c>
      <c r="K501" t="s">
        <v>3208</v>
      </c>
      <c r="L501" t="s">
        <v>3332</v>
      </c>
      <c r="M501" t="s">
        <v>3379</v>
      </c>
      <c r="N501">
        <v>11226</v>
      </c>
      <c r="O501" t="s">
        <v>3381</v>
      </c>
      <c r="P501" t="s">
        <v>3381</v>
      </c>
      <c r="S501">
        <v>0</v>
      </c>
      <c r="U501" t="s">
        <v>4223</v>
      </c>
      <c r="W501" t="s">
        <v>4240</v>
      </c>
      <c r="X501" t="s">
        <v>3382</v>
      </c>
      <c r="AA501" t="s">
        <v>4256</v>
      </c>
      <c r="AC501">
        <v>0</v>
      </c>
      <c r="AD501">
        <v>0</v>
      </c>
      <c r="AE501">
        <v>70.15000000000001</v>
      </c>
      <c r="AG501" t="s">
        <v>4759</v>
      </c>
      <c r="AI501" t="s">
        <v>5802</v>
      </c>
      <c r="AJ501">
        <v>0</v>
      </c>
      <c r="AL501">
        <v>1</v>
      </c>
      <c r="AM501">
        <v>0</v>
      </c>
      <c r="AN501">
        <v>59.31</v>
      </c>
      <c r="AS501" t="s">
        <v>6298</v>
      </c>
      <c r="AT501">
        <v>7200</v>
      </c>
      <c r="AX501" t="s">
        <v>109</v>
      </c>
      <c r="BA501" t="s">
        <v>6516</v>
      </c>
      <c r="BD501" t="s">
        <v>355</v>
      </c>
    </row>
    <row r="502" spans="1:57">
      <c r="A502" s="1">
        <f>HYPERLINK("https://lsnyc.legalserver.org/matter/dynamic-profile/view/1906438","19-1906438")</f>
        <v>0</v>
      </c>
      <c r="B502" t="s">
        <v>58</v>
      </c>
      <c r="C502" t="s">
        <v>150</v>
      </c>
      <c r="D502" t="s">
        <v>214</v>
      </c>
      <c r="E502" t="s">
        <v>310</v>
      </c>
      <c r="G502" t="s">
        <v>992</v>
      </c>
      <c r="H502" t="s">
        <v>1708</v>
      </c>
      <c r="J502" t="s">
        <v>2518</v>
      </c>
      <c r="K502" t="s">
        <v>3209</v>
      </c>
      <c r="L502" t="s">
        <v>3332</v>
      </c>
      <c r="M502" t="s">
        <v>3379</v>
      </c>
      <c r="N502">
        <v>11212</v>
      </c>
      <c r="O502" t="s">
        <v>3380</v>
      </c>
      <c r="P502" t="s">
        <v>3381</v>
      </c>
      <c r="Q502" t="s">
        <v>3383</v>
      </c>
      <c r="R502" t="s">
        <v>3802</v>
      </c>
      <c r="S502">
        <v>6</v>
      </c>
      <c r="U502" t="s">
        <v>4223</v>
      </c>
      <c r="W502" t="s">
        <v>4240</v>
      </c>
      <c r="X502" t="s">
        <v>3382</v>
      </c>
      <c r="AA502" t="s">
        <v>4256</v>
      </c>
      <c r="AC502">
        <v>0</v>
      </c>
      <c r="AD502">
        <v>217</v>
      </c>
      <c r="AE502">
        <v>5.5</v>
      </c>
      <c r="AG502" t="s">
        <v>4760</v>
      </c>
      <c r="AI502" t="s">
        <v>5803</v>
      </c>
      <c r="AJ502">
        <v>0</v>
      </c>
      <c r="AL502">
        <v>1</v>
      </c>
      <c r="AM502">
        <v>4</v>
      </c>
      <c r="AN502">
        <v>25.73</v>
      </c>
      <c r="AS502" t="s">
        <v>6298</v>
      </c>
      <c r="AT502">
        <v>7764</v>
      </c>
      <c r="AX502" t="s">
        <v>6409</v>
      </c>
      <c r="BA502" t="s">
        <v>6499</v>
      </c>
      <c r="BD502" t="s">
        <v>247</v>
      </c>
      <c r="BE502" t="s">
        <v>6702</v>
      </c>
    </row>
    <row r="503" spans="1:57">
      <c r="A503" s="1">
        <f>HYPERLINK("https://lsnyc.legalserver.org/matter/dynamic-profile/view/1895525","19-1895525")</f>
        <v>0</v>
      </c>
      <c r="B503" t="s">
        <v>58</v>
      </c>
      <c r="C503" t="s">
        <v>151</v>
      </c>
      <c r="D503" t="s">
        <v>215</v>
      </c>
      <c r="E503" t="s">
        <v>303</v>
      </c>
      <c r="F503" t="s">
        <v>220</v>
      </c>
      <c r="G503" t="s">
        <v>624</v>
      </c>
      <c r="H503" t="s">
        <v>1709</v>
      </c>
      <c r="J503" t="s">
        <v>2519</v>
      </c>
      <c r="K503">
        <v>329</v>
      </c>
      <c r="L503" t="s">
        <v>3332</v>
      </c>
      <c r="M503" t="s">
        <v>3379</v>
      </c>
      <c r="N503">
        <v>11224</v>
      </c>
      <c r="O503" t="s">
        <v>3381</v>
      </c>
      <c r="P503" t="s">
        <v>3381</v>
      </c>
      <c r="S503">
        <v>0</v>
      </c>
      <c r="T503" t="s">
        <v>4198</v>
      </c>
      <c r="U503" t="s">
        <v>4228</v>
      </c>
      <c r="V503" t="s">
        <v>4234</v>
      </c>
      <c r="W503" t="s">
        <v>4240</v>
      </c>
      <c r="X503" t="s">
        <v>3382</v>
      </c>
      <c r="AA503" t="s">
        <v>4259</v>
      </c>
      <c r="AC503">
        <v>0</v>
      </c>
      <c r="AD503">
        <v>0</v>
      </c>
      <c r="AE503">
        <v>12.5</v>
      </c>
      <c r="AF503" t="s">
        <v>4273</v>
      </c>
      <c r="AG503" t="s">
        <v>4761</v>
      </c>
      <c r="AJ503">
        <v>0</v>
      </c>
      <c r="AL503">
        <v>1</v>
      </c>
      <c r="AM503">
        <v>0</v>
      </c>
      <c r="AN503">
        <v>83.68000000000001</v>
      </c>
      <c r="AR503" t="s">
        <v>6290</v>
      </c>
      <c r="AS503" t="s">
        <v>6305</v>
      </c>
      <c r="AT503">
        <v>10452</v>
      </c>
      <c r="AX503" t="s">
        <v>151</v>
      </c>
      <c r="BA503" t="s">
        <v>6482</v>
      </c>
      <c r="BD503" t="s">
        <v>220</v>
      </c>
    </row>
    <row r="504" spans="1:57">
      <c r="A504" s="1">
        <f>HYPERLINK("https://lsnyc.legalserver.org/matter/dynamic-profile/view/1884139","18-1884139")</f>
        <v>0</v>
      </c>
      <c r="B504" t="s">
        <v>59</v>
      </c>
      <c r="C504" t="s">
        <v>152</v>
      </c>
      <c r="D504" t="s">
        <v>214</v>
      </c>
      <c r="E504" t="s">
        <v>413</v>
      </c>
      <c r="G504" t="s">
        <v>993</v>
      </c>
      <c r="H504" t="s">
        <v>1710</v>
      </c>
      <c r="J504" t="s">
        <v>2520</v>
      </c>
      <c r="K504" t="s">
        <v>3021</v>
      </c>
      <c r="L504" t="s">
        <v>3330</v>
      </c>
      <c r="M504" t="s">
        <v>3379</v>
      </c>
      <c r="N504">
        <v>10027</v>
      </c>
      <c r="O504" t="s">
        <v>3380</v>
      </c>
      <c r="P504" t="s">
        <v>3380</v>
      </c>
      <c r="Q504" t="s">
        <v>3383</v>
      </c>
      <c r="R504" t="s">
        <v>3803</v>
      </c>
      <c r="S504">
        <v>3</v>
      </c>
      <c r="T504" t="s">
        <v>4196</v>
      </c>
      <c r="U504" t="s">
        <v>4223</v>
      </c>
      <c r="W504" t="s">
        <v>4242</v>
      </c>
      <c r="X504" t="s">
        <v>3382</v>
      </c>
      <c r="Y504" t="s">
        <v>3382</v>
      </c>
      <c r="AA504" t="s">
        <v>4256</v>
      </c>
      <c r="AC504">
        <v>0</v>
      </c>
      <c r="AD504">
        <v>861</v>
      </c>
      <c r="AE504">
        <v>163.85</v>
      </c>
      <c r="AG504" t="s">
        <v>4762</v>
      </c>
      <c r="AI504" t="s">
        <v>5804</v>
      </c>
      <c r="AJ504">
        <v>10</v>
      </c>
      <c r="AK504" t="s">
        <v>6267</v>
      </c>
      <c r="AL504">
        <v>1</v>
      </c>
      <c r="AM504">
        <v>0</v>
      </c>
      <c r="AN504">
        <v>14.33</v>
      </c>
      <c r="AQ504" t="s">
        <v>6287</v>
      </c>
      <c r="AR504" t="s">
        <v>5312</v>
      </c>
      <c r="AS504" t="s">
        <v>6298</v>
      </c>
      <c r="AT504">
        <v>1740</v>
      </c>
      <c r="AX504" t="s">
        <v>6428</v>
      </c>
      <c r="BA504" t="s">
        <v>6558</v>
      </c>
      <c r="BD504" t="s">
        <v>277</v>
      </c>
    </row>
    <row r="505" spans="1:57">
      <c r="A505" s="1">
        <f>HYPERLINK("https://lsnyc.legalserver.org/matter/dynamic-profile/view/1898241","19-1898241")</f>
        <v>0</v>
      </c>
      <c r="B505" t="s">
        <v>59</v>
      </c>
      <c r="C505" t="s">
        <v>152</v>
      </c>
      <c r="D505" t="s">
        <v>214</v>
      </c>
      <c r="E505" t="s">
        <v>308</v>
      </c>
      <c r="G505" t="s">
        <v>994</v>
      </c>
      <c r="H505" t="s">
        <v>1711</v>
      </c>
      <c r="J505" t="s">
        <v>2521</v>
      </c>
      <c r="K505">
        <v>409</v>
      </c>
      <c r="L505" t="s">
        <v>3330</v>
      </c>
      <c r="M505" t="s">
        <v>3379</v>
      </c>
      <c r="N505">
        <v>10026</v>
      </c>
      <c r="O505" t="s">
        <v>3381</v>
      </c>
      <c r="P505" t="s">
        <v>3381</v>
      </c>
      <c r="R505" t="s">
        <v>3804</v>
      </c>
      <c r="S505">
        <v>17</v>
      </c>
      <c r="T505" t="s">
        <v>4196</v>
      </c>
      <c r="U505" t="s">
        <v>4223</v>
      </c>
      <c r="W505" t="s">
        <v>4243</v>
      </c>
      <c r="X505" t="s">
        <v>3382</v>
      </c>
      <c r="Y505" t="s">
        <v>3382</v>
      </c>
      <c r="AA505" t="s">
        <v>4256</v>
      </c>
      <c r="AC505">
        <v>0</v>
      </c>
      <c r="AD505">
        <v>1777</v>
      </c>
      <c r="AE505">
        <v>25.85</v>
      </c>
      <c r="AG505" t="s">
        <v>4763</v>
      </c>
      <c r="AI505" t="s">
        <v>5805</v>
      </c>
      <c r="AJ505">
        <v>254</v>
      </c>
      <c r="AK505" t="s">
        <v>6272</v>
      </c>
      <c r="AL505">
        <v>1</v>
      </c>
      <c r="AM505">
        <v>0</v>
      </c>
      <c r="AN505">
        <v>173.86</v>
      </c>
      <c r="AR505" t="s">
        <v>5312</v>
      </c>
      <c r="AS505" t="s">
        <v>6298</v>
      </c>
      <c r="AT505">
        <v>21715.72</v>
      </c>
      <c r="AX505" t="s">
        <v>6429</v>
      </c>
      <c r="BA505" t="s">
        <v>6477</v>
      </c>
      <c r="BD505" t="s">
        <v>237</v>
      </c>
    </row>
    <row r="506" spans="1:57">
      <c r="A506" s="1">
        <f>HYPERLINK("https://lsnyc.legalserver.org/matter/dynamic-profile/view/1896202","19-1896202")</f>
        <v>0</v>
      </c>
      <c r="B506" t="s">
        <v>59</v>
      </c>
      <c r="C506" t="s">
        <v>152</v>
      </c>
      <c r="D506" t="s">
        <v>214</v>
      </c>
      <c r="E506" t="s">
        <v>414</v>
      </c>
      <c r="G506" t="s">
        <v>995</v>
      </c>
      <c r="H506" t="s">
        <v>1615</v>
      </c>
      <c r="J506" t="s">
        <v>2522</v>
      </c>
      <c r="L506" t="s">
        <v>3330</v>
      </c>
      <c r="M506" t="s">
        <v>3379</v>
      </c>
      <c r="N506">
        <v>10025</v>
      </c>
      <c r="O506" t="s">
        <v>3380</v>
      </c>
      <c r="P506" t="s">
        <v>3381</v>
      </c>
      <c r="Q506" t="s">
        <v>3384</v>
      </c>
      <c r="R506" t="s">
        <v>3805</v>
      </c>
      <c r="S506">
        <v>0</v>
      </c>
      <c r="T506" t="s">
        <v>4196</v>
      </c>
      <c r="U506" t="s">
        <v>4223</v>
      </c>
      <c r="W506" t="s">
        <v>4242</v>
      </c>
      <c r="X506" t="s">
        <v>3382</v>
      </c>
      <c r="Y506" t="s">
        <v>3382</v>
      </c>
      <c r="AA506" t="s">
        <v>4256</v>
      </c>
      <c r="AC506">
        <v>0</v>
      </c>
      <c r="AD506">
        <v>353</v>
      </c>
      <c r="AE506">
        <v>18.9</v>
      </c>
      <c r="AG506" t="s">
        <v>4764</v>
      </c>
      <c r="AI506" t="s">
        <v>5806</v>
      </c>
      <c r="AJ506">
        <v>135</v>
      </c>
      <c r="AK506" t="s">
        <v>6270</v>
      </c>
      <c r="AL506">
        <v>5</v>
      </c>
      <c r="AM506">
        <v>0</v>
      </c>
      <c r="AN506">
        <v>49.72</v>
      </c>
      <c r="AR506" t="s">
        <v>5312</v>
      </c>
      <c r="AS506" t="s">
        <v>6301</v>
      </c>
      <c r="AT506">
        <v>15000</v>
      </c>
      <c r="AX506" t="s">
        <v>6430</v>
      </c>
      <c r="BA506" t="s">
        <v>6559</v>
      </c>
      <c r="BD506" t="s">
        <v>387</v>
      </c>
      <c r="BE506" t="s">
        <v>6702</v>
      </c>
    </row>
    <row r="507" spans="1:57">
      <c r="A507" s="1">
        <f>HYPERLINK("https://lsnyc.legalserver.org/matter/dynamic-profile/view/1897086","19-1897086")</f>
        <v>0</v>
      </c>
      <c r="B507" t="s">
        <v>59</v>
      </c>
      <c r="C507" t="s">
        <v>152</v>
      </c>
      <c r="D507" t="s">
        <v>214</v>
      </c>
      <c r="E507" t="s">
        <v>285</v>
      </c>
      <c r="G507" t="s">
        <v>996</v>
      </c>
      <c r="H507" t="s">
        <v>1705</v>
      </c>
      <c r="J507" t="s">
        <v>2523</v>
      </c>
      <c r="K507" t="s">
        <v>3210</v>
      </c>
      <c r="L507" t="s">
        <v>3330</v>
      </c>
      <c r="M507" t="s">
        <v>3379</v>
      </c>
      <c r="N507">
        <v>10025</v>
      </c>
      <c r="O507" t="s">
        <v>3380</v>
      </c>
      <c r="P507" t="s">
        <v>3380</v>
      </c>
      <c r="S507">
        <v>13</v>
      </c>
      <c r="T507" t="s">
        <v>4196</v>
      </c>
      <c r="U507" t="s">
        <v>4223</v>
      </c>
      <c r="W507" t="s">
        <v>4242</v>
      </c>
      <c r="X507" t="s">
        <v>3382</v>
      </c>
      <c r="Y507" t="s">
        <v>3382</v>
      </c>
      <c r="AA507" t="s">
        <v>4258</v>
      </c>
      <c r="AC507">
        <v>0</v>
      </c>
      <c r="AD507">
        <v>621</v>
      </c>
      <c r="AE507">
        <v>43.65</v>
      </c>
      <c r="AG507" t="s">
        <v>4765</v>
      </c>
      <c r="AI507" t="s">
        <v>5807</v>
      </c>
      <c r="AJ507">
        <v>1162</v>
      </c>
      <c r="AK507" t="s">
        <v>6270</v>
      </c>
      <c r="AL507">
        <v>3</v>
      </c>
      <c r="AM507">
        <v>0</v>
      </c>
      <c r="AN507">
        <v>42.66</v>
      </c>
      <c r="AT507">
        <v>9100</v>
      </c>
      <c r="AX507" t="s">
        <v>6431</v>
      </c>
      <c r="BA507" t="s">
        <v>6473</v>
      </c>
      <c r="BD507" t="s">
        <v>301</v>
      </c>
    </row>
    <row r="508" spans="1:57">
      <c r="A508" s="1">
        <f>HYPERLINK("https://lsnyc.legalserver.org/matter/dynamic-profile/view/1897095","19-1897095")</f>
        <v>0</v>
      </c>
      <c r="B508" t="s">
        <v>59</v>
      </c>
      <c r="C508" t="s">
        <v>152</v>
      </c>
      <c r="D508" t="s">
        <v>214</v>
      </c>
      <c r="E508" t="s">
        <v>285</v>
      </c>
      <c r="G508" t="s">
        <v>997</v>
      </c>
      <c r="H508" t="s">
        <v>1332</v>
      </c>
      <c r="J508" t="s">
        <v>2524</v>
      </c>
      <c r="K508" t="s">
        <v>3211</v>
      </c>
      <c r="L508" t="s">
        <v>3330</v>
      </c>
      <c r="M508" t="s">
        <v>3379</v>
      </c>
      <c r="N508">
        <v>10024</v>
      </c>
      <c r="O508" t="s">
        <v>3380</v>
      </c>
      <c r="P508" t="s">
        <v>3380</v>
      </c>
      <c r="S508">
        <v>7</v>
      </c>
      <c r="T508" t="s">
        <v>4196</v>
      </c>
      <c r="U508" t="s">
        <v>4223</v>
      </c>
      <c r="W508" t="s">
        <v>4242</v>
      </c>
      <c r="X508" t="s">
        <v>3382</v>
      </c>
      <c r="Y508" t="s">
        <v>3382</v>
      </c>
      <c r="AA508" t="s">
        <v>4258</v>
      </c>
      <c r="AC508">
        <v>0</v>
      </c>
      <c r="AD508">
        <v>858</v>
      </c>
      <c r="AE508">
        <v>86.75</v>
      </c>
      <c r="AG508" t="s">
        <v>4766</v>
      </c>
      <c r="AI508" t="s">
        <v>5808</v>
      </c>
      <c r="AJ508">
        <v>1610</v>
      </c>
      <c r="AK508" t="s">
        <v>6270</v>
      </c>
      <c r="AL508">
        <v>1</v>
      </c>
      <c r="AM508">
        <v>1</v>
      </c>
      <c r="AN508">
        <v>276.76</v>
      </c>
      <c r="AO508" t="s">
        <v>359</v>
      </c>
      <c r="AP508" t="s">
        <v>6283</v>
      </c>
      <c r="AS508" t="s">
        <v>6298</v>
      </c>
      <c r="AT508">
        <v>46800</v>
      </c>
      <c r="AX508" t="s">
        <v>6432</v>
      </c>
      <c r="BA508" t="s">
        <v>6477</v>
      </c>
      <c r="BD508" t="s">
        <v>284</v>
      </c>
    </row>
    <row r="509" spans="1:57">
      <c r="A509" s="1">
        <f>HYPERLINK("https://lsnyc.legalserver.org/matter/dynamic-profile/view/1909776","19-1909776")</f>
        <v>0</v>
      </c>
      <c r="B509" t="s">
        <v>59</v>
      </c>
      <c r="C509" t="s">
        <v>153</v>
      </c>
      <c r="D509" t="s">
        <v>214</v>
      </c>
      <c r="E509" t="s">
        <v>407</v>
      </c>
      <c r="G509" t="s">
        <v>998</v>
      </c>
      <c r="H509" t="s">
        <v>1712</v>
      </c>
      <c r="J509" t="s">
        <v>2525</v>
      </c>
      <c r="K509" t="s">
        <v>3054</v>
      </c>
      <c r="L509" t="s">
        <v>3330</v>
      </c>
      <c r="M509" t="s">
        <v>3379</v>
      </c>
      <c r="N509">
        <v>10038</v>
      </c>
      <c r="O509" t="s">
        <v>3381</v>
      </c>
      <c r="P509" t="s">
        <v>3381</v>
      </c>
      <c r="R509" t="s">
        <v>3806</v>
      </c>
      <c r="S509">
        <v>0</v>
      </c>
      <c r="T509" t="s">
        <v>4201</v>
      </c>
      <c r="U509" t="s">
        <v>4227</v>
      </c>
      <c r="W509" t="s">
        <v>4243</v>
      </c>
      <c r="X509" t="s">
        <v>3382</v>
      </c>
      <c r="Y509" t="s">
        <v>3382</v>
      </c>
      <c r="AA509" t="s">
        <v>4258</v>
      </c>
      <c r="AC509">
        <v>0</v>
      </c>
      <c r="AD509">
        <v>0</v>
      </c>
      <c r="AE509">
        <v>8.800000000000001</v>
      </c>
      <c r="AG509" t="s">
        <v>4767</v>
      </c>
      <c r="AJ509">
        <v>0</v>
      </c>
      <c r="AL509">
        <v>1</v>
      </c>
      <c r="AM509">
        <v>0</v>
      </c>
      <c r="AN509">
        <v>76.86</v>
      </c>
      <c r="AS509" t="s">
        <v>6298</v>
      </c>
      <c r="AT509">
        <v>9600</v>
      </c>
      <c r="AX509" t="s">
        <v>6433</v>
      </c>
      <c r="BA509" t="s">
        <v>6482</v>
      </c>
      <c r="BD509" t="s">
        <v>216</v>
      </c>
    </row>
    <row r="510" spans="1:57">
      <c r="A510" s="1">
        <f>HYPERLINK("https://lsnyc.legalserver.org/matter/dynamic-profile/view/1892859","19-1892859")</f>
        <v>0</v>
      </c>
      <c r="B510" t="s">
        <v>59</v>
      </c>
      <c r="C510" t="s">
        <v>154</v>
      </c>
      <c r="D510" t="s">
        <v>214</v>
      </c>
      <c r="E510" t="s">
        <v>288</v>
      </c>
      <c r="G510" t="s">
        <v>889</v>
      </c>
      <c r="H510" t="s">
        <v>1713</v>
      </c>
      <c r="J510" t="s">
        <v>2526</v>
      </c>
      <c r="L510" t="s">
        <v>3330</v>
      </c>
      <c r="M510" t="s">
        <v>3379</v>
      </c>
      <c r="N510">
        <v>10031</v>
      </c>
      <c r="O510" t="s">
        <v>3381</v>
      </c>
      <c r="P510" t="s">
        <v>3381</v>
      </c>
      <c r="S510">
        <v>34</v>
      </c>
      <c r="T510" t="s">
        <v>4196</v>
      </c>
      <c r="U510" t="s">
        <v>4224</v>
      </c>
      <c r="W510" t="s">
        <v>4242</v>
      </c>
      <c r="X510" t="s">
        <v>3382</v>
      </c>
      <c r="Y510" t="s">
        <v>3382</v>
      </c>
      <c r="AA510" t="s">
        <v>4258</v>
      </c>
      <c r="AC510">
        <v>0</v>
      </c>
      <c r="AD510">
        <v>670</v>
      </c>
      <c r="AE510">
        <v>6</v>
      </c>
      <c r="AG510" t="s">
        <v>4768</v>
      </c>
      <c r="AI510" t="s">
        <v>5809</v>
      </c>
      <c r="AJ510">
        <v>150</v>
      </c>
      <c r="AL510">
        <v>1</v>
      </c>
      <c r="AM510">
        <v>0</v>
      </c>
      <c r="AN510">
        <v>240.19</v>
      </c>
      <c r="AS510" t="s">
        <v>6298</v>
      </c>
      <c r="AT510">
        <v>30000</v>
      </c>
      <c r="AX510" t="s">
        <v>6430</v>
      </c>
      <c r="BA510" t="s">
        <v>6477</v>
      </c>
      <c r="BD510" t="s">
        <v>256</v>
      </c>
    </row>
    <row r="511" spans="1:57">
      <c r="A511" s="1">
        <f>HYPERLINK("https://lsnyc.legalserver.org/matter/dynamic-profile/view/1913224","19-1913224")</f>
        <v>0</v>
      </c>
      <c r="B511" t="s">
        <v>59</v>
      </c>
      <c r="C511" t="s">
        <v>154</v>
      </c>
      <c r="D511" t="s">
        <v>214</v>
      </c>
      <c r="E511" t="s">
        <v>228</v>
      </c>
      <c r="G511" t="s">
        <v>999</v>
      </c>
      <c r="H511" t="s">
        <v>1714</v>
      </c>
      <c r="J511" t="s">
        <v>2527</v>
      </c>
      <c r="K511">
        <v>11</v>
      </c>
      <c r="L511" t="s">
        <v>3330</v>
      </c>
      <c r="M511" t="s">
        <v>3379</v>
      </c>
      <c r="N511">
        <v>10031</v>
      </c>
      <c r="O511" t="s">
        <v>3381</v>
      </c>
      <c r="P511" t="s">
        <v>3381</v>
      </c>
      <c r="S511">
        <v>0</v>
      </c>
      <c r="W511" t="s">
        <v>4242</v>
      </c>
      <c r="X511" t="s">
        <v>3382</v>
      </c>
      <c r="AA511" t="s">
        <v>4256</v>
      </c>
      <c r="AC511">
        <v>0</v>
      </c>
      <c r="AD511">
        <v>0</v>
      </c>
      <c r="AE511">
        <v>0</v>
      </c>
      <c r="AG511" t="s">
        <v>4769</v>
      </c>
      <c r="AI511" t="s">
        <v>5810</v>
      </c>
      <c r="AJ511">
        <v>0</v>
      </c>
      <c r="AL511">
        <v>1</v>
      </c>
      <c r="AM511">
        <v>2</v>
      </c>
      <c r="AN511">
        <v>10.97</v>
      </c>
      <c r="AS511" t="s">
        <v>6298</v>
      </c>
      <c r="AT511">
        <v>2340</v>
      </c>
      <c r="AX511" t="s">
        <v>6430</v>
      </c>
      <c r="BA511" t="s">
        <v>6560</v>
      </c>
    </row>
    <row r="512" spans="1:57">
      <c r="A512" s="1">
        <f>HYPERLINK("https://lsnyc.legalserver.org/matter/dynamic-profile/view/1912375","19-1912375")</f>
        <v>0</v>
      </c>
      <c r="B512" t="s">
        <v>59</v>
      </c>
      <c r="C512" t="s">
        <v>154</v>
      </c>
      <c r="D512" t="s">
        <v>214</v>
      </c>
      <c r="E512" t="s">
        <v>248</v>
      </c>
      <c r="G512" t="s">
        <v>1000</v>
      </c>
      <c r="H512" t="s">
        <v>1715</v>
      </c>
      <c r="J512" t="s">
        <v>2528</v>
      </c>
      <c r="K512" t="s">
        <v>3212</v>
      </c>
      <c r="L512" t="s">
        <v>3330</v>
      </c>
      <c r="M512" t="s">
        <v>3379</v>
      </c>
      <c r="N512">
        <v>10027</v>
      </c>
      <c r="O512" t="s">
        <v>3380</v>
      </c>
      <c r="P512" t="s">
        <v>3381</v>
      </c>
      <c r="Q512" t="s">
        <v>3388</v>
      </c>
      <c r="R512" t="s">
        <v>3807</v>
      </c>
      <c r="S512">
        <v>4</v>
      </c>
      <c r="T512" t="s">
        <v>4196</v>
      </c>
      <c r="U512" t="s">
        <v>4223</v>
      </c>
      <c r="W512" t="s">
        <v>4242</v>
      </c>
      <c r="X512" t="s">
        <v>3382</v>
      </c>
      <c r="Y512" t="s">
        <v>3382</v>
      </c>
      <c r="AA512" t="s">
        <v>4256</v>
      </c>
      <c r="AC512">
        <v>0</v>
      </c>
      <c r="AD512">
        <v>1138</v>
      </c>
      <c r="AE512">
        <v>3.7</v>
      </c>
      <c r="AG512" t="s">
        <v>4770</v>
      </c>
      <c r="AI512" t="s">
        <v>5811</v>
      </c>
      <c r="AJ512">
        <v>40</v>
      </c>
      <c r="AK512" t="s">
        <v>6267</v>
      </c>
      <c r="AL512">
        <v>2</v>
      </c>
      <c r="AM512">
        <v>2</v>
      </c>
      <c r="AN512">
        <v>107.18</v>
      </c>
      <c r="AS512" t="s">
        <v>6298</v>
      </c>
      <c r="AT512">
        <v>27600</v>
      </c>
      <c r="AX512" t="s">
        <v>6434</v>
      </c>
      <c r="BA512" t="s">
        <v>6477</v>
      </c>
      <c r="BD512" t="s">
        <v>313</v>
      </c>
      <c r="BE512" t="s">
        <v>6702</v>
      </c>
    </row>
    <row r="513" spans="1:57">
      <c r="A513" s="1">
        <f>HYPERLINK("https://lsnyc.legalserver.org/matter/dynamic-profile/view/1913500","19-1913500")</f>
        <v>0</v>
      </c>
      <c r="B513" t="s">
        <v>59</v>
      </c>
      <c r="C513" t="s">
        <v>154</v>
      </c>
      <c r="D513" t="s">
        <v>214</v>
      </c>
      <c r="E513" t="s">
        <v>270</v>
      </c>
      <c r="G513" t="s">
        <v>670</v>
      </c>
      <c r="H513" t="s">
        <v>1716</v>
      </c>
      <c r="J513" t="s">
        <v>2529</v>
      </c>
      <c r="K513" t="s">
        <v>3055</v>
      </c>
      <c r="L513" t="s">
        <v>3330</v>
      </c>
      <c r="M513" t="s">
        <v>3379</v>
      </c>
      <c r="N513">
        <v>10025</v>
      </c>
      <c r="O513" t="s">
        <v>3380</v>
      </c>
      <c r="P513" t="s">
        <v>3381</v>
      </c>
      <c r="Q513" t="s">
        <v>3388</v>
      </c>
      <c r="S513">
        <v>10</v>
      </c>
      <c r="T513" t="s">
        <v>4213</v>
      </c>
      <c r="U513" t="s">
        <v>4224</v>
      </c>
      <c r="W513" t="s">
        <v>4243</v>
      </c>
      <c r="X513" t="s">
        <v>3382</v>
      </c>
      <c r="Y513" t="s">
        <v>3382</v>
      </c>
      <c r="Z513" t="s">
        <v>4244</v>
      </c>
      <c r="AA513" t="s">
        <v>4259</v>
      </c>
      <c r="AC513">
        <v>0</v>
      </c>
      <c r="AD513">
        <v>915.6799999999999</v>
      </c>
      <c r="AE513">
        <v>0.6</v>
      </c>
      <c r="AG513" t="s">
        <v>4771</v>
      </c>
      <c r="AI513" t="s">
        <v>5812</v>
      </c>
      <c r="AJ513">
        <v>0</v>
      </c>
      <c r="AK513" t="s">
        <v>6276</v>
      </c>
      <c r="AL513">
        <v>1</v>
      </c>
      <c r="AM513">
        <v>0</v>
      </c>
      <c r="AN513">
        <v>136.11</v>
      </c>
      <c r="AR513" t="s">
        <v>5312</v>
      </c>
      <c r="AS513" t="s">
        <v>6298</v>
      </c>
      <c r="AT513">
        <v>17000</v>
      </c>
      <c r="AX513" t="s">
        <v>6428</v>
      </c>
      <c r="BA513" t="s">
        <v>6503</v>
      </c>
      <c r="BD513" t="s">
        <v>230</v>
      </c>
      <c r="BE513" t="s">
        <v>6702</v>
      </c>
    </row>
    <row r="514" spans="1:57">
      <c r="A514" s="1">
        <f>HYPERLINK("https://lsnyc.legalserver.org/matter/dynamic-profile/view/1897092","19-1897092")</f>
        <v>0</v>
      </c>
      <c r="B514" t="s">
        <v>59</v>
      </c>
      <c r="C514" t="s">
        <v>155</v>
      </c>
      <c r="D514" t="s">
        <v>214</v>
      </c>
      <c r="E514" t="s">
        <v>415</v>
      </c>
      <c r="G514" t="s">
        <v>1001</v>
      </c>
      <c r="H514" t="s">
        <v>1717</v>
      </c>
      <c r="J514" t="s">
        <v>2530</v>
      </c>
      <c r="K514" t="s">
        <v>3213</v>
      </c>
      <c r="L514" t="s">
        <v>3330</v>
      </c>
      <c r="M514" t="s">
        <v>3379</v>
      </c>
      <c r="N514">
        <v>10039</v>
      </c>
      <c r="O514" t="s">
        <v>3382</v>
      </c>
      <c r="P514" t="s">
        <v>3382</v>
      </c>
      <c r="Q514" t="s">
        <v>3388</v>
      </c>
      <c r="S514">
        <v>10</v>
      </c>
      <c r="U514" t="s">
        <v>4224</v>
      </c>
      <c r="W514" t="s">
        <v>4243</v>
      </c>
      <c r="X514" t="s">
        <v>3382</v>
      </c>
      <c r="AA514" t="s">
        <v>4256</v>
      </c>
      <c r="AC514">
        <v>0</v>
      </c>
      <c r="AD514">
        <v>1064</v>
      </c>
      <c r="AE514">
        <v>0.5</v>
      </c>
      <c r="AG514" t="s">
        <v>4772</v>
      </c>
      <c r="AI514" t="s">
        <v>5813</v>
      </c>
      <c r="AJ514">
        <v>0</v>
      </c>
      <c r="AK514" t="s">
        <v>6267</v>
      </c>
      <c r="AL514">
        <v>1</v>
      </c>
      <c r="AM514">
        <v>3</v>
      </c>
      <c r="AN514">
        <v>170.1</v>
      </c>
      <c r="AR514" t="s">
        <v>6289</v>
      </c>
      <c r="AS514" t="s">
        <v>6298</v>
      </c>
      <c r="AT514">
        <v>43800</v>
      </c>
      <c r="AX514" t="s">
        <v>6428</v>
      </c>
      <c r="BA514" t="s">
        <v>6476</v>
      </c>
      <c r="BD514" t="s">
        <v>448</v>
      </c>
    </row>
    <row r="515" spans="1:57">
      <c r="A515" s="1">
        <f>HYPERLINK("https://lsnyc.legalserver.org/matter/dynamic-profile/view/1889138","19-1889138")</f>
        <v>0</v>
      </c>
      <c r="B515" t="s">
        <v>59</v>
      </c>
      <c r="C515" t="s">
        <v>155</v>
      </c>
      <c r="D515" t="s">
        <v>214</v>
      </c>
      <c r="E515" t="s">
        <v>416</v>
      </c>
      <c r="G515" t="s">
        <v>1002</v>
      </c>
      <c r="H515" t="s">
        <v>1718</v>
      </c>
      <c r="J515" t="s">
        <v>2531</v>
      </c>
      <c r="K515">
        <v>31</v>
      </c>
      <c r="L515" t="s">
        <v>3330</v>
      </c>
      <c r="M515" t="s">
        <v>3379</v>
      </c>
      <c r="N515">
        <v>10032</v>
      </c>
      <c r="O515" t="s">
        <v>3382</v>
      </c>
      <c r="P515" t="s">
        <v>3382</v>
      </c>
      <c r="Q515" t="s">
        <v>3386</v>
      </c>
      <c r="R515" t="s">
        <v>3808</v>
      </c>
      <c r="S515">
        <v>15</v>
      </c>
      <c r="T515" t="s">
        <v>4197</v>
      </c>
      <c r="U515" t="s">
        <v>4228</v>
      </c>
      <c r="W515" t="s">
        <v>4243</v>
      </c>
      <c r="X515" t="s">
        <v>3382</v>
      </c>
      <c r="Y515" t="s">
        <v>3382</v>
      </c>
      <c r="AA515" t="s">
        <v>4256</v>
      </c>
      <c r="AC515">
        <v>0</v>
      </c>
      <c r="AD515">
        <v>825</v>
      </c>
      <c r="AE515">
        <v>7.3</v>
      </c>
      <c r="AG515" t="s">
        <v>4773</v>
      </c>
      <c r="AI515" t="s">
        <v>5814</v>
      </c>
      <c r="AJ515">
        <v>0</v>
      </c>
      <c r="AK515" t="s">
        <v>6272</v>
      </c>
      <c r="AL515">
        <v>1</v>
      </c>
      <c r="AM515">
        <v>1</v>
      </c>
      <c r="AN515">
        <v>49.67</v>
      </c>
      <c r="AQ515" t="s">
        <v>6287</v>
      </c>
      <c r="AR515" t="s">
        <v>5312</v>
      </c>
      <c r="AS515" t="s">
        <v>6298</v>
      </c>
      <c r="AT515">
        <v>8400</v>
      </c>
      <c r="AX515" t="s">
        <v>6428</v>
      </c>
      <c r="BA515" t="s">
        <v>6561</v>
      </c>
      <c r="BD515" t="s">
        <v>293</v>
      </c>
    </row>
    <row r="516" spans="1:57">
      <c r="A516" s="1">
        <f>HYPERLINK("https://lsnyc.legalserver.org/matter/dynamic-profile/view/1844281","17-1844281")</f>
        <v>0</v>
      </c>
      <c r="B516" t="s">
        <v>59</v>
      </c>
      <c r="C516" t="s">
        <v>155</v>
      </c>
      <c r="D516" t="s">
        <v>214</v>
      </c>
      <c r="E516" t="s">
        <v>417</v>
      </c>
      <c r="G516" t="s">
        <v>1003</v>
      </c>
      <c r="H516" t="s">
        <v>1719</v>
      </c>
      <c r="J516" t="s">
        <v>2532</v>
      </c>
      <c r="K516" t="s">
        <v>3214</v>
      </c>
      <c r="L516" t="s">
        <v>3330</v>
      </c>
      <c r="M516" t="s">
        <v>3379</v>
      </c>
      <c r="N516">
        <v>10031</v>
      </c>
      <c r="O516" t="s">
        <v>3381</v>
      </c>
      <c r="P516" t="s">
        <v>3381</v>
      </c>
      <c r="R516" t="s">
        <v>3809</v>
      </c>
      <c r="S516">
        <v>0</v>
      </c>
      <c r="T516" t="s">
        <v>4198</v>
      </c>
      <c r="U516" t="s">
        <v>4223</v>
      </c>
      <c r="W516" t="s">
        <v>4243</v>
      </c>
      <c r="X516" t="s">
        <v>3382</v>
      </c>
      <c r="Y516" t="s">
        <v>3382</v>
      </c>
      <c r="AA516" t="s">
        <v>4256</v>
      </c>
      <c r="AC516">
        <v>0</v>
      </c>
      <c r="AD516">
        <v>0</v>
      </c>
      <c r="AE516">
        <v>37.25</v>
      </c>
      <c r="AG516" t="s">
        <v>4774</v>
      </c>
      <c r="AI516" t="s">
        <v>5815</v>
      </c>
      <c r="AJ516">
        <v>1200</v>
      </c>
      <c r="AL516">
        <v>2</v>
      </c>
      <c r="AM516">
        <v>0</v>
      </c>
      <c r="AN516">
        <v>3.1</v>
      </c>
      <c r="AS516" t="s">
        <v>6298</v>
      </c>
      <c r="AT516">
        <v>503.04</v>
      </c>
      <c r="AX516" t="s">
        <v>6433</v>
      </c>
      <c r="BA516" t="s">
        <v>6487</v>
      </c>
      <c r="BD516" t="s">
        <v>352</v>
      </c>
    </row>
    <row r="517" spans="1:57">
      <c r="A517" s="1">
        <f>HYPERLINK("https://lsnyc.legalserver.org/matter/dynamic-profile/view/0808160","16-0808160")</f>
        <v>0</v>
      </c>
      <c r="B517" t="s">
        <v>59</v>
      </c>
      <c r="C517" t="s">
        <v>155</v>
      </c>
      <c r="D517" t="s">
        <v>214</v>
      </c>
      <c r="E517" t="s">
        <v>418</v>
      </c>
      <c r="G517" t="s">
        <v>1004</v>
      </c>
      <c r="H517" t="s">
        <v>1525</v>
      </c>
      <c r="J517" t="s">
        <v>2533</v>
      </c>
      <c r="K517">
        <v>22</v>
      </c>
      <c r="L517" t="s">
        <v>3330</v>
      </c>
      <c r="M517" t="s">
        <v>3379</v>
      </c>
      <c r="N517">
        <v>10031</v>
      </c>
      <c r="O517" t="s">
        <v>3381</v>
      </c>
      <c r="P517" t="s">
        <v>3381</v>
      </c>
      <c r="R517" t="s">
        <v>3810</v>
      </c>
      <c r="S517">
        <v>64</v>
      </c>
      <c r="U517" t="s">
        <v>4223</v>
      </c>
      <c r="W517" t="s">
        <v>4243</v>
      </c>
      <c r="X517" t="s">
        <v>3382</v>
      </c>
      <c r="Y517" t="s">
        <v>3382</v>
      </c>
      <c r="AA517" t="s">
        <v>4256</v>
      </c>
      <c r="AC517">
        <v>0</v>
      </c>
      <c r="AD517">
        <v>0</v>
      </c>
      <c r="AE517">
        <v>6.55</v>
      </c>
      <c r="AG517" t="s">
        <v>4775</v>
      </c>
      <c r="AI517" t="s">
        <v>5816</v>
      </c>
      <c r="AJ517">
        <v>30</v>
      </c>
      <c r="AL517">
        <v>1</v>
      </c>
      <c r="AM517">
        <v>0</v>
      </c>
      <c r="AN517">
        <v>103.03</v>
      </c>
      <c r="AQ517" t="s">
        <v>6287</v>
      </c>
      <c r="AS517" t="s">
        <v>6298</v>
      </c>
      <c r="AT517">
        <v>12240</v>
      </c>
      <c r="AX517" t="s">
        <v>6429</v>
      </c>
      <c r="BA517" t="s">
        <v>6562</v>
      </c>
      <c r="BD517" t="s">
        <v>6651</v>
      </c>
    </row>
    <row r="518" spans="1:57">
      <c r="A518" s="1">
        <f>HYPERLINK("https://lsnyc.legalserver.org/matter/dynamic-profile/view/1845957","17-1845957")</f>
        <v>0</v>
      </c>
      <c r="B518" t="s">
        <v>59</v>
      </c>
      <c r="C518" t="s">
        <v>155</v>
      </c>
      <c r="D518" t="s">
        <v>214</v>
      </c>
      <c r="E518" t="s">
        <v>419</v>
      </c>
      <c r="G518" t="s">
        <v>792</v>
      </c>
      <c r="H518" t="s">
        <v>1720</v>
      </c>
      <c r="J518" t="s">
        <v>2534</v>
      </c>
      <c r="K518" t="s">
        <v>3038</v>
      </c>
      <c r="L518" t="s">
        <v>3330</v>
      </c>
      <c r="M518" t="s">
        <v>3379</v>
      </c>
      <c r="N518">
        <v>10031</v>
      </c>
      <c r="O518" t="s">
        <v>3380</v>
      </c>
      <c r="P518" t="s">
        <v>3381</v>
      </c>
      <c r="S518">
        <v>0</v>
      </c>
      <c r="W518" t="s">
        <v>4244</v>
      </c>
      <c r="X518" t="s">
        <v>3382</v>
      </c>
      <c r="Z518" t="s">
        <v>4243</v>
      </c>
      <c r="AA518" t="s">
        <v>4256</v>
      </c>
      <c r="AC518">
        <v>0</v>
      </c>
      <c r="AD518">
        <v>0</v>
      </c>
      <c r="AE518">
        <v>2.5</v>
      </c>
      <c r="AG518" t="s">
        <v>4776</v>
      </c>
      <c r="AI518" t="s">
        <v>5817</v>
      </c>
      <c r="AJ518">
        <v>0</v>
      </c>
      <c r="AK518" t="s">
        <v>6266</v>
      </c>
      <c r="AL518">
        <v>5</v>
      </c>
      <c r="AM518">
        <v>2</v>
      </c>
      <c r="AN518">
        <v>12.57</v>
      </c>
      <c r="AQ518" t="s">
        <v>6286</v>
      </c>
      <c r="AS518" t="s">
        <v>6299</v>
      </c>
      <c r="AT518">
        <v>4668</v>
      </c>
      <c r="AV518" t="s">
        <v>3380</v>
      </c>
      <c r="AX518" t="s">
        <v>6429</v>
      </c>
      <c r="BA518" t="s">
        <v>6499</v>
      </c>
      <c r="BD518" t="s">
        <v>525</v>
      </c>
    </row>
    <row r="519" spans="1:57">
      <c r="A519" s="1">
        <f>HYPERLINK("https://lsnyc.legalserver.org/matter/dynamic-profile/view/1874870","18-1874870")</f>
        <v>0</v>
      </c>
      <c r="B519" t="s">
        <v>59</v>
      </c>
      <c r="C519" t="s">
        <v>155</v>
      </c>
      <c r="D519" t="s">
        <v>214</v>
      </c>
      <c r="E519" t="s">
        <v>420</v>
      </c>
      <c r="G519" t="s">
        <v>1005</v>
      </c>
      <c r="H519" t="s">
        <v>1335</v>
      </c>
      <c r="J519" t="s">
        <v>2535</v>
      </c>
      <c r="K519">
        <v>11</v>
      </c>
      <c r="L519" t="s">
        <v>3330</v>
      </c>
      <c r="M519" t="s">
        <v>3379</v>
      </c>
      <c r="N519">
        <v>10031</v>
      </c>
      <c r="O519" t="s">
        <v>3380</v>
      </c>
      <c r="P519" t="s">
        <v>3381</v>
      </c>
      <c r="Q519" t="s">
        <v>3391</v>
      </c>
      <c r="S519">
        <v>0</v>
      </c>
      <c r="W519" t="s">
        <v>4244</v>
      </c>
      <c r="X519" t="s">
        <v>3382</v>
      </c>
      <c r="Y519" t="s">
        <v>3382</v>
      </c>
      <c r="Z519" t="s">
        <v>4243</v>
      </c>
      <c r="AA519" t="s">
        <v>4256</v>
      </c>
      <c r="AC519">
        <v>0</v>
      </c>
      <c r="AD519">
        <v>0</v>
      </c>
      <c r="AE519">
        <v>2</v>
      </c>
      <c r="AG519" t="s">
        <v>4777</v>
      </c>
      <c r="AI519" t="s">
        <v>5818</v>
      </c>
      <c r="AJ519">
        <v>0</v>
      </c>
      <c r="AL519">
        <v>3</v>
      </c>
      <c r="AM519">
        <v>0</v>
      </c>
      <c r="AN519">
        <v>167.7</v>
      </c>
      <c r="AQ519" t="s">
        <v>6287</v>
      </c>
      <c r="AR519" t="s">
        <v>5312</v>
      </c>
      <c r="AS519" t="s">
        <v>6298</v>
      </c>
      <c r="AT519">
        <v>34847.68</v>
      </c>
      <c r="AV519" t="s">
        <v>3380</v>
      </c>
      <c r="AX519" t="s">
        <v>6431</v>
      </c>
      <c r="BA519" t="s">
        <v>6563</v>
      </c>
      <c r="BD519" t="s">
        <v>394</v>
      </c>
    </row>
    <row r="520" spans="1:57">
      <c r="A520" s="1">
        <f>HYPERLINK("https://lsnyc.legalserver.org/matter/dynamic-profile/view/1855649","18-1855649")</f>
        <v>0</v>
      </c>
      <c r="B520" t="s">
        <v>59</v>
      </c>
      <c r="C520" t="s">
        <v>155</v>
      </c>
      <c r="D520" t="s">
        <v>214</v>
      </c>
      <c r="E520" t="s">
        <v>421</v>
      </c>
      <c r="G520" t="s">
        <v>1006</v>
      </c>
      <c r="H520" t="s">
        <v>1721</v>
      </c>
      <c r="J520" t="s">
        <v>2536</v>
      </c>
      <c r="K520" t="s">
        <v>3060</v>
      </c>
      <c r="L520" t="s">
        <v>3330</v>
      </c>
      <c r="M520" t="s">
        <v>3379</v>
      </c>
      <c r="N520">
        <v>10029</v>
      </c>
      <c r="O520" t="s">
        <v>3381</v>
      </c>
      <c r="P520" t="s">
        <v>3381</v>
      </c>
      <c r="S520">
        <v>16</v>
      </c>
      <c r="T520" t="s">
        <v>4205</v>
      </c>
      <c r="U520" t="s">
        <v>4228</v>
      </c>
      <c r="W520" t="s">
        <v>4243</v>
      </c>
      <c r="X520" t="s">
        <v>3382</v>
      </c>
      <c r="AA520" t="s">
        <v>4258</v>
      </c>
      <c r="AC520">
        <v>0</v>
      </c>
      <c r="AD520">
        <v>608.48</v>
      </c>
      <c r="AE520">
        <v>8.35</v>
      </c>
      <c r="AG520" t="s">
        <v>4778</v>
      </c>
      <c r="AI520" t="s">
        <v>5819</v>
      </c>
      <c r="AJ520">
        <v>794</v>
      </c>
      <c r="AL520">
        <v>2</v>
      </c>
      <c r="AM520">
        <v>0</v>
      </c>
      <c r="AN520">
        <v>59.11</v>
      </c>
      <c r="AS520" t="s">
        <v>6306</v>
      </c>
      <c r="AT520">
        <v>9600</v>
      </c>
      <c r="AX520" t="s">
        <v>6429</v>
      </c>
      <c r="BA520" t="s">
        <v>6499</v>
      </c>
      <c r="BD520" t="s">
        <v>6652</v>
      </c>
    </row>
    <row r="521" spans="1:57">
      <c r="A521" s="1">
        <f>HYPERLINK("https://lsnyc.legalserver.org/matter/dynamic-profile/view/1883214","18-1883214")</f>
        <v>0</v>
      </c>
      <c r="B521" t="s">
        <v>59</v>
      </c>
      <c r="C521" t="s">
        <v>155</v>
      </c>
      <c r="D521" t="s">
        <v>214</v>
      </c>
      <c r="E521" t="s">
        <v>422</v>
      </c>
      <c r="G521" t="s">
        <v>1007</v>
      </c>
      <c r="H521" t="s">
        <v>1722</v>
      </c>
      <c r="J521" t="s">
        <v>2537</v>
      </c>
      <c r="K521" t="s">
        <v>3215</v>
      </c>
      <c r="L521" t="s">
        <v>3330</v>
      </c>
      <c r="M521" t="s">
        <v>3379</v>
      </c>
      <c r="N521">
        <v>10001</v>
      </c>
      <c r="O521" t="s">
        <v>3381</v>
      </c>
      <c r="P521" t="s">
        <v>3381</v>
      </c>
      <c r="S521">
        <v>0</v>
      </c>
      <c r="U521" t="s">
        <v>4223</v>
      </c>
      <c r="W521" t="s">
        <v>4243</v>
      </c>
      <c r="X521" t="s">
        <v>3382</v>
      </c>
      <c r="Y521" t="s">
        <v>3382</v>
      </c>
      <c r="AA521" t="s">
        <v>4259</v>
      </c>
      <c r="AC521">
        <v>0</v>
      </c>
      <c r="AD521">
        <v>740</v>
      </c>
      <c r="AE521">
        <v>6.15</v>
      </c>
      <c r="AG521" t="s">
        <v>4779</v>
      </c>
      <c r="AI521" t="s">
        <v>5820</v>
      </c>
      <c r="AJ521">
        <v>390</v>
      </c>
      <c r="AL521">
        <v>1</v>
      </c>
      <c r="AM521">
        <v>1</v>
      </c>
      <c r="AN521">
        <v>145.81</v>
      </c>
      <c r="AS521" t="s">
        <v>6298</v>
      </c>
      <c r="AT521">
        <v>24000</v>
      </c>
      <c r="AX521" t="s">
        <v>6429</v>
      </c>
      <c r="BA521" t="s">
        <v>6477</v>
      </c>
      <c r="BD521" t="s">
        <v>317</v>
      </c>
    </row>
    <row r="522" spans="1:57">
      <c r="A522" s="1">
        <f>HYPERLINK("https://lsnyc.legalserver.org/matter/dynamic-profile/view/0744571","13-0744571")</f>
        <v>0</v>
      </c>
      <c r="B522" t="s">
        <v>59</v>
      </c>
      <c r="C522" t="s">
        <v>156</v>
      </c>
      <c r="D522" t="s">
        <v>214</v>
      </c>
      <c r="E522" t="s">
        <v>423</v>
      </c>
      <c r="G522" t="s">
        <v>1008</v>
      </c>
      <c r="H522" t="s">
        <v>1723</v>
      </c>
      <c r="J522" t="s">
        <v>2538</v>
      </c>
      <c r="K522" t="s">
        <v>3016</v>
      </c>
      <c r="L522" t="s">
        <v>3334</v>
      </c>
      <c r="M522" t="s">
        <v>3379</v>
      </c>
      <c r="N522">
        <v>10030</v>
      </c>
      <c r="O522" t="s">
        <v>3381</v>
      </c>
      <c r="P522" t="s">
        <v>3381</v>
      </c>
      <c r="S522">
        <v>0</v>
      </c>
      <c r="W522" t="s">
        <v>4243</v>
      </c>
      <c r="X522" t="s">
        <v>3382</v>
      </c>
      <c r="AA522" t="s">
        <v>4256</v>
      </c>
      <c r="AC522">
        <v>0</v>
      </c>
      <c r="AD522">
        <v>0</v>
      </c>
      <c r="AE522">
        <v>74.34999999999999</v>
      </c>
      <c r="AG522" t="s">
        <v>4780</v>
      </c>
      <c r="AI522" t="s">
        <v>5821</v>
      </c>
      <c r="AJ522">
        <v>0</v>
      </c>
      <c r="AL522">
        <v>2</v>
      </c>
      <c r="AM522">
        <v>2</v>
      </c>
      <c r="AN522">
        <v>90.06</v>
      </c>
      <c r="AS522" t="s">
        <v>6298</v>
      </c>
      <c r="AT522">
        <v>21208</v>
      </c>
      <c r="AX522" t="s">
        <v>6435</v>
      </c>
      <c r="BA522" t="s">
        <v>6564</v>
      </c>
      <c r="BD522" t="s">
        <v>315</v>
      </c>
    </row>
    <row r="523" spans="1:57">
      <c r="A523" s="1">
        <f>HYPERLINK("https://lsnyc.legalserver.org/matter/dynamic-profile/view/1875124","18-1875124")</f>
        <v>0</v>
      </c>
      <c r="B523" t="s">
        <v>59</v>
      </c>
      <c r="C523" t="s">
        <v>157</v>
      </c>
      <c r="D523" t="s">
        <v>214</v>
      </c>
      <c r="E523" t="s">
        <v>394</v>
      </c>
      <c r="G523" t="s">
        <v>1009</v>
      </c>
      <c r="H523" t="s">
        <v>1724</v>
      </c>
      <c r="J523" t="s">
        <v>2539</v>
      </c>
      <c r="K523">
        <v>11</v>
      </c>
      <c r="L523" t="s">
        <v>3330</v>
      </c>
      <c r="M523" t="s">
        <v>3379</v>
      </c>
      <c r="N523">
        <v>10039</v>
      </c>
      <c r="O523" t="s">
        <v>3380</v>
      </c>
      <c r="P523" t="s">
        <v>3381</v>
      </c>
      <c r="Q523" t="s">
        <v>3383</v>
      </c>
      <c r="R523" t="s">
        <v>3811</v>
      </c>
      <c r="S523">
        <v>19</v>
      </c>
      <c r="T523" t="s">
        <v>4197</v>
      </c>
      <c r="U523" t="s">
        <v>4223</v>
      </c>
      <c r="W523" t="s">
        <v>4243</v>
      </c>
      <c r="X523" t="s">
        <v>3382</v>
      </c>
      <c r="Y523" t="s">
        <v>3382</v>
      </c>
      <c r="AA523" t="s">
        <v>4256</v>
      </c>
      <c r="AC523">
        <v>590</v>
      </c>
      <c r="AD523">
        <v>1180</v>
      </c>
      <c r="AE523">
        <v>93</v>
      </c>
      <c r="AG523" t="s">
        <v>4781</v>
      </c>
      <c r="AI523" t="s">
        <v>5822</v>
      </c>
      <c r="AJ523">
        <v>22</v>
      </c>
      <c r="AK523" t="s">
        <v>6266</v>
      </c>
      <c r="AL523">
        <v>3</v>
      </c>
      <c r="AM523">
        <v>1</v>
      </c>
      <c r="AN523">
        <v>165.74</v>
      </c>
      <c r="AQ523" t="s">
        <v>6288</v>
      </c>
      <c r="AR523" t="s">
        <v>5312</v>
      </c>
      <c r="AS523" t="s">
        <v>6298</v>
      </c>
      <c r="AT523">
        <v>41600</v>
      </c>
      <c r="AV523" t="s">
        <v>3380</v>
      </c>
      <c r="AX523" t="s">
        <v>6428</v>
      </c>
      <c r="BA523" t="s">
        <v>6477</v>
      </c>
      <c r="BD523" t="s">
        <v>275</v>
      </c>
    </row>
    <row r="524" spans="1:57">
      <c r="A524" s="1">
        <f>HYPERLINK("https://lsnyc.legalserver.org/matter/dynamic-profile/view/1876501","18-1876501")</f>
        <v>0</v>
      </c>
      <c r="B524" t="s">
        <v>59</v>
      </c>
      <c r="C524" t="s">
        <v>157</v>
      </c>
      <c r="D524" t="s">
        <v>214</v>
      </c>
      <c r="E524" t="s">
        <v>424</v>
      </c>
      <c r="G524" t="s">
        <v>1010</v>
      </c>
      <c r="H524" t="s">
        <v>1725</v>
      </c>
      <c r="J524" t="s">
        <v>2540</v>
      </c>
      <c r="K524">
        <v>18</v>
      </c>
      <c r="L524" t="s">
        <v>3330</v>
      </c>
      <c r="M524" t="s">
        <v>3379</v>
      </c>
      <c r="N524">
        <v>10039</v>
      </c>
      <c r="O524" t="s">
        <v>3381</v>
      </c>
      <c r="P524" t="s">
        <v>3381</v>
      </c>
      <c r="S524">
        <v>21</v>
      </c>
      <c r="T524" t="s">
        <v>4197</v>
      </c>
      <c r="U524" t="s">
        <v>4223</v>
      </c>
      <c r="W524" t="s">
        <v>4243</v>
      </c>
      <c r="X524" t="s">
        <v>3382</v>
      </c>
      <c r="AA524" t="s">
        <v>4256</v>
      </c>
      <c r="AC524">
        <v>0</v>
      </c>
      <c r="AD524">
        <v>860</v>
      </c>
      <c r="AE524">
        <v>94.8</v>
      </c>
      <c r="AG524" t="s">
        <v>4782</v>
      </c>
      <c r="AI524" t="s">
        <v>5823</v>
      </c>
      <c r="AJ524">
        <v>24</v>
      </c>
      <c r="AL524">
        <v>3</v>
      </c>
      <c r="AM524">
        <v>0</v>
      </c>
      <c r="AN524">
        <v>175.17</v>
      </c>
      <c r="AQ524" t="s">
        <v>6287</v>
      </c>
      <c r="AS524" t="s">
        <v>6298</v>
      </c>
      <c r="AT524">
        <v>36400</v>
      </c>
      <c r="AX524" t="s">
        <v>6429</v>
      </c>
      <c r="BA524" t="s">
        <v>6477</v>
      </c>
      <c r="BD524" t="s">
        <v>217</v>
      </c>
    </row>
    <row r="525" spans="1:57">
      <c r="A525" s="1">
        <f>HYPERLINK("https://lsnyc.legalserver.org/matter/dynamic-profile/view/1870194","18-1870194")</f>
        <v>0</v>
      </c>
      <c r="B525" t="s">
        <v>59</v>
      </c>
      <c r="C525" t="s">
        <v>157</v>
      </c>
      <c r="D525" t="s">
        <v>214</v>
      </c>
      <c r="E525" t="s">
        <v>425</v>
      </c>
      <c r="G525" t="s">
        <v>1011</v>
      </c>
      <c r="H525" t="s">
        <v>1726</v>
      </c>
      <c r="J525" t="s">
        <v>2541</v>
      </c>
      <c r="L525" t="s">
        <v>3330</v>
      </c>
      <c r="M525" t="s">
        <v>3379</v>
      </c>
      <c r="N525">
        <v>10032</v>
      </c>
      <c r="O525" t="s">
        <v>3382</v>
      </c>
      <c r="P525" t="s">
        <v>3381</v>
      </c>
      <c r="Q525" t="s">
        <v>3386</v>
      </c>
      <c r="R525" t="s">
        <v>3812</v>
      </c>
      <c r="S525">
        <v>4</v>
      </c>
      <c r="T525" t="s">
        <v>4196</v>
      </c>
      <c r="U525" t="s">
        <v>4223</v>
      </c>
      <c r="W525" t="s">
        <v>4243</v>
      </c>
      <c r="X525" t="s">
        <v>3382</v>
      </c>
      <c r="Y525" t="s">
        <v>3382</v>
      </c>
      <c r="AA525" t="s">
        <v>4256</v>
      </c>
      <c r="AC525">
        <v>175</v>
      </c>
      <c r="AD525">
        <v>175</v>
      </c>
      <c r="AE525">
        <v>26.2</v>
      </c>
      <c r="AG525" t="s">
        <v>4783</v>
      </c>
      <c r="AI525" t="s">
        <v>5824</v>
      </c>
      <c r="AJ525">
        <v>7</v>
      </c>
      <c r="AK525" t="s">
        <v>6279</v>
      </c>
      <c r="AL525">
        <v>1</v>
      </c>
      <c r="AM525">
        <v>0</v>
      </c>
      <c r="AN525">
        <v>0</v>
      </c>
      <c r="AQ525" t="s">
        <v>6287</v>
      </c>
      <c r="AR525" t="s">
        <v>5312</v>
      </c>
      <c r="AS525" t="s">
        <v>6298</v>
      </c>
      <c r="AT525">
        <v>0</v>
      </c>
      <c r="AV525" t="s">
        <v>3382</v>
      </c>
      <c r="AX525" t="s">
        <v>6428</v>
      </c>
      <c r="BA525" t="s">
        <v>6479</v>
      </c>
      <c r="BD525" t="s">
        <v>305</v>
      </c>
    </row>
    <row r="526" spans="1:57">
      <c r="A526" s="1">
        <f>HYPERLINK("https://lsnyc.legalserver.org/matter/dynamic-profile/view/1853209","17-1853209")</f>
        <v>0</v>
      </c>
      <c r="B526" t="s">
        <v>59</v>
      </c>
      <c r="C526" t="s">
        <v>157</v>
      </c>
      <c r="D526" t="s">
        <v>214</v>
      </c>
      <c r="E526" t="s">
        <v>426</v>
      </c>
      <c r="G526" t="s">
        <v>1012</v>
      </c>
      <c r="H526" t="s">
        <v>1727</v>
      </c>
      <c r="J526" t="s">
        <v>2542</v>
      </c>
      <c r="K526">
        <v>54</v>
      </c>
      <c r="L526" t="s">
        <v>3330</v>
      </c>
      <c r="M526" t="s">
        <v>3379</v>
      </c>
      <c r="N526">
        <v>10031</v>
      </c>
      <c r="O526" t="s">
        <v>3381</v>
      </c>
      <c r="P526" t="s">
        <v>3381</v>
      </c>
      <c r="Q526" t="s">
        <v>3386</v>
      </c>
      <c r="S526">
        <v>4</v>
      </c>
      <c r="T526" t="s">
        <v>4200</v>
      </c>
      <c r="U526" t="s">
        <v>4223</v>
      </c>
      <c r="W526" t="s">
        <v>4243</v>
      </c>
      <c r="X526" t="s">
        <v>3382</v>
      </c>
      <c r="AA526" t="s">
        <v>4256</v>
      </c>
      <c r="AC526">
        <v>1500</v>
      </c>
      <c r="AD526">
        <v>2880</v>
      </c>
      <c r="AE526">
        <v>17.35</v>
      </c>
      <c r="AG526" t="s">
        <v>4784</v>
      </c>
      <c r="AJ526">
        <v>58</v>
      </c>
      <c r="AL526">
        <v>2</v>
      </c>
      <c r="AM526">
        <v>0</v>
      </c>
      <c r="AN526">
        <v>176.11</v>
      </c>
      <c r="AQ526" t="s">
        <v>6287</v>
      </c>
      <c r="AR526" t="s">
        <v>5312</v>
      </c>
      <c r="AS526" t="s">
        <v>6299</v>
      </c>
      <c r="AT526">
        <v>39000</v>
      </c>
      <c r="AX526" t="s">
        <v>6428</v>
      </c>
      <c r="BA526" t="s">
        <v>6477</v>
      </c>
      <c r="BD526" t="s">
        <v>222</v>
      </c>
    </row>
    <row r="527" spans="1:57">
      <c r="A527" s="1">
        <f>HYPERLINK("https://lsnyc.legalserver.org/matter/dynamic-profile/view/1876483","18-1876483")</f>
        <v>0</v>
      </c>
      <c r="B527" t="s">
        <v>59</v>
      </c>
      <c r="C527" t="s">
        <v>157</v>
      </c>
      <c r="D527" t="s">
        <v>214</v>
      </c>
      <c r="E527" t="s">
        <v>424</v>
      </c>
      <c r="G527" t="s">
        <v>1013</v>
      </c>
      <c r="H527" t="s">
        <v>1728</v>
      </c>
      <c r="J527" t="s">
        <v>2543</v>
      </c>
      <c r="K527" t="s">
        <v>3035</v>
      </c>
      <c r="L527" t="s">
        <v>3330</v>
      </c>
      <c r="M527" t="s">
        <v>3379</v>
      </c>
      <c r="N527">
        <v>10031</v>
      </c>
      <c r="O527" t="s">
        <v>3381</v>
      </c>
      <c r="P527" t="s">
        <v>3381</v>
      </c>
      <c r="Q527" t="s">
        <v>3390</v>
      </c>
      <c r="R527" t="s">
        <v>3813</v>
      </c>
      <c r="S527">
        <v>17</v>
      </c>
      <c r="T527" t="s">
        <v>4197</v>
      </c>
      <c r="U527" t="s">
        <v>4223</v>
      </c>
      <c r="W527" t="s">
        <v>4243</v>
      </c>
      <c r="X527" t="s">
        <v>3382</v>
      </c>
      <c r="Y527" t="s">
        <v>3382</v>
      </c>
      <c r="AA527" t="s">
        <v>4256</v>
      </c>
      <c r="AC527">
        <v>0</v>
      </c>
      <c r="AD527">
        <v>1211</v>
      </c>
      <c r="AE527">
        <v>32.5</v>
      </c>
      <c r="AG527" t="s">
        <v>4785</v>
      </c>
      <c r="AI527" t="s">
        <v>5825</v>
      </c>
      <c r="AJ527">
        <v>44</v>
      </c>
      <c r="AL527">
        <v>2</v>
      </c>
      <c r="AM527">
        <v>0</v>
      </c>
      <c r="AN527">
        <v>14.53</v>
      </c>
      <c r="AQ527" t="s">
        <v>6287</v>
      </c>
      <c r="AS527" t="s">
        <v>6299</v>
      </c>
      <c r="AT527">
        <v>2392</v>
      </c>
      <c r="AX527" t="s">
        <v>6429</v>
      </c>
      <c r="BA527" t="s">
        <v>6483</v>
      </c>
      <c r="BD527" t="s">
        <v>221</v>
      </c>
    </row>
    <row r="528" spans="1:57">
      <c r="A528" s="1">
        <f>HYPERLINK("https://lsnyc.legalserver.org/matter/dynamic-profile/view/1913137","19-1913137")</f>
        <v>0</v>
      </c>
      <c r="B528" t="s">
        <v>59</v>
      </c>
      <c r="C528" t="s">
        <v>157</v>
      </c>
      <c r="D528" t="s">
        <v>214</v>
      </c>
      <c r="E528" t="s">
        <v>259</v>
      </c>
      <c r="G528" t="s">
        <v>795</v>
      </c>
      <c r="H528" t="s">
        <v>1473</v>
      </c>
      <c r="J528" t="s">
        <v>2544</v>
      </c>
      <c r="K528" t="s">
        <v>3007</v>
      </c>
      <c r="L528" t="s">
        <v>3330</v>
      </c>
      <c r="M528" t="s">
        <v>3379</v>
      </c>
      <c r="N528">
        <v>10031</v>
      </c>
      <c r="O528" t="s">
        <v>3380</v>
      </c>
      <c r="P528" t="s">
        <v>3381</v>
      </c>
      <c r="Q528" t="s">
        <v>3392</v>
      </c>
      <c r="S528">
        <v>37</v>
      </c>
      <c r="T528" t="s">
        <v>4199</v>
      </c>
      <c r="U528" t="s">
        <v>4225</v>
      </c>
      <c r="W528" t="s">
        <v>4244</v>
      </c>
      <c r="X528" t="s">
        <v>3382</v>
      </c>
      <c r="Z528" t="s">
        <v>4243</v>
      </c>
      <c r="AA528" t="s">
        <v>4256</v>
      </c>
      <c r="AB528" t="s">
        <v>4262</v>
      </c>
      <c r="AC528">
        <v>0</v>
      </c>
      <c r="AD528">
        <v>346</v>
      </c>
      <c r="AE528">
        <v>2.5</v>
      </c>
      <c r="AG528" t="s">
        <v>4786</v>
      </c>
      <c r="AJ528">
        <v>0</v>
      </c>
      <c r="AK528" t="s">
        <v>6267</v>
      </c>
      <c r="AL528">
        <v>1</v>
      </c>
      <c r="AM528">
        <v>0</v>
      </c>
      <c r="AN528">
        <v>78.11</v>
      </c>
      <c r="AS528" t="s">
        <v>6298</v>
      </c>
      <c r="AT528">
        <v>9756</v>
      </c>
      <c r="AX528" t="s">
        <v>173</v>
      </c>
      <c r="BA528" t="s">
        <v>6511</v>
      </c>
      <c r="BD528" t="s">
        <v>219</v>
      </c>
      <c r="BE528" t="s">
        <v>6702</v>
      </c>
    </row>
    <row r="529" spans="1:57">
      <c r="A529" s="1">
        <f>HYPERLINK("https://lsnyc.legalserver.org/matter/dynamic-profile/view/1893563","19-1893563")</f>
        <v>0</v>
      </c>
      <c r="B529" t="s">
        <v>59</v>
      </c>
      <c r="C529" t="s">
        <v>157</v>
      </c>
      <c r="D529" t="s">
        <v>214</v>
      </c>
      <c r="E529" t="s">
        <v>427</v>
      </c>
      <c r="G529" t="s">
        <v>1014</v>
      </c>
      <c r="H529" t="s">
        <v>1729</v>
      </c>
      <c r="J529" t="s">
        <v>2545</v>
      </c>
      <c r="K529" t="s">
        <v>3027</v>
      </c>
      <c r="L529" t="s">
        <v>3330</v>
      </c>
      <c r="M529" t="s">
        <v>3379</v>
      </c>
      <c r="N529">
        <v>10031</v>
      </c>
      <c r="O529" t="s">
        <v>3382</v>
      </c>
      <c r="P529" t="s">
        <v>3382</v>
      </c>
      <c r="Q529" t="s">
        <v>3386</v>
      </c>
      <c r="R529" t="s">
        <v>3814</v>
      </c>
      <c r="S529">
        <v>46</v>
      </c>
      <c r="T529" t="s">
        <v>4196</v>
      </c>
      <c r="U529" t="s">
        <v>4223</v>
      </c>
      <c r="W529" t="s">
        <v>4242</v>
      </c>
      <c r="X529" t="s">
        <v>3382</v>
      </c>
      <c r="Y529" t="s">
        <v>3382</v>
      </c>
      <c r="AA529" t="s">
        <v>4256</v>
      </c>
      <c r="AC529">
        <v>0</v>
      </c>
      <c r="AD529">
        <v>843.76</v>
      </c>
      <c r="AE529">
        <v>21.7</v>
      </c>
      <c r="AG529" t="s">
        <v>4787</v>
      </c>
      <c r="AI529" t="s">
        <v>5826</v>
      </c>
      <c r="AJ529">
        <v>0</v>
      </c>
      <c r="AK529" t="s">
        <v>6269</v>
      </c>
      <c r="AL529">
        <v>1</v>
      </c>
      <c r="AM529">
        <v>0</v>
      </c>
      <c r="AN529">
        <v>225.78</v>
      </c>
      <c r="AQ529" t="s">
        <v>6287</v>
      </c>
      <c r="AR529" t="s">
        <v>6293</v>
      </c>
      <c r="AS529" t="s">
        <v>6298</v>
      </c>
      <c r="AT529">
        <v>28200</v>
      </c>
      <c r="AX529" t="s">
        <v>6428</v>
      </c>
      <c r="BA529" t="s">
        <v>6565</v>
      </c>
      <c r="BD529" t="s">
        <v>267</v>
      </c>
    </row>
    <row r="530" spans="1:57">
      <c r="A530" s="1">
        <f>HYPERLINK("https://lsnyc.legalserver.org/matter/dynamic-profile/view/1896154","19-1896154")</f>
        <v>0</v>
      </c>
      <c r="B530" t="s">
        <v>59</v>
      </c>
      <c r="C530" t="s">
        <v>157</v>
      </c>
      <c r="D530" t="s">
        <v>214</v>
      </c>
      <c r="E530" t="s">
        <v>414</v>
      </c>
      <c r="G530" t="s">
        <v>1015</v>
      </c>
      <c r="H530" t="s">
        <v>1582</v>
      </c>
      <c r="J530" t="s">
        <v>2546</v>
      </c>
      <c r="K530">
        <v>43</v>
      </c>
      <c r="L530" t="s">
        <v>3330</v>
      </c>
      <c r="M530" t="s">
        <v>3379</v>
      </c>
      <c r="N530">
        <v>10031</v>
      </c>
      <c r="O530" t="s">
        <v>3380</v>
      </c>
      <c r="P530" t="s">
        <v>3380</v>
      </c>
      <c r="Q530" t="s">
        <v>3391</v>
      </c>
      <c r="S530">
        <v>19</v>
      </c>
      <c r="T530" t="s">
        <v>4196</v>
      </c>
      <c r="U530" t="s">
        <v>4223</v>
      </c>
      <c r="W530" t="s">
        <v>4242</v>
      </c>
      <c r="X530" t="s">
        <v>3382</v>
      </c>
      <c r="Y530" t="s">
        <v>3382</v>
      </c>
      <c r="AA530" t="s">
        <v>4256</v>
      </c>
      <c r="AC530">
        <v>0</v>
      </c>
      <c r="AD530">
        <v>816.91</v>
      </c>
      <c r="AE530">
        <v>2.4</v>
      </c>
      <c r="AG530" t="s">
        <v>4788</v>
      </c>
      <c r="AI530" t="s">
        <v>5827</v>
      </c>
      <c r="AJ530">
        <v>0</v>
      </c>
      <c r="AL530">
        <v>2</v>
      </c>
      <c r="AM530">
        <v>0</v>
      </c>
      <c r="AN530">
        <v>56.77</v>
      </c>
      <c r="AQ530" t="s">
        <v>6287</v>
      </c>
      <c r="AT530">
        <v>9600</v>
      </c>
      <c r="AX530" t="s">
        <v>6431</v>
      </c>
      <c r="BA530" t="s">
        <v>6477</v>
      </c>
      <c r="BD530" t="s">
        <v>244</v>
      </c>
    </row>
    <row r="531" spans="1:57">
      <c r="A531" s="1">
        <f>HYPERLINK("https://lsnyc.legalserver.org/matter/dynamic-profile/view/1911058","19-1911058")</f>
        <v>0</v>
      </c>
      <c r="B531" t="s">
        <v>59</v>
      </c>
      <c r="C531" t="s">
        <v>157</v>
      </c>
      <c r="D531" t="s">
        <v>214</v>
      </c>
      <c r="E531" t="s">
        <v>234</v>
      </c>
      <c r="G531" t="s">
        <v>687</v>
      </c>
      <c r="H531" t="s">
        <v>1730</v>
      </c>
      <c r="J531" t="s">
        <v>2547</v>
      </c>
      <c r="K531" t="s">
        <v>3069</v>
      </c>
      <c r="L531" t="s">
        <v>3330</v>
      </c>
      <c r="M531" t="s">
        <v>3379</v>
      </c>
      <c r="N531">
        <v>10031</v>
      </c>
      <c r="O531" t="s">
        <v>3380</v>
      </c>
      <c r="P531" t="s">
        <v>3381</v>
      </c>
      <c r="Q531" t="s">
        <v>3384</v>
      </c>
      <c r="R531" t="s">
        <v>3815</v>
      </c>
      <c r="S531">
        <v>72</v>
      </c>
      <c r="T531" t="s">
        <v>4196</v>
      </c>
      <c r="U531" t="s">
        <v>4223</v>
      </c>
      <c r="W531" t="s">
        <v>4242</v>
      </c>
      <c r="X531" t="s">
        <v>3382</v>
      </c>
      <c r="Y531" t="s">
        <v>3382</v>
      </c>
      <c r="AA531" t="s">
        <v>4256</v>
      </c>
      <c r="AC531">
        <v>0</v>
      </c>
      <c r="AD531">
        <v>450</v>
      </c>
      <c r="AE531">
        <v>3.75</v>
      </c>
      <c r="AG531" t="s">
        <v>4789</v>
      </c>
      <c r="AI531" t="s">
        <v>5828</v>
      </c>
      <c r="AJ531">
        <v>134</v>
      </c>
      <c r="AK531" t="s">
        <v>6269</v>
      </c>
      <c r="AL531">
        <v>1</v>
      </c>
      <c r="AM531">
        <v>0</v>
      </c>
      <c r="AN531">
        <v>74.08</v>
      </c>
      <c r="AR531" t="s">
        <v>5312</v>
      </c>
      <c r="AS531" t="s">
        <v>6298</v>
      </c>
      <c r="AT531">
        <v>9252</v>
      </c>
      <c r="AX531" t="s">
        <v>6428</v>
      </c>
      <c r="BA531" t="s">
        <v>6487</v>
      </c>
      <c r="BD531" t="s">
        <v>237</v>
      </c>
      <c r="BE531" t="s">
        <v>6702</v>
      </c>
    </row>
    <row r="532" spans="1:57">
      <c r="A532" s="1">
        <f>HYPERLINK("https://lsnyc.legalserver.org/matter/dynamic-profile/view/1913750","19-1913750")</f>
        <v>0</v>
      </c>
      <c r="B532" t="s">
        <v>59</v>
      </c>
      <c r="C532" t="s">
        <v>157</v>
      </c>
      <c r="D532" t="s">
        <v>214</v>
      </c>
      <c r="E532" t="s">
        <v>266</v>
      </c>
      <c r="G532" t="s">
        <v>1016</v>
      </c>
      <c r="H532" t="s">
        <v>1731</v>
      </c>
      <c r="J532" t="s">
        <v>2548</v>
      </c>
      <c r="K532">
        <v>23</v>
      </c>
      <c r="L532" t="s">
        <v>3330</v>
      </c>
      <c r="M532" t="s">
        <v>3379</v>
      </c>
      <c r="N532">
        <v>10031</v>
      </c>
      <c r="O532" t="s">
        <v>3380</v>
      </c>
      <c r="P532" t="s">
        <v>3381</v>
      </c>
      <c r="Q532" t="s">
        <v>3384</v>
      </c>
      <c r="R532" t="s">
        <v>3816</v>
      </c>
      <c r="S532">
        <v>2</v>
      </c>
      <c r="T532" t="s">
        <v>4196</v>
      </c>
      <c r="U532" t="s">
        <v>4223</v>
      </c>
      <c r="W532" t="s">
        <v>4242</v>
      </c>
      <c r="X532" t="s">
        <v>3382</v>
      </c>
      <c r="Y532" t="s">
        <v>3382</v>
      </c>
      <c r="AA532" t="s">
        <v>4256</v>
      </c>
      <c r="AC532">
        <v>0</v>
      </c>
      <c r="AD532">
        <v>2735</v>
      </c>
      <c r="AE532">
        <v>1.1</v>
      </c>
      <c r="AG532" t="s">
        <v>4790</v>
      </c>
      <c r="AJ532">
        <v>0</v>
      </c>
      <c r="AK532" t="s">
        <v>6266</v>
      </c>
      <c r="AL532">
        <v>2</v>
      </c>
      <c r="AM532">
        <v>4</v>
      </c>
      <c r="AN532">
        <v>70.36</v>
      </c>
      <c r="AR532" t="s">
        <v>5312</v>
      </c>
      <c r="AS532" t="s">
        <v>6299</v>
      </c>
      <c r="AT532">
        <v>24336</v>
      </c>
      <c r="AX532" t="s">
        <v>6428</v>
      </c>
      <c r="BA532" t="s">
        <v>6473</v>
      </c>
      <c r="BD532" t="s">
        <v>217</v>
      </c>
      <c r="BE532" t="s">
        <v>6702</v>
      </c>
    </row>
    <row r="533" spans="1:57">
      <c r="A533" s="1">
        <f>HYPERLINK("https://lsnyc.legalserver.org/matter/dynamic-profile/view/1909363","19-1909363")</f>
        <v>0</v>
      </c>
      <c r="B533" t="s">
        <v>59</v>
      </c>
      <c r="C533" t="s">
        <v>157</v>
      </c>
      <c r="D533" t="s">
        <v>214</v>
      </c>
      <c r="E533" t="s">
        <v>236</v>
      </c>
      <c r="G533" t="s">
        <v>889</v>
      </c>
      <c r="H533" t="s">
        <v>1732</v>
      </c>
      <c r="J533" t="s">
        <v>2549</v>
      </c>
      <c r="K533">
        <v>38</v>
      </c>
      <c r="L533" t="s">
        <v>3330</v>
      </c>
      <c r="M533" t="s">
        <v>3379</v>
      </c>
      <c r="N533">
        <v>10030</v>
      </c>
      <c r="O533" t="s">
        <v>3381</v>
      </c>
      <c r="P533" t="s">
        <v>3381</v>
      </c>
      <c r="Q533" t="s">
        <v>3388</v>
      </c>
      <c r="R533" t="s">
        <v>3817</v>
      </c>
      <c r="S533">
        <v>8</v>
      </c>
      <c r="T533" t="s">
        <v>4196</v>
      </c>
      <c r="U533" t="s">
        <v>4223</v>
      </c>
      <c r="W533" t="s">
        <v>4243</v>
      </c>
      <c r="X533" t="s">
        <v>3382</v>
      </c>
      <c r="Y533" t="s">
        <v>3382</v>
      </c>
      <c r="AA533" t="s">
        <v>4256</v>
      </c>
      <c r="AC533">
        <v>0</v>
      </c>
      <c r="AD533">
        <v>350.77</v>
      </c>
      <c r="AE533">
        <v>4</v>
      </c>
      <c r="AG533" t="s">
        <v>4791</v>
      </c>
      <c r="AI533" t="s">
        <v>5829</v>
      </c>
      <c r="AJ533">
        <v>72</v>
      </c>
      <c r="AK533" t="s">
        <v>6269</v>
      </c>
      <c r="AL533">
        <v>1</v>
      </c>
      <c r="AM533">
        <v>0</v>
      </c>
      <c r="AN533">
        <v>134.51</v>
      </c>
      <c r="AT533">
        <v>16800</v>
      </c>
      <c r="AX533" t="s">
        <v>6433</v>
      </c>
      <c r="BA533" t="s">
        <v>6487</v>
      </c>
      <c r="BD533" t="s">
        <v>316</v>
      </c>
    </row>
    <row r="534" spans="1:57">
      <c r="A534" s="1">
        <f>HYPERLINK("https://lsnyc.legalserver.org/matter/dynamic-profile/view/1884202","18-1884202")</f>
        <v>0</v>
      </c>
      <c r="B534" t="s">
        <v>59</v>
      </c>
      <c r="C534" t="s">
        <v>157</v>
      </c>
      <c r="D534" t="s">
        <v>214</v>
      </c>
      <c r="E534" t="s">
        <v>413</v>
      </c>
      <c r="G534" t="s">
        <v>929</v>
      </c>
      <c r="H534" t="s">
        <v>1733</v>
      </c>
      <c r="J534" t="s">
        <v>2550</v>
      </c>
      <c r="K534" t="s">
        <v>3007</v>
      </c>
      <c r="L534" t="s">
        <v>3330</v>
      </c>
      <c r="M534" t="s">
        <v>3379</v>
      </c>
      <c r="N534">
        <v>10027</v>
      </c>
      <c r="O534" t="s">
        <v>3380</v>
      </c>
      <c r="P534" t="s">
        <v>3380</v>
      </c>
      <c r="Q534" t="s">
        <v>3383</v>
      </c>
      <c r="R534" t="s">
        <v>3818</v>
      </c>
      <c r="S534">
        <v>10</v>
      </c>
      <c r="T534" t="s">
        <v>4196</v>
      </c>
      <c r="U534" t="s">
        <v>4229</v>
      </c>
      <c r="W534" t="s">
        <v>4242</v>
      </c>
      <c r="X534" t="s">
        <v>3382</v>
      </c>
      <c r="Y534" t="s">
        <v>3382</v>
      </c>
      <c r="AA534" t="s">
        <v>4258</v>
      </c>
      <c r="AC534">
        <v>0</v>
      </c>
      <c r="AD534">
        <v>407</v>
      </c>
      <c r="AE534">
        <v>2.3</v>
      </c>
      <c r="AG534" t="s">
        <v>4792</v>
      </c>
      <c r="AI534" t="s">
        <v>5830</v>
      </c>
      <c r="AJ534">
        <v>878</v>
      </c>
      <c r="AK534" t="s">
        <v>6270</v>
      </c>
      <c r="AL534">
        <v>2</v>
      </c>
      <c r="AM534">
        <v>0</v>
      </c>
      <c r="AN534">
        <v>104.98</v>
      </c>
      <c r="AQ534" t="s">
        <v>6287</v>
      </c>
      <c r="AR534" t="s">
        <v>5312</v>
      </c>
      <c r="AS534" t="s">
        <v>6298</v>
      </c>
      <c r="AT534">
        <v>17280</v>
      </c>
      <c r="AX534" t="s">
        <v>6434</v>
      </c>
      <c r="BA534" t="s">
        <v>6487</v>
      </c>
      <c r="BD534" t="s">
        <v>273</v>
      </c>
    </row>
    <row r="535" spans="1:57">
      <c r="A535" s="1">
        <f>HYPERLINK("https://lsnyc.legalserver.org/matter/dynamic-profile/view/1904908","19-1904908")</f>
        <v>0</v>
      </c>
      <c r="B535" t="s">
        <v>59</v>
      </c>
      <c r="C535" t="s">
        <v>157</v>
      </c>
      <c r="D535" t="s">
        <v>214</v>
      </c>
      <c r="E535" t="s">
        <v>258</v>
      </c>
      <c r="G535" t="s">
        <v>592</v>
      </c>
      <c r="H535" t="s">
        <v>1332</v>
      </c>
      <c r="J535" t="s">
        <v>2551</v>
      </c>
      <c r="K535" t="s">
        <v>3216</v>
      </c>
      <c r="L535" t="s">
        <v>3330</v>
      </c>
      <c r="M535" t="s">
        <v>3379</v>
      </c>
      <c r="N535">
        <v>10027</v>
      </c>
      <c r="O535" t="s">
        <v>3380</v>
      </c>
      <c r="P535" t="s">
        <v>3381</v>
      </c>
      <c r="Q535" t="s">
        <v>3384</v>
      </c>
      <c r="R535" t="s">
        <v>3819</v>
      </c>
      <c r="S535">
        <v>11</v>
      </c>
      <c r="T535" t="s">
        <v>4196</v>
      </c>
      <c r="U535" t="s">
        <v>4223</v>
      </c>
      <c r="W535" t="s">
        <v>4242</v>
      </c>
      <c r="X535" t="s">
        <v>3382</v>
      </c>
      <c r="Y535" t="s">
        <v>3382</v>
      </c>
      <c r="AA535" t="s">
        <v>4258</v>
      </c>
      <c r="AC535">
        <v>0</v>
      </c>
      <c r="AD535">
        <v>986</v>
      </c>
      <c r="AE535">
        <v>5.6</v>
      </c>
      <c r="AG535" t="s">
        <v>4793</v>
      </c>
      <c r="AI535" t="s">
        <v>5831</v>
      </c>
      <c r="AJ535">
        <v>1128</v>
      </c>
      <c r="AK535" t="s">
        <v>6270</v>
      </c>
      <c r="AL535">
        <v>4</v>
      </c>
      <c r="AM535">
        <v>0</v>
      </c>
      <c r="AN535">
        <v>54.37</v>
      </c>
      <c r="AT535">
        <v>14000</v>
      </c>
      <c r="AX535" t="s">
        <v>6431</v>
      </c>
      <c r="BA535" t="s">
        <v>6505</v>
      </c>
      <c r="BD535" t="s">
        <v>217</v>
      </c>
      <c r="BE535" t="s">
        <v>6702</v>
      </c>
    </row>
    <row r="536" spans="1:57">
      <c r="A536" s="1">
        <f>HYPERLINK("https://lsnyc.legalserver.org/matter/dynamic-profile/view/1905015","19-1905015")</f>
        <v>0</v>
      </c>
      <c r="B536" t="s">
        <v>59</v>
      </c>
      <c r="C536" t="s">
        <v>157</v>
      </c>
      <c r="D536" t="s">
        <v>214</v>
      </c>
      <c r="E536" t="s">
        <v>258</v>
      </c>
      <c r="G536" t="s">
        <v>1017</v>
      </c>
      <c r="H536" t="s">
        <v>1734</v>
      </c>
      <c r="J536" t="s">
        <v>2552</v>
      </c>
      <c r="K536" t="s">
        <v>3217</v>
      </c>
      <c r="L536" t="s">
        <v>3330</v>
      </c>
      <c r="M536" t="s">
        <v>3379</v>
      </c>
      <c r="N536">
        <v>10027</v>
      </c>
      <c r="O536" t="s">
        <v>3381</v>
      </c>
      <c r="P536" t="s">
        <v>3381</v>
      </c>
      <c r="R536" t="s">
        <v>3820</v>
      </c>
      <c r="S536">
        <v>0</v>
      </c>
      <c r="T536" t="s">
        <v>4196</v>
      </c>
      <c r="U536" t="s">
        <v>4223</v>
      </c>
      <c r="W536" t="s">
        <v>4242</v>
      </c>
      <c r="X536" t="s">
        <v>3382</v>
      </c>
      <c r="Y536" t="s">
        <v>3382</v>
      </c>
      <c r="AA536" t="s">
        <v>4258</v>
      </c>
      <c r="AC536">
        <v>0</v>
      </c>
      <c r="AD536">
        <v>0</v>
      </c>
      <c r="AE536">
        <v>2.9</v>
      </c>
      <c r="AG536" t="s">
        <v>4794</v>
      </c>
      <c r="AI536" t="s">
        <v>5832</v>
      </c>
      <c r="AJ536">
        <v>0</v>
      </c>
      <c r="AL536">
        <v>1</v>
      </c>
      <c r="AM536">
        <v>0</v>
      </c>
      <c r="AN536">
        <v>0</v>
      </c>
      <c r="AS536" t="s">
        <v>6298</v>
      </c>
      <c r="AT536">
        <v>0</v>
      </c>
      <c r="AX536" t="s">
        <v>6430</v>
      </c>
      <c r="BA536" t="s">
        <v>6479</v>
      </c>
      <c r="BD536" t="s">
        <v>326</v>
      </c>
    </row>
    <row r="537" spans="1:57">
      <c r="A537" s="1">
        <f>HYPERLINK("https://lsnyc.legalserver.org/matter/dynamic-profile/view/1910994","19-1910994")</f>
        <v>0</v>
      </c>
      <c r="B537" t="s">
        <v>59</v>
      </c>
      <c r="C537" t="s">
        <v>157</v>
      </c>
      <c r="D537" t="s">
        <v>214</v>
      </c>
      <c r="E537" t="s">
        <v>234</v>
      </c>
      <c r="G537" t="s">
        <v>1018</v>
      </c>
      <c r="H537" t="s">
        <v>1364</v>
      </c>
      <c r="J537" t="s">
        <v>2553</v>
      </c>
      <c r="K537" t="s">
        <v>3015</v>
      </c>
      <c r="L537" t="s">
        <v>3330</v>
      </c>
      <c r="M537" t="s">
        <v>3379</v>
      </c>
      <c r="N537">
        <v>10027</v>
      </c>
      <c r="O537" t="s">
        <v>3380</v>
      </c>
      <c r="P537" t="s">
        <v>3381</v>
      </c>
      <c r="Q537" t="s">
        <v>3384</v>
      </c>
      <c r="R537" t="s">
        <v>3821</v>
      </c>
      <c r="S537">
        <v>16</v>
      </c>
      <c r="T537" t="s">
        <v>4196</v>
      </c>
      <c r="U537" t="s">
        <v>4224</v>
      </c>
      <c r="W537" t="s">
        <v>4242</v>
      </c>
      <c r="X537" t="s">
        <v>3382</v>
      </c>
      <c r="Y537" t="s">
        <v>3382</v>
      </c>
      <c r="AA537" t="s">
        <v>4256</v>
      </c>
      <c r="AB537" t="s">
        <v>4261</v>
      </c>
      <c r="AC537">
        <v>0</v>
      </c>
      <c r="AD537">
        <v>890</v>
      </c>
      <c r="AE537">
        <v>0</v>
      </c>
      <c r="AG537" t="s">
        <v>4795</v>
      </c>
      <c r="AI537" t="s">
        <v>5833</v>
      </c>
      <c r="AJ537">
        <v>0</v>
      </c>
      <c r="AK537" t="s">
        <v>6266</v>
      </c>
      <c r="AL537">
        <v>2</v>
      </c>
      <c r="AM537">
        <v>2</v>
      </c>
      <c r="AN537">
        <v>181.75</v>
      </c>
      <c r="AR537" t="s">
        <v>5312</v>
      </c>
      <c r="AS537" t="s">
        <v>6298</v>
      </c>
      <c r="AT537">
        <v>46800</v>
      </c>
      <c r="AX537" t="s">
        <v>6428</v>
      </c>
      <c r="BA537" t="s">
        <v>6477</v>
      </c>
      <c r="BE537" t="s">
        <v>6702</v>
      </c>
    </row>
    <row r="538" spans="1:57">
      <c r="A538" s="1">
        <f>HYPERLINK("https://lsnyc.legalserver.org/matter/dynamic-profile/view/1914751","19-1914751")</f>
        <v>0</v>
      </c>
      <c r="B538" t="s">
        <v>59</v>
      </c>
      <c r="C538" t="s">
        <v>157</v>
      </c>
      <c r="D538" t="s">
        <v>214</v>
      </c>
      <c r="E538" t="s">
        <v>341</v>
      </c>
      <c r="G538" t="s">
        <v>1019</v>
      </c>
      <c r="H538" t="s">
        <v>1475</v>
      </c>
      <c r="J538" t="s">
        <v>2554</v>
      </c>
      <c r="K538">
        <v>1006</v>
      </c>
      <c r="L538" t="s">
        <v>3330</v>
      </c>
      <c r="M538" t="s">
        <v>3379</v>
      </c>
      <c r="N538">
        <v>10027</v>
      </c>
      <c r="O538" t="s">
        <v>3381</v>
      </c>
      <c r="P538" t="s">
        <v>3381</v>
      </c>
      <c r="Q538" t="s">
        <v>3388</v>
      </c>
      <c r="S538">
        <v>1</v>
      </c>
      <c r="T538" t="s">
        <v>4196</v>
      </c>
      <c r="U538" t="s">
        <v>4223</v>
      </c>
      <c r="W538" t="s">
        <v>4243</v>
      </c>
      <c r="X538" t="s">
        <v>3382</v>
      </c>
      <c r="AA538" t="s">
        <v>4256</v>
      </c>
      <c r="AC538">
        <v>0</v>
      </c>
      <c r="AD538">
        <v>341.54</v>
      </c>
      <c r="AE538">
        <v>0.2</v>
      </c>
      <c r="AG538" t="s">
        <v>4796</v>
      </c>
      <c r="AI538" t="s">
        <v>5834</v>
      </c>
      <c r="AJ538">
        <v>60</v>
      </c>
      <c r="AK538" t="s">
        <v>6267</v>
      </c>
      <c r="AL538">
        <v>1</v>
      </c>
      <c r="AM538">
        <v>0</v>
      </c>
      <c r="AN538">
        <v>116.57</v>
      </c>
      <c r="AS538" t="s">
        <v>6298</v>
      </c>
      <c r="AT538">
        <v>14560</v>
      </c>
      <c r="AX538" t="s">
        <v>6433</v>
      </c>
      <c r="BA538" t="s">
        <v>6477</v>
      </c>
      <c r="BD538" t="s">
        <v>217</v>
      </c>
    </row>
    <row r="539" spans="1:57">
      <c r="A539" s="1">
        <f>HYPERLINK("https://lsnyc.legalserver.org/matter/dynamic-profile/view/1915452","19-1915452")</f>
        <v>0</v>
      </c>
      <c r="B539" t="s">
        <v>59</v>
      </c>
      <c r="C539" t="s">
        <v>157</v>
      </c>
      <c r="D539" t="s">
        <v>214</v>
      </c>
      <c r="E539" t="s">
        <v>231</v>
      </c>
      <c r="G539" t="s">
        <v>1020</v>
      </c>
      <c r="H539" t="s">
        <v>1735</v>
      </c>
      <c r="J539" t="s">
        <v>2555</v>
      </c>
      <c r="K539">
        <v>316</v>
      </c>
      <c r="L539" t="s">
        <v>3330</v>
      </c>
      <c r="M539" t="s">
        <v>3379</v>
      </c>
      <c r="N539">
        <v>10027</v>
      </c>
      <c r="O539" t="s">
        <v>3380</v>
      </c>
      <c r="P539" t="s">
        <v>3381</v>
      </c>
      <c r="R539" t="s">
        <v>3822</v>
      </c>
      <c r="S539">
        <v>-1</v>
      </c>
      <c r="T539" t="s">
        <v>4196</v>
      </c>
      <c r="U539" t="s">
        <v>4224</v>
      </c>
      <c r="W539" t="s">
        <v>4242</v>
      </c>
      <c r="X539" t="s">
        <v>3382</v>
      </c>
      <c r="Y539" t="s">
        <v>3382</v>
      </c>
      <c r="AA539" t="s">
        <v>4256</v>
      </c>
      <c r="AB539" t="s">
        <v>4261</v>
      </c>
      <c r="AC539">
        <v>0</v>
      </c>
      <c r="AD539">
        <v>1600</v>
      </c>
      <c r="AE539">
        <v>2.1</v>
      </c>
      <c r="AG539" t="s">
        <v>4797</v>
      </c>
      <c r="AI539" t="s">
        <v>5835</v>
      </c>
      <c r="AJ539">
        <v>0</v>
      </c>
      <c r="AK539" t="s">
        <v>6266</v>
      </c>
      <c r="AL539">
        <v>1</v>
      </c>
      <c r="AM539">
        <v>0</v>
      </c>
      <c r="AN539">
        <v>20.08</v>
      </c>
      <c r="AR539" t="s">
        <v>5312</v>
      </c>
      <c r="AS539" t="s">
        <v>6298</v>
      </c>
      <c r="AT539">
        <v>2508</v>
      </c>
      <c r="AX539" t="s">
        <v>6428</v>
      </c>
      <c r="BA539" t="s">
        <v>6477</v>
      </c>
      <c r="BD539" t="s">
        <v>231</v>
      </c>
      <c r="BE539" t="s">
        <v>6702</v>
      </c>
    </row>
    <row r="540" spans="1:57">
      <c r="A540" s="1">
        <f>HYPERLINK("https://lsnyc.legalserver.org/matter/dynamic-profile/view/1911050","19-1911050")</f>
        <v>0</v>
      </c>
      <c r="B540" t="s">
        <v>59</v>
      </c>
      <c r="C540" t="s">
        <v>157</v>
      </c>
      <c r="D540" t="s">
        <v>214</v>
      </c>
      <c r="E540" t="s">
        <v>234</v>
      </c>
      <c r="G540" t="s">
        <v>1021</v>
      </c>
      <c r="H540" t="s">
        <v>1736</v>
      </c>
      <c r="J540" t="s">
        <v>2556</v>
      </c>
      <c r="K540" t="s">
        <v>3218</v>
      </c>
      <c r="L540" t="s">
        <v>3330</v>
      </c>
      <c r="M540" t="s">
        <v>3379</v>
      </c>
      <c r="N540">
        <v>10026</v>
      </c>
      <c r="O540" t="s">
        <v>3380</v>
      </c>
      <c r="P540" t="s">
        <v>3381</v>
      </c>
      <c r="Q540" t="s">
        <v>3383</v>
      </c>
      <c r="R540" t="s">
        <v>3823</v>
      </c>
      <c r="S540">
        <v>34</v>
      </c>
      <c r="T540" t="s">
        <v>4197</v>
      </c>
      <c r="U540" t="s">
        <v>4223</v>
      </c>
      <c r="W540" t="s">
        <v>4242</v>
      </c>
      <c r="X540" t="s">
        <v>3382</v>
      </c>
      <c r="Y540" t="s">
        <v>3382</v>
      </c>
      <c r="AA540" t="s">
        <v>4256</v>
      </c>
      <c r="AB540" t="s">
        <v>4261</v>
      </c>
      <c r="AC540">
        <v>0</v>
      </c>
      <c r="AD540">
        <v>350</v>
      </c>
      <c r="AE540">
        <v>1.25</v>
      </c>
      <c r="AG540" t="s">
        <v>4798</v>
      </c>
      <c r="AI540" t="s">
        <v>5836</v>
      </c>
      <c r="AJ540">
        <v>0</v>
      </c>
      <c r="AK540" t="s">
        <v>6266</v>
      </c>
      <c r="AL540">
        <v>1</v>
      </c>
      <c r="AM540">
        <v>0</v>
      </c>
      <c r="AN540">
        <v>120.1</v>
      </c>
      <c r="AR540" t="s">
        <v>5312</v>
      </c>
      <c r="AS540" t="s">
        <v>6298</v>
      </c>
      <c r="AT540">
        <v>15000</v>
      </c>
      <c r="AX540" t="s">
        <v>6428</v>
      </c>
      <c r="BA540" t="s">
        <v>6477</v>
      </c>
      <c r="BD540" t="s">
        <v>313</v>
      </c>
      <c r="BE540" t="s">
        <v>6702</v>
      </c>
    </row>
    <row r="541" spans="1:57">
      <c r="A541" s="1">
        <f>HYPERLINK("https://lsnyc.legalserver.org/matter/dynamic-profile/view/1914279","19-1914279")</f>
        <v>0</v>
      </c>
      <c r="B541" t="s">
        <v>59</v>
      </c>
      <c r="C541" t="s">
        <v>157</v>
      </c>
      <c r="D541" t="s">
        <v>214</v>
      </c>
      <c r="E541" t="s">
        <v>230</v>
      </c>
      <c r="G541" t="s">
        <v>1022</v>
      </c>
      <c r="H541" t="s">
        <v>1737</v>
      </c>
      <c r="J541" t="s">
        <v>2557</v>
      </c>
      <c r="K541" t="s">
        <v>3017</v>
      </c>
      <c r="L541" t="s">
        <v>3330</v>
      </c>
      <c r="M541" t="s">
        <v>3379</v>
      </c>
      <c r="N541">
        <v>10026</v>
      </c>
      <c r="O541" t="s">
        <v>3382</v>
      </c>
      <c r="P541" t="s">
        <v>3381</v>
      </c>
      <c r="Q541" t="s">
        <v>3388</v>
      </c>
      <c r="S541">
        <v>20</v>
      </c>
      <c r="T541" t="s">
        <v>4199</v>
      </c>
      <c r="U541" t="s">
        <v>4223</v>
      </c>
      <c r="W541" t="s">
        <v>4243</v>
      </c>
      <c r="X541" t="s">
        <v>3382</v>
      </c>
      <c r="Y541" t="s">
        <v>3382</v>
      </c>
      <c r="AA541" t="s">
        <v>4256</v>
      </c>
      <c r="AB541" t="s">
        <v>4261</v>
      </c>
      <c r="AC541">
        <v>0</v>
      </c>
      <c r="AD541">
        <v>877.45</v>
      </c>
      <c r="AE541">
        <v>0.2</v>
      </c>
      <c r="AG541" t="s">
        <v>4799</v>
      </c>
      <c r="AI541" t="s">
        <v>5837</v>
      </c>
      <c r="AJ541">
        <v>10</v>
      </c>
      <c r="AK541" t="s">
        <v>6269</v>
      </c>
      <c r="AL541">
        <v>2</v>
      </c>
      <c r="AM541">
        <v>4</v>
      </c>
      <c r="AN541">
        <v>107.55</v>
      </c>
      <c r="AS541" t="s">
        <v>6298</v>
      </c>
      <c r="AT541">
        <v>37200</v>
      </c>
      <c r="AX541" t="s">
        <v>6433</v>
      </c>
      <c r="BA541" t="s">
        <v>6477</v>
      </c>
      <c r="BD541" t="s">
        <v>341</v>
      </c>
    </row>
    <row r="542" spans="1:57">
      <c r="A542" s="1">
        <f>HYPERLINK("https://lsnyc.legalserver.org/matter/dynamic-profile/view/1880731","18-1880731")</f>
        <v>0</v>
      </c>
      <c r="B542" t="s">
        <v>59</v>
      </c>
      <c r="C542" t="s">
        <v>157</v>
      </c>
      <c r="D542" t="s">
        <v>214</v>
      </c>
      <c r="E542" t="s">
        <v>428</v>
      </c>
      <c r="G542" t="s">
        <v>1023</v>
      </c>
      <c r="H542" t="s">
        <v>1738</v>
      </c>
      <c r="J542" t="s">
        <v>2558</v>
      </c>
      <c r="K542" t="s">
        <v>3012</v>
      </c>
      <c r="L542" t="s">
        <v>3330</v>
      </c>
      <c r="M542" t="s">
        <v>3379</v>
      </c>
      <c r="N542">
        <v>10026</v>
      </c>
      <c r="O542" t="s">
        <v>3380</v>
      </c>
      <c r="P542" t="s">
        <v>3380</v>
      </c>
      <c r="Q542" t="s">
        <v>3383</v>
      </c>
      <c r="R542" t="s">
        <v>3824</v>
      </c>
      <c r="S542">
        <v>20</v>
      </c>
      <c r="T542" t="s">
        <v>4196</v>
      </c>
      <c r="U542" t="s">
        <v>4223</v>
      </c>
      <c r="W542" t="s">
        <v>4242</v>
      </c>
      <c r="X542" t="s">
        <v>3382</v>
      </c>
      <c r="Y542" t="s">
        <v>3382</v>
      </c>
      <c r="AA542" t="s">
        <v>4256</v>
      </c>
      <c r="AB542" t="s">
        <v>4261</v>
      </c>
      <c r="AC542">
        <v>567.95</v>
      </c>
      <c r="AD542">
        <v>693.8099999999999</v>
      </c>
      <c r="AE542">
        <v>11.55</v>
      </c>
      <c r="AG542" t="s">
        <v>4800</v>
      </c>
      <c r="AI542" t="s">
        <v>5838</v>
      </c>
      <c r="AJ542">
        <v>54</v>
      </c>
      <c r="AK542" t="s">
        <v>6267</v>
      </c>
      <c r="AL542">
        <v>1</v>
      </c>
      <c r="AM542">
        <v>0</v>
      </c>
      <c r="AN542">
        <v>102.41</v>
      </c>
      <c r="AQ542" t="s">
        <v>6287</v>
      </c>
      <c r="AR542" t="s">
        <v>6293</v>
      </c>
      <c r="AS542" t="s">
        <v>6298</v>
      </c>
      <c r="AT542">
        <v>12432</v>
      </c>
      <c r="AX542" t="s">
        <v>6428</v>
      </c>
      <c r="BA542" t="s">
        <v>6511</v>
      </c>
      <c r="BD542" t="s">
        <v>267</v>
      </c>
    </row>
    <row r="543" spans="1:57">
      <c r="A543" s="1">
        <f>HYPERLINK("https://lsnyc.legalserver.org/matter/dynamic-profile/view/1883183","18-1883183")</f>
        <v>0</v>
      </c>
      <c r="B543" t="s">
        <v>59</v>
      </c>
      <c r="C543" t="s">
        <v>157</v>
      </c>
      <c r="D543" t="s">
        <v>214</v>
      </c>
      <c r="E543" t="s">
        <v>422</v>
      </c>
      <c r="G543" t="s">
        <v>1024</v>
      </c>
      <c r="H543" t="s">
        <v>1739</v>
      </c>
      <c r="J543" t="s">
        <v>2559</v>
      </c>
      <c r="K543" t="s">
        <v>3219</v>
      </c>
      <c r="L543" t="s">
        <v>3330</v>
      </c>
      <c r="M543" t="s">
        <v>3379</v>
      </c>
      <c r="N543">
        <v>10025</v>
      </c>
      <c r="O543" t="s">
        <v>3380</v>
      </c>
      <c r="P543" t="s">
        <v>3380</v>
      </c>
      <c r="Q543" t="s">
        <v>3383</v>
      </c>
      <c r="R543" t="s">
        <v>3825</v>
      </c>
      <c r="S543">
        <v>40</v>
      </c>
      <c r="T543" t="s">
        <v>4196</v>
      </c>
      <c r="U543" t="s">
        <v>4223</v>
      </c>
      <c r="W543" t="s">
        <v>4242</v>
      </c>
      <c r="X543" t="s">
        <v>3382</v>
      </c>
      <c r="Y543" t="s">
        <v>3382</v>
      </c>
      <c r="AA543" t="s">
        <v>4256</v>
      </c>
      <c r="AB543" t="s">
        <v>4261</v>
      </c>
      <c r="AC543">
        <v>0</v>
      </c>
      <c r="AD543">
        <v>686</v>
      </c>
      <c r="AE543">
        <v>17.12</v>
      </c>
      <c r="AG543" t="s">
        <v>4801</v>
      </c>
      <c r="AI543" t="s">
        <v>5839</v>
      </c>
      <c r="AJ543">
        <v>0</v>
      </c>
      <c r="AK543" t="s">
        <v>6266</v>
      </c>
      <c r="AL543">
        <v>1</v>
      </c>
      <c r="AM543">
        <v>0</v>
      </c>
      <c r="AN543">
        <v>79.08</v>
      </c>
      <c r="AQ543" t="s">
        <v>6287</v>
      </c>
      <c r="AR543" t="s">
        <v>6293</v>
      </c>
      <c r="AS543" t="s">
        <v>6298</v>
      </c>
      <c r="AT543">
        <v>9600</v>
      </c>
      <c r="AX543" t="s">
        <v>6428</v>
      </c>
      <c r="BA543" t="s">
        <v>6511</v>
      </c>
      <c r="BD543" t="s">
        <v>216</v>
      </c>
    </row>
    <row r="544" spans="1:57">
      <c r="A544" s="1">
        <f>HYPERLINK("https://lsnyc.legalserver.org/matter/dynamic-profile/view/1910543","19-1910543")</f>
        <v>0</v>
      </c>
      <c r="B544" t="s">
        <v>59</v>
      </c>
      <c r="C544" t="s">
        <v>158</v>
      </c>
      <c r="D544" t="s">
        <v>214</v>
      </c>
      <c r="E544" t="s">
        <v>238</v>
      </c>
      <c r="G544" t="s">
        <v>831</v>
      </c>
      <c r="H544" t="s">
        <v>1349</v>
      </c>
      <c r="J544" t="s">
        <v>2560</v>
      </c>
      <c r="K544" t="s">
        <v>3220</v>
      </c>
      <c r="L544" t="s">
        <v>3330</v>
      </c>
      <c r="M544" t="s">
        <v>3379</v>
      </c>
      <c r="N544">
        <v>10002</v>
      </c>
      <c r="O544" t="s">
        <v>3380</v>
      </c>
      <c r="P544" t="s">
        <v>3381</v>
      </c>
      <c r="S544">
        <v>0</v>
      </c>
      <c r="T544" t="s">
        <v>4203</v>
      </c>
      <c r="W544" t="s">
        <v>4242</v>
      </c>
      <c r="X544" t="s">
        <v>3382</v>
      </c>
      <c r="Z544" t="s">
        <v>4253</v>
      </c>
      <c r="AA544" t="s">
        <v>4258</v>
      </c>
      <c r="AC544">
        <v>0</v>
      </c>
      <c r="AD544">
        <v>0</v>
      </c>
      <c r="AE544">
        <v>3.1</v>
      </c>
      <c r="AG544" t="s">
        <v>4802</v>
      </c>
      <c r="AJ544">
        <v>0</v>
      </c>
      <c r="AK544" t="s">
        <v>6273</v>
      </c>
      <c r="AL544">
        <v>2</v>
      </c>
      <c r="AM544">
        <v>1</v>
      </c>
      <c r="AN544">
        <v>115.72</v>
      </c>
      <c r="AS544" t="s">
        <v>6298</v>
      </c>
      <c r="AT544">
        <v>24684</v>
      </c>
      <c r="AX544" t="s">
        <v>6429</v>
      </c>
      <c r="BA544" t="s">
        <v>6477</v>
      </c>
      <c r="BD544" t="s">
        <v>274</v>
      </c>
      <c r="BE544" t="s">
        <v>6702</v>
      </c>
    </row>
    <row r="545" spans="1:57">
      <c r="A545" s="1">
        <f>HYPERLINK("https://lsnyc.legalserver.org/matter/dynamic-profile/view/1875715","18-1875715")</f>
        <v>0</v>
      </c>
      <c r="B545" t="s">
        <v>59</v>
      </c>
      <c r="C545" t="s">
        <v>159</v>
      </c>
      <c r="D545" t="s">
        <v>215</v>
      </c>
      <c r="E545" t="s">
        <v>429</v>
      </c>
      <c r="F545" t="s">
        <v>294</v>
      </c>
      <c r="G545" t="s">
        <v>1025</v>
      </c>
      <c r="H545" t="s">
        <v>1740</v>
      </c>
      <c r="J545" t="s">
        <v>2561</v>
      </c>
      <c r="K545" t="s">
        <v>3045</v>
      </c>
      <c r="L545" t="s">
        <v>3330</v>
      </c>
      <c r="M545" t="s">
        <v>3379</v>
      </c>
      <c r="N545">
        <v>10025</v>
      </c>
      <c r="O545" t="s">
        <v>3380</v>
      </c>
      <c r="P545" t="s">
        <v>3381</v>
      </c>
      <c r="R545" t="s">
        <v>3826</v>
      </c>
      <c r="S545">
        <v>19</v>
      </c>
      <c r="T545" t="s">
        <v>4196</v>
      </c>
      <c r="U545" t="s">
        <v>4223</v>
      </c>
      <c r="V545" t="s">
        <v>4230</v>
      </c>
      <c r="W545" t="s">
        <v>4242</v>
      </c>
      <c r="X545" t="s">
        <v>3382</v>
      </c>
      <c r="Y545" t="s">
        <v>3382</v>
      </c>
      <c r="AA545" t="s">
        <v>4256</v>
      </c>
      <c r="AC545">
        <v>3800</v>
      </c>
      <c r="AD545">
        <v>3800</v>
      </c>
      <c r="AE545">
        <v>9.050000000000001</v>
      </c>
      <c r="AF545" t="s">
        <v>4268</v>
      </c>
      <c r="AG545" t="s">
        <v>4803</v>
      </c>
      <c r="AI545" t="s">
        <v>5840</v>
      </c>
      <c r="AJ545">
        <v>0</v>
      </c>
      <c r="AK545" t="s">
        <v>6275</v>
      </c>
      <c r="AL545">
        <v>2</v>
      </c>
      <c r="AM545">
        <v>0</v>
      </c>
      <c r="AN545">
        <v>116.65</v>
      </c>
      <c r="AQ545" t="s">
        <v>6287</v>
      </c>
      <c r="AR545" t="s">
        <v>5312</v>
      </c>
      <c r="AS545" t="s">
        <v>6298</v>
      </c>
      <c r="AT545">
        <v>19200</v>
      </c>
      <c r="AV545" t="s">
        <v>3380</v>
      </c>
      <c r="AX545" t="s">
        <v>6428</v>
      </c>
      <c r="BA545" t="s">
        <v>6511</v>
      </c>
      <c r="BD545" t="s">
        <v>346</v>
      </c>
    </row>
    <row r="546" spans="1:57">
      <c r="A546" s="1">
        <f>HYPERLINK("https://lsnyc.legalserver.org/matter/dynamic-profile/view/1909726","19-1909726")</f>
        <v>0</v>
      </c>
      <c r="B546" t="s">
        <v>59</v>
      </c>
      <c r="C546" t="s">
        <v>160</v>
      </c>
      <c r="D546" t="s">
        <v>215</v>
      </c>
      <c r="E546" t="s">
        <v>407</v>
      </c>
      <c r="F546" t="s">
        <v>407</v>
      </c>
      <c r="G546" t="s">
        <v>1026</v>
      </c>
      <c r="H546" t="s">
        <v>1636</v>
      </c>
      <c r="J546" t="s">
        <v>2562</v>
      </c>
      <c r="K546" t="s">
        <v>3136</v>
      </c>
      <c r="L546" t="s">
        <v>3332</v>
      </c>
      <c r="M546" t="s">
        <v>3379</v>
      </c>
      <c r="N546">
        <v>11205</v>
      </c>
      <c r="O546" t="s">
        <v>3381</v>
      </c>
      <c r="P546" t="s">
        <v>3381</v>
      </c>
      <c r="S546">
        <v>0</v>
      </c>
      <c r="U546" t="s">
        <v>4225</v>
      </c>
      <c r="V546" t="s">
        <v>4230</v>
      </c>
      <c r="W546" t="s">
        <v>4243</v>
      </c>
      <c r="X546" t="s">
        <v>3382</v>
      </c>
      <c r="AA546" t="s">
        <v>4258</v>
      </c>
      <c r="AC546">
        <v>0</v>
      </c>
      <c r="AD546">
        <v>0</v>
      </c>
      <c r="AE546">
        <v>1.75</v>
      </c>
      <c r="AF546" t="s">
        <v>4268</v>
      </c>
      <c r="AG546" t="s">
        <v>4804</v>
      </c>
      <c r="AI546" t="s">
        <v>5841</v>
      </c>
      <c r="AJ546">
        <v>0</v>
      </c>
      <c r="AL546">
        <v>1</v>
      </c>
      <c r="AM546">
        <v>0</v>
      </c>
      <c r="AN546">
        <v>74.08</v>
      </c>
      <c r="AS546" t="s">
        <v>6298</v>
      </c>
      <c r="AT546">
        <v>9252</v>
      </c>
      <c r="AX546" t="s">
        <v>6433</v>
      </c>
      <c r="BA546" t="s">
        <v>6491</v>
      </c>
      <c r="BD546" t="s">
        <v>407</v>
      </c>
    </row>
    <row r="547" spans="1:57">
      <c r="A547" s="1">
        <f>HYPERLINK("https://lsnyc.legalserver.org/matter/dynamic-profile/view/1904482","19-1904482")</f>
        <v>0</v>
      </c>
      <c r="B547" t="s">
        <v>59</v>
      </c>
      <c r="C547" t="s">
        <v>161</v>
      </c>
      <c r="D547" t="s">
        <v>214</v>
      </c>
      <c r="E547" t="s">
        <v>430</v>
      </c>
      <c r="G547" t="s">
        <v>650</v>
      </c>
      <c r="H547" t="s">
        <v>1361</v>
      </c>
      <c r="J547" t="s">
        <v>2563</v>
      </c>
      <c r="K547" t="s">
        <v>3036</v>
      </c>
      <c r="L547" t="s">
        <v>3330</v>
      </c>
      <c r="M547" t="s">
        <v>3379</v>
      </c>
      <c r="N547">
        <v>10002</v>
      </c>
      <c r="O547" t="s">
        <v>3381</v>
      </c>
      <c r="P547" t="s">
        <v>3381</v>
      </c>
      <c r="Q547" t="s">
        <v>3385</v>
      </c>
      <c r="S547">
        <v>51</v>
      </c>
      <c r="T547" t="s">
        <v>4199</v>
      </c>
      <c r="U547" t="s">
        <v>4224</v>
      </c>
      <c r="W547" t="s">
        <v>4243</v>
      </c>
      <c r="X547" t="s">
        <v>3382</v>
      </c>
      <c r="Y547" t="s">
        <v>3382</v>
      </c>
      <c r="AA547" t="s">
        <v>4258</v>
      </c>
      <c r="AC547">
        <v>0</v>
      </c>
      <c r="AD547">
        <v>197.3</v>
      </c>
      <c r="AE547">
        <v>1.75</v>
      </c>
      <c r="AG547" t="s">
        <v>4805</v>
      </c>
      <c r="AI547" t="s">
        <v>5842</v>
      </c>
      <c r="AJ547">
        <v>2391</v>
      </c>
      <c r="AL547">
        <v>1</v>
      </c>
      <c r="AM547">
        <v>0</v>
      </c>
      <c r="AN547">
        <v>74.08</v>
      </c>
      <c r="AS547" t="s">
        <v>6299</v>
      </c>
      <c r="AT547">
        <v>9252</v>
      </c>
      <c r="AX547" t="s">
        <v>6436</v>
      </c>
      <c r="BA547" t="s">
        <v>6559</v>
      </c>
      <c r="BD547" t="s">
        <v>287</v>
      </c>
    </row>
    <row r="548" spans="1:57">
      <c r="A548" s="1">
        <f>HYPERLINK("https://lsnyc.legalserver.org/matter/dynamic-profile/view/3017416","M08E-63017416")</f>
        <v>0</v>
      </c>
      <c r="B548" t="s">
        <v>59</v>
      </c>
      <c r="C548" t="s">
        <v>162</v>
      </c>
      <c r="D548" t="s">
        <v>214</v>
      </c>
      <c r="E548" t="s">
        <v>431</v>
      </c>
      <c r="G548" t="s">
        <v>1027</v>
      </c>
      <c r="H548" t="s">
        <v>1643</v>
      </c>
      <c r="J548" t="s">
        <v>2564</v>
      </c>
      <c r="K548" t="s">
        <v>3221</v>
      </c>
      <c r="L548" t="s">
        <v>3330</v>
      </c>
      <c r="M548" t="s">
        <v>3379</v>
      </c>
      <c r="N548">
        <v>10032</v>
      </c>
      <c r="O548" t="s">
        <v>3381</v>
      </c>
      <c r="P548" t="s">
        <v>3381</v>
      </c>
      <c r="R548" t="s">
        <v>3827</v>
      </c>
      <c r="S548">
        <v>0</v>
      </c>
      <c r="T548" t="s">
        <v>4197</v>
      </c>
      <c r="U548" t="s">
        <v>4223</v>
      </c>
      <c r="W548" t="s">
        <v>4243</v>
      </c>
      <c r="X548" t="s">
        <v>3382</v>
      </c>
      <c r="Y548" t="s">
        <v>3382</v>
      </c>
      <c r="Z548" t="s">
        <v>4244</v>
      </c>
      <c r="AA548" t="s">
        <v>4256</v>
      </c>
      <c r="AC548">
        <v>0</v>
      </c>
      <c r="AD548">
        <v>0</v>
      </c>
      <c r="AE548">
        <v>587.95</v>
      </c>
      <c r="AF548" t="s">
        <v>4276</v>
      </c>
      <c r="AG548" t="s">
        <v>4806</v>
      </c>
      <c r="AJ548">
        <v>50</v>
      </c>
      <c r="AL548">
        <v>3</v>
      </c>
      <c r="AM548">
        <v>0</v>
      </c>
      <c r="AN548">
        <v>36.93</v>
      </c>
      <c r="AS548" t="s">
        <v>6299</v>
      </c>
      <c r="AT548">
        <v>6500</v>
      </c>
      <c r="AX548" t="s">
        <v>6431</v>
      </c>
      <c r="BA548" t="s">
        <v>6477</v>
      </c>
      <c r="BD548" t="s">
        <v>231</v>
      </c>
    </row>
    <row r="549" spans="1:57">
      <c r="A549" s="1">
        <f>HYPERLINK("https://lsnyc.legalserver.org/matter/dynamic-profile/view/1880047","18-1880047")</f>
        <v>0</v>
      </c>
      <c r="B549" t="s">
        <v>59</v>
      </c>
      <c r="C549" t="s">
        <v>162</v>
      </c>
      <c r="D549" t="s">
        <v>214</v>
      </c>
      <c r="E549" t="s">
        <v>432</v>
      </c>
      <c r="G549" t="s">
        <v>1028</v>
      </c>
      <c r="H549" t="s">
        <v>1741</v>
      </c>
      <c r="J549" t="s">
        <v>2565</v>
      </c>
      <c r="K549">
        <v>65</v>
      </c>
      <c r="L549" t="s">
        <v>3330</v>
      </c>
      <c r="M549" t="s">
        <v>3379</v>
      </c>
      <c r="N549">
        <v>10031</v>
      </c>
      <c r="O549" t="s">
        <v>3381</v>
      </c>
      <c r="P549" t="s">
        <v>3381</v>
      </c>
      <c r="R549" t="s">
        <v>3828</v>
      </c>
      <c r="S549">
        <v>22</v>
      </c>
      <c r="T549" t="s">
        <v>4197</v>
      </c>
      <c r="U549" t="s">
        <v>4224</v>
      </c>
      <c r="W549" t="s">
        <v>4243</v>
      </c>
      <c r="X549" t="s">
        <v>3382</v>
      </c>
      <c r="Y549" t="s">
        <v>3382</v>
      </c>
      <c r="AA549" t="s">
        <v>4256</v>
      </c>
      <c r="AC549">
        <v>0</v>
      </c>
      <c r="AD549">
        <v>751</v>
      </c>
      <c r="AE549">
        <v>0.75</v>
      </c>
      <c r="AG549" t="s">
        <v>4807</v>
      </c>
      <c r="AI549" t="s">
        <v>5843</v>
      </c>
      <c r="AJ549">
        <v>56</v>
      </c>
      <c r="AL549">
        <v>3</v>
      </c>
      <c r="AM549">
        <v>1</v>
      </c>
      <c r="AN549">
        <v>29.42</v>
      </c>
      <c r="AS549" t="s">
        <v>6299</v>
      </c>
      <c r="AT549">
        <v>7384</v>
      </c>
      <c r="AX549" t="s">
        <v>6429</v>
      </c>
      <c r="BA549" t="s">
        <v>6473</v>
      </c>
      <c r="BD549" t="s">
        <v>6653</v>
      </c>
    </row>
    <row r="550" spans="1:57">
      <c r="A550" s="1">
        <f>HYPERLINK("https://lsnyc.legalserver.org/matter/dynamic-profile/view/1890725","19-1890725")</f>
        <v>0</v>
      </c>
      <c r="B550" t="s">
        <v>59</v>
      </c>
      <c r="C550" t="s">
        <v>162</v>
      </c>
      <c r="D550" t="s">
        <v>214</v>
      </c>
      <c r="E550" t="s">
        <v>433</v>
      </c>
      <c r="G550" t="s">
        <v>827</v>
      </c>
      <c r="H550" t="s">
        <v>1742</v>
      </c>
      <c r="J550" t="s">
        <v>2566</v>
      </c>
      <c r="K550">
        <v>56</v>
      </c>
      <c r="L550" t="s">
        <v>3330</v>
      </c>
      <c r="M550" t="s">
        <v>3379</v>
      </c>
      <c r="N550">
        <v>10031</v>
      </c>
      <c r="O550" t="s">
        <v>3380</v>
      </c>
      <c r="P550" t="s">
        <v>3380</v>
      </c>
      <c r="Q550" t="s">
        <v>3384</v>
      </c>
      <c r="R550" t="s">
        <v>3829</v>
      </c>
      <c r="S550">
        <v>30</v>
      </c>
      <c r="T550" t="s">
        <v>4197</v>
      </c>
      <c r="U550" t="s">
        <v>4223</v>
      </c>
      <c r="W550" t="s">
        <v>4242</v>
      </c>
      <c r="X550" t="s">
        <v>3382</v>
      </c>
      <c r="Y550" t="s">
        <v>3382</v>
      </c>
      <c r="AA550" t="s">
        <v>4256</v>
      </c>
      <c r="AC550">
        <v>0</v>
      </c>
      <c r="AD550">
        <v>1100</v>
      </c>
      <c r="AE550">
        <v>45.25</v>
      </c>
      <c r="AG550" t="s">
        <v>4808</v>
      </c>
      <c r="AI550" t="s">
        <v>5844</v>
      </c>
      <c r="AJ550">
        <v>54</v>
      </c>
      <c r="AL550">
        <v>1</v>
      </c>
      <c r="AM550">
        <v>0</v>
      </c>
      <c r="AN550">
        <v>81.67</v>
      </c>
      <c r="AQ550" t="s">
        <v>6287</v>
      </c>
      <c r="AR550" t="s">
        <v>6290</v>
      </c>
      <c r="AS550" t="s">
        <v>6298</v>
      </c>
      <c r="AT550">
        <v>10200</v>
      </c>
      <c r="AX550" t="s">
        <v>6428</v>
      </c>
      <c r="BA550" t="s">
        <v>6496</v>
      </c>
      <c r="BD550" t="s">
        <v>217</v>
      </c>
    </row>
    <row r="551" spans="1:57">
      <c r="A551" s="1">
        <f>HYPERLINK("https://lsnyc.legalserver.org/matter/dynamic-profile/view/1910237","19-1910237")</f>
        <v>0</v>
      </c>
      <c r="B551" t="s">
        <v>59</v>
      </c>
      <c r="C551" t="s">
        <v>162</v>
      </c>
      <c r="D551" t="s">
        <v>214</v>
      </c>
      <c r="E551" t="s">
        <v>300</v>
      </c>
      <c r="G551" t="s">
        <v>897</v>
      </c>
      <c r="H551" t="s">
        <v>1743</v>
      </c>
      <c r="J551" t="s">
        <v>2567</v>
      </c>
      <c r="K551" t="s">
        <v>3211</v>
      </c>
      <c r="L551" t="s">
        <v>3330</v>
      </c>
      <c r="M551" t="s">
        <v>3379</v>
      </c>
      <c r="N551">
        <v>10029</v>
      </c>
      <c r="O551" t="s">
        <v>3380</v>
      </c>
      <c r="P551" t="s">
        <v>3381</v>
      </c>
      <c r="Q551" t="s">
        <v>3384</v>
      </c>
      <c r="R551" t="s">
        <v>3830</v>
      </c>
      <c r="S551">
        <v>0</v>
      </c>
      <c r="T551" t="s">
        <v>4197</v>
      </c>
      <c r="U551" t="s">
        <v>4224</v>
      </c>
      <c r="W551" t="s">
        <v>4243</v>
      </c>
      <c r="X551" t="s">
        <v>3382</v>
      </c>
      <c r="Y551" t="s">
        <v>3382</v>
      </c>
      <c r="AA551" t="s">
        <v>4258</v>
      </c>
      <c r="AB551" t="s">
        <v>4261</v>
      </c>
      <c r="AC551">
        <v>0</v>
      </c>
      <c r="AD551">
        <v>248.6</v>
      </c>
      <c r="AE551">
        <v>0.75</v>
      </c>
      <c r="AG551" t="s">
        <v>4809</v>
      </c>
      <c r="AI551" t="s">
        <v>5845</v>
      </c>
      <c r="AJ551">
        <v>98</v>
      </c>
      <c r="AK551" t="s">
        <v>6270</v>
      </c>
      <c r="AL551">
        <v>1</v>
      </c>
      <c r="AM551">
        <v>0</v>
      </c>
      <c r="AN551">
        <v>101.04</v>
      </c>
      <c r="AR551" t="s">
        <v>5312</v>
      </c>
      <c r="AS551" t="s">
        <v>6299</v>
      </c>
      <c r="AT551">
        <v>12620.52</v>
      </c>
      <c r="AX551" t="s">
        <v>6428</v>
      </c>
      <c r="BA551" t="s">
        <v>6511</v>
      </c>
      <c r="BD551" t="s">
        <v>231</v>
      </c>
      <c r="BE551" t="s">
        <v>6702</v>
      </c>
    </row>
    <row r="552" spans="1:57">
      <c r="A552" s="1">
        <f>HYPERLINK("https://lsnyc.legalserver.org/matter/dynamic-profile/view/1906324","19-1906324")</f>
        <v>0</v>
      </c>
      <c r="B552" t="s">
        <v>59</v>
      </c>
      <c r="C552" t="s">
        <v>162</v>
      </c>
      <c r="D552" t="s">
        <v>214</v>
      </c>
      <c r="E552" t="s">
        <v>329</v>
      </c>
      <c r="G552" t="s">
        <v>915</v>
      </c>
      <c r="H552" t="s">
        <v>1744</v>
      </c>
      <c r="J552" t="s">
        <v>2568</v>
      </c>
      <c r="K552" t="s">
        <v>3021</v>
      </c>
      <c r="L552" t="s">
        <v>3330</v>
      </c>
      <c r="M552" t="s">
        <v>3379</v>
      </c>
      <c r="N552">
        <v>10027</v>
      </c>
      <c r="O552" t="s">
        <v>3381</v>
      </c>
      <c r="P552" t="s">
        <v>3381</v>
      </c>
      <c r="Q552" t="s">
        <v>3384</v>
      </c>
      <c r="R552" t="s">
        <v>3831</v>
      </c>
      <c r="S552">
        <v>0</v>
      </c>
      <c r="T552" t="s">
        <v>4196</v>
      </c>
      <c r="U552" t="s">
        <v>4223</v>
      </c>
      <c r="W552" t="s">
        <v>4243</v>
      </c>
      <c r="X552" t="s">
        <v>3382</v>
      </c>
      <c r="Y552" t="s">
        <v>3382</v>
      </c>
      <c r="AA552" t="s">
        <v>4258</v>
      </c>
      <c r="AC552">
        <v>0</v>
      </c>
      <c r="AD552">
        <v>728.4</v>
      </c>
      <c r="AE552">
        <v>13.5</v>
      </c>
      <c r="AG552" t="s">
        <v>4810</v>
      </c>
      <c r="AI552" t="s">
        <v>5846</v>
      </c>
      <c r="AJ552">
        <v>10</v>
      </c>
      <c r="AL552">
        <v>1</v>
      </c>
      <c r="AM552">
        <v>2</v>
      </c>
      <c r="AN552">
        <v>84.39</v>
      </c>
      <c r="AS552" t="s">
        <v>6298</v>
      </c>
      <c r="AT552">
        <v>18000</v>
      </c>
      <c r="AX552" t="s">
        <v>6429</v>
      </c>
      <c r="BA552" t="s">
        <v>6482</v>
      </c>
      <c r="BD552" t="s">
        <v>224</v>
      </c>
    </row>
    <row r="553" spans="1:57">
      <c r="A553" s="1">
        <f>HYPERLINK("https://lsnyc.legalserver.org/matter/dynamic-profile/view/1904147","19-1904147")</f>
        <v>0</v>
      </c>
      <c r="B553" t="s">
        <v>59</v>
      </c>
      <c r="C553" t="s">
        <v>162</v>
      </c>
      <c r="D553" t="s">
        <v>214</v>
      </c>
      <c r="E553" t="s">
        <v>434</v>
      </c>
      <c r="G553" t="s">
        <v>1029</v>
      </c>
      <c r="H553" t="s">
        <v>1745</v>
      </c>
      <c r="J553" t="s">
        <v>2569</v>
      </c>
      <c r="K553" t="s">
        <v>3017</v>
      </c>
      <c r="L553" t="s">
        <v>3330</v>
      </c>
      <c r="M553" t="s">
        <v>3379</v>
      </c>
      <c r="N553">
        <v>10026</v>
      </c>
      <c r="O553" t="s">
        <v>3381</v>
      </c>
      <c r="P553" t="s">
        <v>3381</v>
      </c>
      <c r="R553" t="s">
        <v>3832</v>
      </c>
      <c r="S553">
        <v>4</v>
      </c>
      <c r="T553" t="s">
        <v>4196</v>
      </c>
      <c r="U553" t="s">
        <v>4223</v>
      </c>
      <c r="W553" t="s">
        <v>4242</v>
      </c>
      <c r="X553" t="s">
        <v>3382</v>
      </c>
      <c r="Y553" t="s">
        <v>3382</v>
      </c>
      <c r="AA553" t="s">
        <v>4256</v>
      </c>
      <c r="AC553">
        <v>0</v>
      </c>
      <c r="AD553">
        <v>247</v>
      </c>
      <c r="AE553">
        <v>11.25</v>
      </c>
      <c r="AG553" t="s">
        <v>4811</v>
      </c>
      <c r="AI553" t="s">
        <v>5847</v>
      </c>
      <c r="AJ553">
        <v>8</v>
      </c>
      <c r="AL553">
        <v>1</v>
      </c>
      <c r="AM553">
        <v>0</v>
      </c>
      <c r="AN553">
        <v>78.01000000000001</v>
      </c>
      <c r="AS553" t="s">
        <v>6298</v>
      </c>
      <c r="AT553">
        <v>9744</v>
      </c>
      <c r="AX553" t="s">
        <v>6432</v>
      </c>
      <c r="BA553" t="s">
        <v>6516</v>
      </c>
      <c r="BD553" t="s">
        <v>266</v>
      </c>
    </row>
    <row r="554" spans="1:57">
      <c r="A554" s="1">
        <f>HYPERLINK("https://lsnyc.legalserver.org/matter/dynamic-profile/view/2002098","M09E-62002098")</f>
        <v>0</v>
      </c>
      <c r="B554" t="s">
        <v>59</v>
      </c>
      <c r="C554" t="s">
        <v>162</v>
      </c>
      <c r="D554" t="s">
        <v>214</v>
      </c>
      <c r="E554" t="s">
        <v>435</v>
      </c>
      <c r="G554" t="s">
        <v>1030</v>
      </c>
      <c r="H554" t="s">
        <v>1746</v>
      </c>
      <c r="J554" t="s">
        <v>2570</v>
      </c>
      <c r="L554" t="s">
        <v>3330</v>
      </c>
      <c r="M554" t="s">
        <v>3379</v>
      </c>
      <c r="N554">
        <v>10025</v>
      </c>
      <c r="O554" t="s">
        <v>3381</v>
      </c>
      <c r="P554" t="s">
        <v>3381</v>
      </c>
      <c r="S554">
        <v>0</v>
      </c>
      <c r="T554" t="s">
        <v>4197</v>
      </c>
      <c r="U554" t="s">
        <v>4223</v>
      </c>
      <c r="W554" t="s">
        <v>4242</v>
      </c>
      <c r="X554" t="s">
        <v>3382</v>
      </c>
      <c r="AA554" t="s">
        <v>4256</v>
      </c>
      <c r="AC554">
        <v>0</v>
      </c>
      <c r="AD554">
        <v>0</v>
      </c>
      <c r="AE554">
        <v>2467.25</v>
      </c>
      <c r="AF554" t="s">
        <v>4278</v>
      </c>
      <c r="AG554" t="s">
        <v>4812</v>
      </c>
      <c r="AI554" t="s">
        <v>5448</v>
      </c>
      <c r="AJ554">
        <v>0</v>
      </c>
      <c r="AL554">
        <v>5</v>
      </c>
      <c r="AM554">
        <v>2</v>
      </c>
      <c r="AN554">
        <v>119.66</v>
      </c>
      <c r="AS554" t="s">
        <v>6299</v>
      </c>
      <c r="AT554">
        <v>33504</v>
      </c>
      <c r="AX554" t="s">
        <v>6435</v>
      </c>
      <c r="BA554" t="s">
        <v>6566</v>
      </c>
      <c r="BD554" t="s">
        <v>218</v>
      </c>
    </row>
    <row r="555" spans="1:57">
      <c r="A555" s="1">
        <f>HYPERLINK("https://lsnyc.legalserver.org/matter/dynamic-profile/view/1867590","18-1867590")</f>
        <v>0</v>
      </c>
      <c r="B555" t="s">
        <v>59</v>
      </c>
      <c r="C555" t="s">
        <v>162</v>
      </c>
      <c r="D555" t="s">
        <v>214</v>
      </c>
      <c r="E555" t="s">
        <v>436</v>
      </c>
      <c r="G555" t="s">
        <v>1031</v>
      </c>
      <c r="H555" t="s">
        <v>1747</v>
      </c>
      <c r="J555" t="s">
        <v>2571</v>
      </c>
      <c r="K555" t="s">
        <v>3222</v>
      </c>
      <c r="L555" t="s">
        <v>3330</v>
      </c>
      <c r="M555" t="s">
        <v>3379</v>
      </c>
      <c r="N555">
        <v>10025</v>
      </c>
      <c r="O555" t="s">
        <v>3382</v>
      </c>
      <c r="P555" t="s">
        <v>3381</v>
      </c>
      <c r="Q555" t="s">
        <v>3400</v>
      </c>
      <c r="R555" t="s">
        <v>3833</v>
      </c>
      <c r="S555">
        <v>15</v>
      </c>
      <c r="T555" t="s">
        <v>4196</v>
      </c>
      <c r="U555" t="s">
        <v>4228</v>
      </c>
      <c r="W555" t="s">
        <v>4242</v>
      </c>
      <c r="X555" t="s">
        <v>3382</v>
      </c>
      <c r="AA555" t="s">
        <v>4258</v>
      </c>
      <c r="AC555">
        <v>1384</v>
      </c>
      <c r="AD555">
        <v>1384</v>
      </c>
      <c r="AE555">
        <v>43.25</v>
      </c>
      <c r="AG555" t="s">
        <v>4813</v>
      </c>
      <c r="AI555" t="s">
        <v>5848</v>
      </c>
      <c r="AJ555">
        <v>135</v>
      </c>
      <c r="AK555" t="s">
        <v>6266</v>
      </c>
      <c r="AL555">
        <v>2</v>
      </c>
      <c r="AM555">
        <v>0</v>
      </c>
      <c r="AN555">
        <v>217.89</v>
      </c>
      <c r="AQ555" t="s">
        <v>6287</v>
      </c>
      <c r="AR555" t="s">
        <v>5312</v>
      </c>
      <c r="AT555">
        <v>35864</v>
      </c>
      <c r="AV555" t="s">
        <v>3382</v>
      </c>
      <c r="AX555" t="s">
        <v>6428</v>
      </c>
      <c r="BA555" t="s">
        <v>6567</v>
      </c>
      <c r="BD555" t="s">
        <v>253</v>
      </c>
    </row>
    <row r="556" spans="1:57">
      <c r="A556" s="1">
        <f>HYPERLINK("https://lsnyc.legalserver.org/matter/dynamic-profile/view/1897976","19-1897976")</f>
        <v>0</v>
      </c>
      <c r="B556" t="s">
        <v>59</v>
      </c>
      <c r="C556" t="s">
        <v>162</v>
      </c>
      <c r="D556" t="s">
        <v>214</v>
      </c>
      <c r="E556" t="s">
        <v>437</v>
      </c>
      <c r="G556" t="s">
        <v>749</v>
      </c>
      <c r="H556" t="s">
        <v>1748</v>
      </c>
      <c r="J556" t="s">
        <v>2572</v>
      </c>
      <c r="K556" t="s">
        <v>3223</v>
      </c>
      <c r="L556" t="s">
        <v>3330</v>
      </c>
      <c r="M556" t="s">
        <v>3379</v>
      </c>
      <c r="N556">
        <v>10025</v>
      </c>
      <c r="O556" t="s">
        <v>3382</v>
      </c>
      <c r="P556" t="s">
        <v>3382</v>
      </c>
      <c r="Q556" t="s">
        <v>3386</v>
      </c>
      <c r="S556">
        <v>46</v>
      </c>
      <c r="T556" t="s">
        <v>4214</v>
      </c>
      <c r="U556" t="s">
        <v>4227</v>
      </c>
      <c r="W556" t="s">
        <v>4243</v>
      </c>
      <c r="X556" t="s">
        <v>3382</v>
      </c>
      <c r="Y556" t="s">
        <v>3382</v>
      </c>
      <c r="AA556" t="s">
        <v>4258</v>
      </c>
      <c r="AB556" t="s">
        <v>4261</v>
      </c>
      <c r="AC556">
        <v>0</v>
      </c>
      <c r="AD556">
        <v>383</v>
      </c>
      <c r="AE556">
        <v>52.25</v>
      </c>
      <c r="AG556" t="s">
        <v>4814</v>
      </c>
      <c r="AI556" t="s">
        <v>5849</v>
      </c>
      <c r="AJ556">
        <v>1162</v>
      </c>
      <c r="AK556" t="s">
        <v>6278</v>
      </c>
      <c r="AL556">
        <v>1</v>
      </c>
      <c r="AM556">
        <v>0</v>
      </c>
      <c r="AN556">
        <v>41.63</v>
      </c>
      <c r="AR556" t="s">
        <v>5312</v>
      </c>
      <c r="AS556" t="s">
        <v>6298</v>
      </c>
      <c r="AT556">
        <v>5200</v>
      </c>
      <c r="AX556" t="s">
        <v>6428</v>
      </c>
      <c r="BA556" t="s">
        <v>6477</v>
      </c>
      <c r="BD556" t="s">
        <v>218</v>
      </c>
    </row>
    <row r="557" spans="1:57">
      <c r="A557" s="1">
        <f>HYPERLINK("https://lsnyc.legalserver.org/matter/dynamic-profile/view/1893155","19-1893155")</f>
        <v>0</v>
      </c>
      <c r="B557" t="s">
        <v>59</v>
      </c>
      <c r="C557" t="s">
        <v>163</v>
      </c>
      <c r="D557" t="s">
        <v>214</v>
      </c>
      <c r="E557" t="s">
        <v>438</v>
      </c>
      <c r="G557" t="s">
        <v>1032</v>
      </c>
      <c r="H557" t="s">
        <v>1674</v>
      </c>
      <c r="J557" t="s">
        <v>2573</v>
      </c>
      <c r="K557">
        <v>54</v>
      </c>
      <c r="L557" t="s">
        <v>3330</v>
      </c>
      <c r="M557" t="s">
        <v>3379</v>
      </c>
      <c r="N557">
        <v>10034</v>
      </c>
      <c r="O557" t="s">
        <v>3380</v>
      </c>
      <c r="P557" t="s">
        <v>3380</v>
      </c>
      <c r="Q557" t="s">
        <v>3383</v>
      </c>
      <c r="R557" t="s">
        <v>3834</v>
      </c>
      <c r="S557">
        <v>24</v>
      </c>
      <c r="T557" t="s">
        <v>4196</v>
      </c>
      <c r="U557" t="s">
        <v>4223</v>
      </c>
      <c r="W557" t="s">
        <v>4243</v>
      </c>
      <c r="X557" t="s">
        <v>3382</v>
      </c>
      <c r="Y557" t="s">
        <v>3382</v>
      </c>
      <c r="AA557" t="s">
        <v>4256</v>
      </c>
      <c r="AC557">
        <v>0</v>
      </c>
      <c r="AD557">
        <v>922</v>
      </c>
      <c r="AE557">
        <v>0.2</v>
      </c>
      <c r="AG557" t="s">
        <v>4815</v>
      </c>
      <c r="AI557" t="s">
        <v>5850</v>
      </c>
      <c r="AJ557">
        <v>0</v>
      </c>
      <c r="AK557" t="s">
        <v>6266</v>
      </c>
      <c r="AL557">
        <v>2</v>
      </c>
      <c r="AM557">
        <v>0</v>
      </c>
      <c r="AN557">
        <v>191.56</v>
      </c>
      <c r="AQ557" t="s">
        <v>6287</v>
      </c>
      <c r="AR557" t="s">
        <v>3391</v>
      </c>
      <c r="AS557" t="s">
        <v>6299</v>
      </c>
      <c r="AT557">
        <v>32392</v>
      </c>
      <c r="AX557" t="s">
        <v>6428</v>
      </c>
      <c r="BA557" t="s">
        <v>6474</v>
      </c>
      <c r="BD557" t="s">
        <v>427</v>
      </c>
    </row>
    <row r="558" spans="1:57">
      <c r="A558" s="1">
        <f>HYPERLINK("https://lsnyc.legalserver.org/matter/dynamic-profile/view/1890383","19-1890383")</f>
        <v>0</v>
      </c>
      <c r="B558" t="s">
        <v>59</v>
      </c>
      <c r="C558" t="s">
        <v>163</v>
      </c>
      <c r="D558" t="s">
        <v>214</v>
      </c>
      <c r="E558" t="s">
        <v>343</v>
      </c>
      <c r="G558" t="s">
        <v>746</v>
      </c>
      <c r="H558" t="s">
        <v>1478</v>
      </c>
      <c r="J558" t="s">
        <v>2574</v>
      </c>
      <c r="K558" t="s">
        <v>3009</v>
      </c>
      <c r="L558" t="s">
        <v>3330</v>
      </c>
      <c r="M558" t="s">
        <v>3379</v>
      </c>
      <c r="N558">
        <v>10029</v>
      </c>
      <c r="O558" t="s">
        <v>3380</v>
      </c>
      <c r="P558" t="s">
        <v>3380</v>
      </c>
      <c r="Q558" t="s">
        <v>3383</v>
      </c>
      <c r="R558" t="s">
        <v>3835</v>
      </c>
      <c r="S558">
        <v>8</v>
      </c>
      <c r="T558" t="s">
        <v>4197</v>
      </c>
      <c r="U558" t="s">
        <v>4223</v>
      </c>
      <c r="W558" t="s">
        <v>4243</v>
      </c>
      <c r="X558" t="s">
        <v>3382</v>
      </c>
      <c r="Y558" t="s">
        <v>3382</v>
      </c>
      <c r="AA558" t="s">
        <v>4256</v>
      </c>
      <c r="AB558" t="s">
        <v>4261</v>
      </c>
      <c r="AC558">
        <v>0</v>
      </c>
      <c r="AD558">
        <v>1547</v>
      </c>
      <c r="AE558">
        <v>24.15</v>
      </c>
      <c r="AG558" t="s">
        <v>4816</v>
      </c>
      <c r="AH558" t="s">
        <v>5300</v>
      </c>
      <c r="AI558" t="s">
        <v>5851</v>
      </c>
      <c r="AJ558">
        <v>0</v>
      </c>
      <c r="AK558" t="s">
        <v>6266</v>
      </c>
      <c r="AL558">
        <v>1</v>
      </c>
      <c r="AM558">
        <v>2</v>
      </c>
      <c r="AN558">
        <v>118.99</v>
      </c>
      <c r="AQ558" t="s">
        <v>6286</v>
      </c>
      <c r="AR558" t="s">
        <v>6290</v>
      </c>
      <c r="AS558" t="s">
        <v>6298</v>
      </c>
      <c r="AT558">
        <v>25380</v>
      </c>
      <c r="AX558" t="s">
        <v>6434</v>
      </c>
      <c r="BA558" t="s">
        <v>6568</v>
      </c>
      <c r="BD558" t="s">
        <v>504</v>
      </c>
    </row>
    <row r="559" spans="1:57">
      <c r="A559" s="1">
        <f>HYPERLINK("https://lsnyc.legalserver.org/matter/dynamic-profile/view/1881384","18-1881384")</f>
        <v>0</v>
      </c>
      <c r="B559" t="s">
        <v>59</v>
      </c>
      <c r="C559" t="s">
        <v>163</v>
      </c>
      <c r="D559" t="s">
        <v>214</v>
      </c>
      <c r="E559" t="s">
        <v>439</v>
      </c>
      <c r="G559" t="s">
        <v>1033</v>
      </c>
      <c r="H559" t="s">
        <v>1749</v>
      </c>
      <c r="J559" t="s">
        <v>2575</v>
      </c>
      <c r="L559" t="s">
        <v>3330</v>
      </c>
      <c r="M559" t="s">
        <v>3379</v>
      </c>
      <c r="N559">
        <v>10027</v>
      </c>
      <c r="O559" t="s">
        <v>3381</v>
      </c>
      <c r="P559" t="s">
        <v>3381</v>
      </c>
      <c r="R559" t="s">
        <v>3836</v>
      </c>
      <c r="S559">
        <v>0</v>
      </c>
      <c r="T559" t="s">
        <v>4196</v>
      </c>
      <c r="U559" t="s">
        <v>4223</v>
      </c>
      <c r="W559" t="s">
        <v>4243</v>
      </c>
      <c r="X559" t="s">
        <v>3382</v>
      </c>
      <c r="Y559" t="s">
        <v>3382</v>
      </c>
      <c r="AA559" t="s">
        <v>4256</v>
      </c>
      <c r="AC559">
        <v>0</v>
      </c>
      <c r="AD559">
        <v>634</v>
      </c>
      <c r="AE559">
        <v>39.25</v>
      </c>
      <c r="AG559" t="s">
        <v>4817</v>
      </c>
      <c r="AI559" t="s">
        <v>5852</v>
      </c>
      <c r="AJ559">
        <v>32</v>
      </c>
      <c r="AL559">
        <v>2</v>
      </c>
      <c r="AM559">
        <v>1</v>
      </c>
      <c r="AN559">
        <v>73.56999999999999</v>
      </c>
      <c r="AQ559" t="s">
        <v>6288</v>
      </c>
      <c r="AR559" t="s">
        <v>3391</v>
      </c>
      <c r="AS559" t="s">
        <v>3391</v>
      </c>
      <c r="AT559">
        <v>15288</v>
      </c>
      <c r="AX559" t="s">
        <v>6430</v>
      </c>
      <c r="BA559" t="s">
        <v>6477</v>
      </c>
      <c r="BD559" t="s">
        <v>288</v>
      </c>
    </row>
    <row r="560" spans="1:57">
      <c r="A560" s="1">
        <f>HYPERLINK("https://lsnyc.legalserver.org/matter/dynamic-profile/view/1886797","19-1886797")</f>
        <v>0</v>
      </c>
      <c r="B560" t="s">
        <v>59</v>
      </c>
      <c r="C560" t="s">
        <v>163</v>
      </c>
      <c r="D560" t="s">
        <v>214</v>
      </c>
      <c r="E560" t="s">
        <v>440</v>
      </c>
      <c r="G560" t="s">
        <v>1034</v>
      </c>
      <c r="H560" t="s">
        <v>1750</v>
      </c>
      <c r="J560" t="s">
        <v>2576</v>
      </c>
      <c r="K560" t="s">
        <v>3030</v>
      </c>
      <c r="L560" t="s">
        <v>3330</v>
      </c>
      <c r="M560" t="s">
        <v>3379</v>
      </c>
      <c r="N560">
        <v>10027</v>
      </c>
      <c r="O560" t="s">
        <v>3381</v>
      </c>
      <c r="P560" t="s">
        <v>3380</v>
      </c>
      <c r="Q560" t="s">
        <v>3383</v>
      </c>
      <c r="R560" t="s">
        <v>3837</v>
      </c>
      <c r="S560">
        <v>23</v>
      </c>
      <c r="T560" t="s">
        <v>4196</v>
      </c>
      <c r="U560" t="s">
        <v>4223</v>
      </c>
      <c r="W560" t="s">
        <v>4242</v>
      </c>
      <c r="X560" t="s">
        <v>3382</v>
      </c>
      <c r="Y560" t="s">
        <v>3382</v>
      </c>
      <c r="AA560" t="s">
        <v>4256</v>
      </c>
      <c r="AC560">
        <v>0</v>
      </c>
      <c r="AD560">
        <v>1588</v>
      </c>
      <c r="AE560">
        <v>30.3</v>
      </c>
      <c r="AG560" t="s">
        <v>4818</v>
      </c>
      <c r="AI560" t="s">
        <v>5853</v>
      </c>
      <c r="AJ560">
        <v>0</v>
      </c>
      <c r="AK560" t="s">
        <v>6266</v>
      </c>
      <c r="AL560">
        <v>3</v>
      </c>
      <c r="AM560">
        <v>1</v>
      </c>
      <c r="AN560">
        <v>192.47</v>
      </c>
      <c r="AQ560" t="s">
        <v>6288</v>
      </c>
      <c r="AR560" t="s">
        <v>6290</v>
      </c>
      <c r="AS560" t="s">
        <v>6299</v>
      </c>
      <c r="AT560">
        <v>48309.74</v>
      </c>
      <c r="AX560" t="s">
        <v>6434</v>
      </c>
      <c r="BA560" t="s">
        <v>6515</v>
      </c>
      <c r="BD560" t="s">
        <v>6654</v>
      </c>
    </row>
    <row r="561" spans="1:57">
      <c r="A561" s="1">
        <f>HYPERLINK("https://lsnyc.legalserver.org/matter/dynamic-profile/view/1908041","19-1908041")</f>
        <v>0</v>
      </c>
      <c r="B561" t="s">
        <v>59</v>
      </c>
      <c r="C561" t="s">
        <v>163</v>
      </c>
      <c r="D561" t="s">
        <v>214</v>
      </c>
      <c r="E561" t="s">
        <v>309</v>
      </c>
      <c r="G561" t="s">
        <v>611</v>
      </c>
      <c r="H561" t="s">
        <v>1391</v>
      </c>
      <c r="J561" t="s">
        <v>2577</v>
      </c>
      <c r="K561">
        <v>6</v>
      </c>
      <c r="L561" t="s">
        <v>3330</v>
      </c>
      <c r="M561" t="s">
        <v>3379</v>
      </c>
      <c r="N561">
        <v>10009</v>
      </c>
      <c r="O561" t="s">
        <v>3380</v>
      </c>
      <c r="P561" t="s">
        <v>3381</v>
      </c>
      <c r="Q561" t="s">
        <v>3383</v>
      </c>
      <c r="R561" t="s">
        <v>3838</v>
      </c>
      <c r="S561">
        <v>30</v>
      </c>
      <c r="T561" t="s">
        <v>4196</v>
      </c>
      <c r="U561" t="s">
        <v>4225</v>
      </c>
      <c r="W561" t="s">
        <v>4243</v>
      </c>
      <c r="X561" t="s">
        <v>3382</v>
      </c>
      <c r="Y561" t="s">
        <v>3382</v>
      </c>
      <c r="AA561" t="s">
        <v>4256</v>
      </c>
      <c r="AB561" t="s">
        <v>4264</v>
      </c>
      <c r="AC561">
        <v>0</v>
      </c>
      <c r="AD561">
        <v>0</v>
      </c>
      <c r="AE561">
        <v>1</v>
      </c>
      <c r="AG561" t="s">
        <v>4819</v>
      </c>
      <c r="AI561" t="s">
        <v>5854</v>
      </c>
      <c r="AJ561">
        <v>19</v>
      </c>
      <c r="AK561" t="s">
        <v>6272</v>
      </c>
      <c r="AL561">
        <v>3</v>
      </c>
      <c r="AM561">
        <v>0</v>
      </c>
      <c r="AN561">
        <v>129.92</v>
      </c>
      <c r="AR561" t="s">
        <v>5312</v>
      </c>
      <c r="AS561" t="s">
        <v>6298</v>
      </c>
      <c r="AT561">
        <v>27711</v>
      </c>
      <c r="AX561" t="s">
        <v>6428</v>
      </c>
      <c r="BA561" t="s">
        <v>6477</v>
      </c>
      <c r="BD561" t="s">
        <v>309</v>
      </c>
      <c r="BE561" t="s">
        <v>6702</v>
      </c>
    </row>
    <row r="562" spans="1:57">
      <c r="A562" s="1">
        <f>HYPERLINK("https://lsnyc.legalserver.org/matter/dynamic-profile/view/1875907","18-1875907")</f>
        <v>0</v>
      </c>
      <c r="B562" t="s">
        <v>59</v>
      </c>
      <c r="C562" t="s">
        <v>164</v>
      </c>
      <c r="D562" t="s">
        <v>215</v>
      </c>
      <c r="E562" t="s">
        <v>441</v>
      </c>
      <c r="F562" t="s">
        <v>243</v>
      </c>
      <c r="G562" t="s">
        <v>803</v>
      </c>
      <c r="H562" t="s">
        <v>1353</v>
      </c>
      <c r="J562" t="s">
        <v>2578</v>
      </c>
      <c r="K562" t="s">
        <v>3224</v>
      </c>
      <c r="L562" t="s">
        <v>3330</v>
      </c>
      <c r="M562" t="s">
        <v>3379</v>
      </c>
      <c r="N562">
        <v>10037</v>
      </c>
      <c r="O562" t="s">
        <v>3380</v>
      </c>
      <c r="P562" t="s">
        <v>3381</v>
      </c>
      <c r="Q562" t="s">
        <v>3387</v>
      </c>
      <c r="R562" t="s">
        <v>3839</v>
      </c>
      <c r="S562">
        <v>10</v>
      </c>
      <c r="T562" t="s">
        <v>4196</v>
      </c>
      <c r="U562" t="s">
        <v>4225</v>
      </c>
      <c r="V562" t="s">
        <v>4230</v>
      </c>
      <c r="W562" t="s">
        <v>4243</v>
      </c>
      <c r="X562" t="s">
        <v>3382</v>
      </c>
      <c r="Y562" t="s">
        <v>3382</v>
      </c>
      <c r="AA562" t="s">
        <v>4258</v>
      </c>
      <c r="AC562">
        <v>436</v>
      </c>
      <c r="AD562">
        <v>1525</v>
      </c>
      <c r="AE562">
        <v>1.4</v>
      </c>
      <c r="AF562" t="s">
        <v>4268</v>
      </c>
      <c r="AG562" t="s">
        <v>4820</v>
      </c>
      <c r="AI562" t="s">
        <v>5855</v>
      </c>
      <c r="AJ562">
        <v>105</v>
      </c>
      <c r="AK562" t="s">
        <v>6273</v>
      </c>
      <c r="AL562">
        <v>1</v>
      </c>
      <c r="AM562">
        <v>0</v>
      </c>
      <c r="AN562">
        <v>93.81</v>
      </c>
      <c r="AQ562" t="s">
        <v>6287</v>
      </c>
      <c r="AR562" t="s">
        <v>6290</v>
      </c>
      <c r="AS562" t="s">
        <v>6298</v>
      </c>
      <c r="AT562">
        <v>11388</v>
      </c>
      <c r="AV562" t="s">
        <v>3380</v>
      </c>
      <c r="AX562" t="s">
        <v>6430</v>
      </c>
      <c r="BA562" t="s">
        <v>6485</v>
      </c>
      <c r="BD562" t="s">
        <v>6655</v>
      </c>
      <c r="BE562" t="s">
        <v>6702</v>
      </c>
    </row>
    <row r="563" spans="1:57">
      <c r="A563" s="1">
        <f>HYPERLINK("https://lsnyc.legalserver.org/matter/dynamic-profile/view/1868842","18-1868842")</f>
        <v>0</v>
      </c>
      <c r="B563" t="s">
        <v>59</v>
      </c>
      <c r="C563" t="s">
        <v>164</v>
      </c>
      <c r="D563" t="s">
        <v>215</v>
      </c>
      <c r="E563" t="s">
        <v>442</v>
      </c>
      <c r="F563" t="s">
        <v>237</v>
      </c>
      <c r="G563" t="s">
        <v>1035</v>
      </c>
      <c r="H563" t="s">
        <v>1751</v>
      </c>
      <c r="J563" t="s">
        <v>2579</v>
      </c>
      <c r="K563">
        <v>45</v>
      </c>
      <c r="L563" t="s">
        <v>3330</v>
      </c>
      <c r="M563" t="s">
        <v>3379</v>
      </c>
      <c r="N563">
        <v>10033</v>
      </c>
      <c r="O563" t="s">
        <v>3380</v>
      </c>
      <c r="P563" t="s">
        <v>3381</v>
      </c>
      <c r="Q563" t="s">
        <v>3389</v>
      </c>
      <c r="R563" t="s">
        <v>3840</v>
      </c>
      <c r="S563">
        <v>35</v>
      </c>
      <c r="T563" t="s">
        <v>4197</v>
      </c>
      <c r="U563" t="s">
        <v>4225</v>
      </c>
      <c r="V563" t="s">
        <v>4230</v>
      </c>
      <c r="W563" t="s">
        <v>4243</v>
      </c>
      <c r="X563" t="s">
        <v>3382</v>
      </c>
      <c r="Y563" t="s">
        <v>3382</v>
      </c>
      <c r="AA563" t="s">
        <v>4256</v>
      </c>
      <c r="AC563">
        <v>698</v>
      </c>
      <c r="AD563">
        <v>698</v>
      </c>
      <c r="AE563">
        <v>1.3</v>
      </c>
      <c r="AF563" t="s">
        <v>4268</v>
      </c>
      <c r="AG563" t="s">
        <v>4821</v>
      </c>
      <c r="AJ563">
        <v>0</v>
      </c>
      <c r="AK563" t="s">
        <v>6269</v>
      </c>
      <c r="AL563">
        <v>2</v>
      </c>
      <c r="AM563">
        <v>1</v>
      </c>
      <c r="AN563">
        <v>151.59</v>
      </c>
      <c r="AQ563" t="s">
        <v>6286</v>
      </c>
      <c r="AR563" t="s">
        <v>5312</v>
      </c>
      <c r="AS563" t="s">
        <v>6298</v>
      </c>
      <c r="AT563">
        <v>31500</v>
      </c>
      <c r="AV563" t="s">
        <v>3380</v>
      </c>
      <c r="AX563" t="s">
        <v>6428</v>
      </c>
      <c r="BA563" t="s">
        <v>6515</v>
      </c>
      <c r="BD563" t="s">
        <v>237</v>
      </c>
    </row>
    <row r="564" spans="1:57">
      <c r="A564" s="1">
        <f>HYPERLINK("https://lsnyc.legalserver.org/matter/dynamic-profile/view/1886198","18-1886198")</f>
        <v>0</v>
      </c>
      <c r="B564" t="s">
        <v>59</v>
      </c>
      <c r="C564" t="s">
        <v>164</v>
      </c>
      <c r="D564" t="s">
        <v>214</v>
      </c>
      <c r="E564" t="s">
        <v>443</v>
      </c>
      <c r="G564" t="s">
        <v>674</v>
      </c>
      <c r="H564" t="s">
        <v>1525</v>
      </c>
      <c r="J564" t="s">
        <v>2532</v>
      </c>
      <c r="K564" t="s">
        <v>3225</v>
      </c>
      <c r="L564" t="s">
        <v>3330</v>
      </c>
      <c r="M564" t="s">
        <v>3379</v>
      </c>
      <c r="N564">
        <v>10031</v>
      </c>
      <c r="O564" t="s">
        <v>3380</v>
      </c>
      <c r="P564" t="s">
        <v>3380</v>
      </c>
      <c r="Q564" t="s">
        <v>3383</v>
      </c>
      <c r="R564" t="s">
        <v>3841</v>
      </c>
      <c r="S564">
        <v>43</v>
      </c>
      <c r="T564" t="s">
        <v>4196</v>
      </c>
      <c r="U564" t="s">
        <v>4223</v>
      </c>
      <c r="W564" t="s">
        <v>4242</v>
      </c>
      <c r="X564" t="s">
        <v>3382</v>
      </c>
      <c r="Y564" t="s">
        <v>3382</v>
      </c>
      <c r="AA564" t="s">
        <v>4256</v>
      </c>
      <c r="AC564">
        <v>0</v>
      </c>
      <c r="AD564">
        <v>200</v>
      </c>
      <c r="AE564">
        <v>8</v>
      </c>
      <c r="AG564" t="s">
        <v>4822</v>
      </c>
      <c r="AI564" t="s">
        <v>5856</v>
      </c>
      <c r="AJ564">
        <v>0</v>
      </c>
      <c r="AK564" t="s">
        <v>6277</v>
      </c>
      <c r="AL564">
        <v>2</v>
      </c>
      <c r="AM564">
        <v>0</v>
      </c>
      <c r="AN564">
        <v>68.31</v>
      </c>
      <c r="AQ564" t="s">
        <v>6287</v>
      </c>
      <c r="AR564" t="s">
        <v>6290</v>
      </c>
      <c r="AS564" t="s">
        <v>6298</v>
      </c>
      <c r="AT564">
        <v>11244</v>
      </c>
      <c r="AX564" t="s">
        <v>6428</v>
      </c>
      <c r="BA564" t="s">
        <v>6499</v>
      </c>
      <c r="BD564" t="s">
        <v>288</v>
      </c>
    </row>
    <row r="565" spans="1:57">
      <c r="A565" s="1">
        <f>HYPERLINK("https://lsnyc.legalserver.org/matter/dynamic-profile/view/3002627","M11E-63002627")</f>
        <v>0</v>
      </c>
      <c r="B565" t="s">
        <v>59</v>
      </c>
      <c r="C565" t="s">
        <v>164</v>
      </c>
      <c r="D565" t="s">
        <v>214</v>
      </c>
      <c r="E565" t="s">
        <v>444</v>
      </c>
      <c r="G565" t="s">
        <v>1036</v>
      </c>
      <c r="H565" t="s">
        <v>1455</v>
      </c>
      <c r="J565" t="s">
        <v>2580</v>
      </c>
      <c r="L565" t="s">
        <v>3330</v>
      </c>
      <c r="M565" t="s">
        <v>3379</v>
      </c>
      <c r="N565">
        <v>10031</v>
      </c>
      <c r="O565" t="s">
        <v>3381</v>
      </c>
      <c r="P565" t="s">
        <v>3381</v>
      </c>
      <c r="S565">
        <v>0</v>
      </c>
      <c r="U565" t="s">
        <v>4223</v>
      </c>
      <c r="W565" t="s">
        <v>4243</v>
      </c>
      <c r="X565" t="s">
        <v>3382</v>
      </c>
      <c r="AA565" t="s">
        <v>4256</v>
      </c>
      <c r="AC565">
        <v>0</v>
      </c>
      <c r="AD565">
        <v>0</v>
      </c>
      <c r="AE565">
        <v>2.55</v>
      </c>
      <c r="AF565" t="s">
        <v>4278</v>
      </c>
      <c r="AG565" t="s">
        <v>4823</v>
      </c>
      <c r="AJ565">
        <v>0</v>
      </c>
      <c r="AL565">
        <v>1</v>
      </c>
      <c r="AM565">
        <v>0</v>
      </c>
      <c r="AN565">
        <v>91.31999999999999</v>
      </c>
      <c r="AS565" t="s">
        <v>6299</v>
      </c>
      <c r="AT565">
        <v>9132</v>
      </c>
      <c r="AX565" t="s">
        <v>6431</v>
      </c>
      <c r="BA565" t="s">
        <v>6482</v>
      </c>
      <c r="BD565" t="s">
        <v>237</v>
      </c>
    </row>
    <row r="566" spans="1:57">
      <c r="A566" s="1">
        <f>HYPERLINK("https://lsnyc.legalserver.org/matter/dynamic-profile/view/1867727","18-1867727")</f>
        <v>0</v>
      </c>
      <c r="B566" t="s">
        <v>59</v>
      </c>
      <c r="C566" t="s">
        <v>164</v>
      </c>
      <c r="D566" t="s">
        <v>215</v>
      </c>
      <c r="E566" t="s">
        <v>445</v>
      </c>
      <c r="F566" t="s">
        <v>237</v>
      </c>
      <c r="G566" t="s">
        <v>613</v>
      </c>
      <c r="H566" t="s">
        <v>1464</v>
      </c>
      <c r="J566" t="s">
        <v>2551</v>
      </c>
      <c r="K566" t="s">
        <v>3226</v>
      </c>
      <c r="L566" t="s">
        <v>3330</v>
      </c>
      <c r="M566" t="s">
        <v>3379</v>
      </c>
      <c r="N566">
        <v>10027</v>
      </c>
      <c r="O566" t="s">
        <v>3382</v>
      </c>
      <c r="P566" t="s">
        <v>3381</v>
      </c>
      <c r="Q566" t="s">
        <v>3389</v>
      </c>
      <c r="S566">
        <v>40</v>
      </c>
      <c r="T566" t="s">
        <v>4203</v>
      </c>
      <c r="U566" t="s">
        <v>4224</v>
      </c>
      <c r="V566" t="s">
        <v>4230</v>
      </c>
      <c r="W566" t="s">
        <v>4243</v>
      </c>
      <c r="X566" t="s">
        <v>3382</v>
      </c>
      <c r="AA566" t="s">
        <v>4258</v>
      </c>
      <c r="AC566">
        <v>0</v>
      </c>
      <c r="AD566">
        <v>215</v>
      </c>
      <c r="AE566">
        <v>1.55</v>
      </c>
      <c r="AF566" t="s">
        <v>4268</v>
      </c>
      <c r="AG566" t="s">
        <v>4824</v>
      </c>
      <c r="AI566" t="s">
        <v>5857</v>
      </c>
      <c r="AJ566">
        <v>0</v>
      </c>
      <c r="AK566" t="s">
        <v>6270</v>
      </c>
      <c r="AL566">
        <v>1</v>
      </c>
      <c r="AM566">
        <v>0</v>
      </c>
      <c r="AN566">
        <v>30.44</v>
      </c>
      <c r="AQ566" t="s">
        <v>6287</v>
      </c>
      <c r="AR566" t="s">
        <v>3391</v>
      </c>
      <c r="AT566">
        <v>3696</v>
      </c>
      <c r="AV566" t="s">
        <v>3380</v>
      </c>
      <c r="AX566" t="s">
        <v>6437</v>
      </c>
      <c r="BA566" t="s">
        <v>6483</v>
      </c>
      <c r="BD566" t="s">
        <v>237</v>
      </c>
    </row>
    <row r="567" spans="1:57">
      <c r="A567" s="1">
        <f>HYPERLINK("https://lsnyc.legalserver.org/matter/dynamic-profile/view/1876358","18-1876358")</f>
        <v>0</v>
      </c>
      <c r="B567" t="s">
        <v>59</v>
      </c>
      <c r="C567" t="s">
        <v>164</v>
      </c>
      <c r="D567" t="s">
        <v>215</v>
      </c>
      <c r="E567" t="s">
        <v>446</v>
      </c>
      <c r="F567" t="s">
        <v>243</v>
      </c>
      <c r="G567" t="s">
        <v>1037</v>
      </c>
      <c r="H567" t="s">
        <v>1752</v>
      </c>
      <c r="J567" t="s">
        <v>2581</v>
      </c>
      <c r="K567" t="s">
        <v>3016</v>
      </c>
      <c r="L567" t="s">
        <v>3330</v>
      </c>
      <c r="M567" t="s">
        <v>3379</v>
      </c>
      <c r="N567">
        <v>10026</v>
      </c>
      <c r="O567" t="s">
        <v>3380</v>
      </c>
      <c r="P567" t="s">
        <v>3381</v>
      </c>
      <c r="R567" t="s">
        <v>3842</v>
      </c>
      <c r="S567">
        <v>29</v>
      </c>
      <c r="T567" t="s">
        <v>4196</v>
      </c>
      <c r="U567" t="s">
        <v>4223</v>
      </c>
      <c r="V567" t="s">
        <v>4231</v>
      </c>
      <c r="W567" t="s">
        <v>4242</v>
      </c>
      <c r="X567" t="s">
        <v>3382</v>
      </c>
      <c r="AA567" t="s">
        <v>4256</v>
      </c>
      <c r="AC567">
        <v>1300</v>
      </c>
      <c r="AD567">
        <v>1300</v>
      </c>
      <c r="AE567">
        <v>22.1</v>
      </c>
      <c r="AF567" t="s">
        <v>4269</v>
      </c>
      <c r="AG567" t="s">
        <v>4825</v>
      </c>
      <c r="AI567" t="s">
        <v>5858</v>
      </c>
      <c r="AJ567">
        <v>42</v>
      </c>
      <c r="AK567" t="s">
        <v>6267</v>
      </c>
      <c r="AL567">
        <v>4</v>
      </c>
      <c r="AM567">
        <v>1</v>
      </c>
      <c r="AN567">
        <v>183.55</v>
      </c>
      <c r="AQ567" t="s">
        <v>6288</v>
      </c>
      <c r="AR567" t="s">
        <v>5312</v>
      </c>
      <c r="AS567" t="s">
        <v>6298</v>
      </c>
      <c r="AT567">
        <v>54000</v>
      </c>
      <c r="AV567" t="s">
        <v>3380</v>
      </c>
      <c r="AX567" t="s">
        <v>6428</v>
      </c>
      <c r="BA567" t="s">
        <v>6477</v>
      </c>
      <c r="BB567" t="s">
        <v>6602</v>
      </c>
      <c r="BC567" t="s">
        <v>6622</v>
      </c>
      <c r="BD567" t="s">
        <v>243</v>
      </c>
    </row>
    <row r="568" spans="1:57">
      <c r="A568" s="1">
        <f>HYPERLINK("https://lsnyc.legalserver.org/matter/dynamic-profile/view/1913220","19-1913220")</f>
        <v>0</v>
      </c>
      <c r="B568" t="s">
        <v>59</v>
      </c>
      <c r="C568" t="s">
        <v>164</v>
      </c>
      <c r="D568" t="s">
        <v>214</v>
      </c>
      <c r="E568" t="s">
        <v>228</v>
      </c>
      <c r="G568" t="s">
        <v>1038</v>
      </c>
      <c r="H568" t="s">
        <v>1330</v>
      </c>
      <c r="J568" t="s">
        <v>2582</v>
      </c>
      <c r="K568" t="s">
        <v>3038</v>
      </c>
      <c r="L568" t="s">
        <v>3330</v>
      </c>
      <c r="M568" t="s">
        <v>3379</v>
      </c>
      <c r="N568">
        <v>10026</v>
      </c>
      <c r="O568" t="s">
        <v>3380</v>
      </c>
      <c r="P568" t="s">
        <v>3381</v>
      </c>
      <c r="Q568" t="s">
        <v>3383</v>
      </c>
      <c r="R568" t="s">
        <v>3843</v>
      </c>
      <c r="S568">
        <v>25</v>
      </c>
      <c r="T568" t="s">
        <v>4196</v>
      </c>
      <c r="U568" t="s">
        <v>4223</v>
      </c>
      <c r="W568" t="s">
        <v>4242</v>
      </c>
      <c r="X568" t="s">
        <v>3382</v>
      </c>
      <c r="Y568" t="s">
        <v>3382</v>
      </c>
      <c r="AA568" t="s">
        <v>4256</v>
      </c>
      <c r="AC568">
        <v>0</v>
      </c>
      <c r="AD568">
        <v>1043</v>
      </c>
      <c r="AE568">
        <v>3.3</v>
      </c>
      <c r="AG568" t="s">
        <v>4826</v>
      </c>
      <c r="AH568" t="s">
        <v>5301</v>
      </c>
      <c r="AI568" t="s">
        <v>5859</v>
      </c>
      <c r="AJ568">
        <v>0</v>
      </c>
      <c r="AK568" t="s">
        <v>6267</v>
      </c>
      <c r="AL568">
        <v>1</v>
      </c>
      <c r="AM568">
        <v>3</v>
      </c>
      <c r="AN568">
        <v>93.2</v>
      </c>
      <c r="AR568" t="s">
        <v>5312</v>
      </c>
      <c r="AS568" t="s">
        <v>6298</v>
      </c>
      <c r="AT568">
        <v>24000</v>
      </c>
      <c r="AX568" t="s">
        <v>6428</v>
      </c>
      <c r="BA568" t="s">
        <v>6473</v>
      </c>
      <c r="BD568" t="s">
        <v>224</v>
      </c>
      <c r="BE568" t="s">
        <v>6703</v>
      </c>
    </row>
    <row r="569" spans="1:57">
      <c r="A569" s="1">
        <f>HYPERLINK("https://lsnyc.legalserver.org/matter/dynamic-profile/view/1896274","19-1896274")</f>
        <v>0</v>
      </c>
      <c r="B569" t="s">
        <v>59</v>
      </c>
      <c r="C569" t="s">
        <v>164</v>
      </c>
      <c r="D569" t="s">
        <v>215</v>
      </c>
      <c r="E569" t="s">
        <v>414</v>
      </c>
      <c r="F569" t="s">
        <v>237</v>
      </c>
      <c r="G569" t="s">
        <v>1039</v>
      </c>
      <c r="H569" t="s">
        <v>1753</v>
      </c>
      <c r="J569" t="s">
        <v>2583</v>
      </c>
      <c r="L569" t="s">
        <v>3330</v>
      </c>
      <c r="M569" t="s">
        <v>3379</v>
      </c>
      <c r="N569">
        <v>10025</v>
      </c>
      <c r="O569" t="s">
        <v>3381</v>
      </c>
      <c r="P569" t="s">
        <v>3381</v>
      </c>
      <c r="S569">
        <v>0</v>
      </c>
      <c r="T569" t="s">
        <v>4196</v>
      </c>
      <c r="U569" t="s">
        <v>4225</v>
      </c>
      <c r="V569" t="s">
        <v>4230</v>
      </c>
      <c r="W569" t="s">
        <v>4242</v>
      </c>
      <c r="X569" t="s">
        <v>3382</v>
      </c>
      <c r="Y569" t="s">
        <v>3382</v>
      </c>
      <c r="AA569" t="s">
        <v>4256</v>
      </c>
      <c r="AC569">
        <v>0</v>
      </c>
      <c r="AD569">
        <v>996</v>
      </c>
      <c r="AE569">
        <v>0.1</v>
      </c>
      <c r="AF569" t="s">
        <v>4268</v>
      </c>
      <c r="AG569" t="s">
        <v>4827</v>
      </c>
      <c r="AI569" t="s">
        <v>5860</v>
      </c>
      <c r="AJ569">
        <v>0</v>
      </c>
      <c r="AL569">
        <v>1</v>
      </c>
      <c r="AM569">
        <v>0</v>
      </c>
      <c r="AN569">
        <v>400.32</v>
      </c>
      <c r="AS569" t="s">
        <v>6298</v>
      </c>
      <c r="AT569">
        <v>50000</v>
      </c>
      <c r="AX569" t="s">
        <v>6430</v>
      </c>
      <c r="BA569" t="s">
        <v>6477</v>
      </c>
      <c r="BD569" t="s">
        <v>237</v>
      </c>
    </row>
    <row r="570" spans="1:57">
      <c r="A570" s="1">
        <f>HYPERLINK("https://lsnyc.legalserver.org/matter/dynamic-profile/view/0818947","16-0818947")</f>
        <v>0</v>
      </c>
      <c r="B570" t="s">
        <v>59</v>
      </c>
      <c r="C570" t="s">
        <v>164</v>
      </c>
      <c r="D570" t="s">
        <v>214</v>
      </c>
      <c r="E570" t="s">
        <v>447</v>
      </c>
      <c r="G570" t="s">
        <v>1040</v>
      </c>
      <c r="H570" t="s">
        <v>1754</v>
      </c>
      <c r="J570" t="s">
        <v>2584</v>
      </c>
      <c r="K570" t="s">
        <v>3045</v>
      </c>
      <c r="L570" t="s">
        <v>3330</v>
      </c>
      <c r="M570" t="s">
        <v>3379</v>
      </c>
      <c r="N570">
        <v>10014</v>
      </c>
      <c r="O570" t="s">
        <v>3381</v>
      </c>
      <c r="P570" t="s">
        <v>3381</v>
      </c>
      <c r="Q570" t="s">
        <v>3383</v>
      </c>
      <c r="R570" t="s">
        <v>3844</v>
      </c>
      <c r="S570">
        <v>47</v>
      </c>
      <c r="T570" t="s">
        <v>4197</v>
      </c>
      <c r="U570" t="s">
        <v>4223</v>
      </c>
      <c r="W570" t="s">
        <v>4243</v>
      </c>
      <c r="X570" t="s">
        <v>3382</v>
      </c>
      <c r="AA570" t="s">
        <v>4256</v>
      </c>
      <c r="AC570">
        <v>534</v>
      </c>
      <c r="AD570">
        <v>834</v>
      </c>
      <c r="AE570">
        <v>237.1</v>
      </c>
      <c r="AG570" t="s">
        <v>4828</v>
      </c>
      <c r="AI570" t="s">
        <v>5861</v>
      </c>
      <c r="AJ570">
        <v>0</v>
      </c>
      <c r="AK570" t="s">
        <v>6267</v>
      </c>
      <c r="AL570">
        <v>1</v>
      </c>
      <c r="AM570">
        <v>0</v>
      </c>
      <c r="AN570">
        <v>102.22</v>
      </c>
      <c r="AQ570" t="s">
        <v>6287</v>
      </c>
      <c r="AS570" t="s">
        <v>6298</v>
      </c>
      <c r="AT570">
        <v>12144</v>
      </c>
      <c r="AX570" t="s">
        <v>6433</v>
      </c>
      <c r="BA570" t="s">
        <v>6511</v>
      </c>
      <c r="BD570" t="s">
        <v>237</v>
      </c>
    </row>
    <row r="571" spans="1:57">
      <c r="A571" s="1">
        <f>HYPERLINK("https://lsnyc.legalserver.org/matter/dynamic-profile/view/1897650","19-1897650")</f>
        <v>0</v>
      </c>
      <c r="B571" t="s">
        <v>59</v>
      </c>
      <c r="C571" t="s">
        <v>164</v>
      </c>
      <c r="D571" t="s">
        <v>215</v>
      </c>
      <c r="E571" t="s">
        <v>335</v>
      </c>
      <c r="F571" t="s">
        <v>230</v>
      </c>
      <c r="G571" t="s">
        <v>614</v>
      </c>
      <c r="H571" t="s">
        <v>1755</v>
      </c>
      <c r="J571" t="s">
        <v>2585</v>
      </c>
      <c r="K571" t="s">
        <v>2998</v>
      </c>
      <c r="L571" t="s">
        <v>3330</v>
      </c>
      <c r="M571" t="s">
        <v>3379</v>
      </c>
      <c r="N571">
        <v>10009</v>
      </c>
      <c r="O571" t="s">
        <v>3381</v>
      </c>
      <c r="P571" t="s">
        <v>3381</v>
      </c>
      <c r="S571">
        <v>17</v>
      </c>
      <c r="T571" t="s">
        <v>4203</v>
      </c>
      <c r="U571" t="s">
        <v>4225</v>
      </c>
      <c r="V571" t="s">
        <v>4230</v>
      </c>
      <c r="W571" t="s">
        <v>4243</v>
      </c>
      <c r="X571" t="s">
        <v>3382</v>
      </c>
      <c r="AA571" t="s">
        <v>4258</v>
      </c>
      <c r="AC571">
        <v>0</v>
      </c>
      <c r="AD571">
        <v>0</v>
      </c>
      <c r="AE571">
        <v>0.1</v>
      </c>
      <c r="AF571" t="s">
        <v>4267</v>
      </c>
      <c r="AG571" t="s">
        <v>4829</v>
      </c>
      <c r="AI571" t="s">
        <v>5862</v>
      </c>
      <c r="AJ571">
        <v>0</v>
      </c>
      <c r="AL571">
        <v>3</v>
      </c>
      <c r="AM571">
        <v>1</v>
      </c>
      <c r="AN571">
        <v>71.86</v>
      </c>
      <c r="AS571" t="s">
        <v>6299</v>
      </c>
      <c r="AT571">
        <v>18504</v>
      </c>
      <c r="AX571" t="s">
        <v>6429</v>
      </c>
      <c r="BA571" t="s">
        <v>6482</v>
      </c>
      <c r="BD571" t="s">
        <v>230</v>
      </c>
    </row>
    <row r="572" spans="1:57">
      <c r="A572" s="1">
        <f>HYPERLINK("https://lsnyc.legalserver.org/matter/dynamic-profile/view/1867529","18-1867529")</f>
        <v>0</v>
      </c>
      <c r="B572" t="s">
        <v>59</v>
      </c>
      <c r="C572" t="s">
        <v>164</v>
      </c>
      <c r="D572" t="s">
        <v>215</v>
      </c>
      <c r="E572" t="s">
        <v>436</v>
      </c>
      <c r="F572" t="s">
        <v>230</v>
      </c>
      <c r="G572" t="s">
        <v>831</v>
      </c>
      <c r="H572" t="s">
        <v>1756</v>
      </c>
      <c r="J572" t="s">
        <v>2586</v>
      </c>
      <c r="K572" t="s">
        <v>3136</v>
      </c>
      <c r="L572" t="s">
        <v>3330</v>
      </c>
      <c r="M572" t="s">
        <v>3379</v>
      </c>
      <c r="N572">
        <v>10002</v>
      </c>
      <c r="O572" t="s">
        <v>3382</v>
      </c>
      <c r="P572" t="s">
        <v>3381</v>
      </c>
      <c r="Q572" t="s">
        <v>3383</v>
      </c>
      <c r="R572" t="s">
        <v>3845</v>
      </c>
      <c r="S572">
        <v>15</v>
      </c>
      <c r="T572" t="s">
        <v>4197</v>
      </c>
      <c r="U572" t="s">
        <v>4223</v>
      </c>
      <c r="V572" t="s">
        <v>4231</v>
      </c>
      <c r="W572" t="s">
        <v>4243</v>
      </c>
      <c r="X572" t="s">
        <v>3382</v>
      </c>
      <c r="AA572" t="s">
        <v>4258</v>
      </c>
      <c r="AC572">
        <v>216</v>
      </c>
      <c r="AD572">
        <v>216</v>
      </c>
      <c r="AE572">
        <v>36.4</v>
      </c>
      <c r="AF572" t="s">
        <v>4277</v>
      </c>
      <c r="AG572" t="s">
        <v>4830</v>
      </c>
      <c r="AI572" t="s">
        <v>5863</v>
      </c>
      <c r="AJ572">
        <v>0</v>
      </c>
      <c r="AK572" t="s">
        <v>6270</v>
      </c>
      <c r="AL572">
        <v>2</v>
      </c>
      <c r="AM572">
        <v>0</v>
      </c>
      <c r="AN572">
        <v>151.64</v>
      </c>
      <c r="AQ572" t="s">
        <v>6287</v>
      </c>
      <c r="AR572" t="s">
        <v>5312</v>
      </c>
      <c r="AT572">
        <v>24960</v>
      </c>
      <c r="AV572" t="s">
        <v>3382</v>
      </c>
      <c r="AX572" t="s">
        <v>174</v>
      </c>
      <c r="BA572" t="s">
        <v>6527</v>
      </c>
      <c r="BB572" t="s">
        <v>6602</v>
      </c>
      <c r="BC572" t="s">
        <v>6623</v>
      </c>
      <c r="BD572" t="s">
        <v>230</v>
      </c>
    </row>
    <row r="573" spans="1:57">
      <c r="A573" s="1">
        <f>HYPERLINK("https://lsnyc.legalserver.org/matter/dynamic-profile/view/1897716","19-1897716")</f>
        <v>0</v>
      </c>
      <c r="B573" t="s">
        <v>59</v>
      </c>
      <c r="C573" t="s">
        <v>164</v>
      </c>
      <c r="D573" t="s">
        <v>215</v>
      </c>
      <c r="E573" t="s">
        <v>289</v>
      </c>
      <c r="F573" t="s">
        <v>230</v>
      </c>
      <c r="G573" t="s">
        <v>1041</v>
      </c>
      <c r="H573" t="s">
        <v>1757</v>
      </c>
      <c r="J573" t="s">
        <v>2587</v>
      </c>
      <c r="K573" t="s">
        <v>3038</v>
      </c>
      <c r="L573" t="s">
        <v>3330</v>
      </c>
      <c r="M573" t="s">
        <v>3379</v>
      </c>
      <c r="N573">
        <v>10002</v>
      </c>
      <c r="O573" t="s">
        <v>3381</v>
      </c>
      <c r="P573" t="s">
        <v>3381</v>
      </c>
      <c r="S573">
        <v>2</v>
      </c>
      <c r="U573" t="s">
        <v>4225</v>
      </c>
      <c r="V573" t="s">
        <v>4230</v>
      </c>
      <c r="W573" t="s">
        <v>4243</v>
      </c>
      <c r="X573" t="s">
        <v>3382</v>
      </c>
      <c r="AA573" t="s">
        <v>4256</v>
      </c>
      <c r="AC573">
        <v>0</v>
      </c>
      <c r="AD573">
        <v>0</v>
      </c>
      <c r="AE573">
        <v>2</v>
      </c>
      <c r="AF573" t="s">
        <v>4268</v>
      </c>
      <c r="AG573" t="s">
        <v>4831</v>
      </c>
      <c r="AJ573">
        <v>0</v>
      </c>
      <c r="AL573">
        <v>2</v>
      </c>
      <c r="AM573">
        <v>2</v>
      </c>
      <c r="AN573">
        <v>85.44</v>
      </c>
      <c r="AT573">
        <v>22000</v>
      </c>
      <c r="AX573" t="s">
        <v>6429</v>
      </c>
      <c r="BA573" t="s">
        <v>6477</v>
      </c>
      <c r="BD573" t="s">
        <v>415</v>
      </c>
    </row>
    <row r="574" spans="1:57">
      <c r="A574" s="1">
        <f>HYPERLINK("https://lsnyc.legalserver.org/matter/dynamic-profile/view/1899175","19-1899175")</f>
        <v>0</v>
      </c>
      <c r="B574" t="s">
        <v>59</v>
      </c>
      <c r="C574" t="s">
        <v>165</v>
      </c>
      <c r="D574" t="s">
        <v>214</v>
      </c>
      <c r="E574" t="s">
        <v>314</v>
      </c>
      <c r="G574" t="s">
        <v>1042</v>
      </c>
      <c r="H574" t="s">
        <v>1356</v>
      </c>
      <c r="J574" t="s">
        <v>2588</v>
      </c>
      <c r="K574">
        <v>55</v>
      </c>
      <c r="L574" t="s">
        <v>3330</v>
      </c>
      <c r="M574" t="s">
        <v>3379</v>
      </c>
      <c r="N574">
        <v>10040</v>
      </c>
      <c r="O574" t="s">
        <v>3381</v>
      </c>
      <c r="P574" t="s">
        <v>3381</v>
      </c>
      <c r="Q574" t="s">
        <v>3386</v>
      </c>
      <c r="R574" t="s">
        <v>3846</v>
      </c>
      <c r="S574">
        <v>4</v>
      </c>
      <c r="T574" t="s">
        <v>4215</v>
      </c>
      <c r="U574" t="s">
        <v>4223</v>
      </c>
      <c r="W574" t="s">
        <v>4243</v>
      </c>
      <c r="X574" t="s">
        <v>3382</v>
      </c>
      <c r="AA574" t="s">
        <v>4256</v>
      </c>
      <c r="AC574">
        <v>0</v>
      </c>
      <c r="AD574">
        <v>1325</v>
      </c>
      <c r="AE574">
        <v>102.1</v>
      </c>
      <c r="AG574" t="s">
        <v>4832</v>
      </c>
      <c r="AI574" t="s">
        <v>5864</v>
      </c>
      <c r="AJ574">
        <v>0</v>
      </c>
      <c r="AK574" t="s">
        <v>6267</v>
      </c>
      <c r="AL574">
        <v>1</v>
      </c>
      <c r="AM574">
        <v>2</v>
      </c>
      <c r="AN574">
        <v>117.21</v>
      </c>
      <c r="AR574" t="s">
        <v>5312</v>
      </c>
      <c r="AS574" t="s">
        <v>6299</v>
      </c>
      <c r="AT574">
        <v>25000</v>
      </c>
      <c r="AX574" t="s">
        <v>6428</v>
      </c>
      <c r="BA574" t="s">
        <v>6489</v>
      </c>
      <c r="BD574" t="s">
        <v>251</v>
      </c>
    </row>
    <row r="575" spans="1:57">
      <c r="A575" s="1">
        <f>HYPERLINK("https://lsnyc.legalserver.org/matter/dynamic-profile/view/1867751","18-1867751")</f>
        <v>0</v>
      </c>
      <c r="B575" t="s">
        <v>59</v>
      </c>
      <c r="C575" t="s">
        <v>165</v>
      </c>
      <c r="D575" t="s">
        <v>214</v>
      </c>
      <c r="E575" t="s">
        <v>445</v>
      </c>
      <c r="G575" t="s">
        <v>1043</v>
      </c>
      <c r="H575" t="s">
        <v>1758</v>
      </c>
      <c r="J575" t="s">
        <v>2589</v>
      </c>
      <c r="K575">
        <v>2</v>
      </c>
      <c r="L575" t="s">
        <v>3330</v>
      </c>
      <c r="M575" t="s">
        <v>3379</v>
      </c>
      <c r="N575">
        <v>10032</v>
      </c>
      <c r="O575" t="s">
        <v>3382</v>
      </c>
      <c r="P575" t="s">
        <v>3381</v>
      </c>
      <c r="Q575" t="s">
        <v>3389</v>
      </c>
      <c r="R575" t="s">
        <v>3847</v>
      </c>
      <c r="S575">
        <v>21</v>
      </c>
      <c r="T575" t="s">
        <v>4197</v>
      </c>
      <c r="U575" t="s">
        <v>4223</v>
      </c>
      <c r="W575" t="s">
        <v>4243</v>
      </c>
      <c r="X575" t="s">
        <v>3382</v>
      </c>
      <c r="AA575" t="s">
        <v>4256</v>
      </c>
      <c r="AB575" t="s">
        <v>4261</v>
      </c>
      <c r="AC575">
        <v>1050</v>
      </c>
      <c r="AD575">
        <v>1050</v>
      </c>
      <c r="AE575">
        <v>128</v>
      </c>
      <c r="AG575" t="s">
        <v>4833</v>
      </c>
      <c r="AI575" t="s">
        <v>5865</v>
      </c>
      <c r="AJ575">
        <v>0</v>
      </c>
      <c r="AK575" t="s">
        <v>6266</v>
      </c>
      <c r="AL575">
        <v>2</v>
      </c>
      <c r="AM575">
        <v>1</v>
      </c>
      <c r="AN575">
        <v>145.14</v>
      </c>
      <c r="AQ575" t="s">
        <v>6288</v>
      </c>
      <c r="AR575" t="s">
        <v>5312</v>
      </c>
      <c r="AT575">
        <v>30160</v>
      </c>
      <c r="AV575" t="s">
        <v>3382</v>
      </c>
      <c r="AX575" t="s">
        <v>6437</v>
      </c>
      <c r="BA575" t="s">
        <v>6477</v>
      </c>
      <c r="BD575" t="s">
        <v>342</v>
      </c>
    </row>
    <row r="576" spans="1:57">
      <c r="A576" s="1">
        <f>HYPERLINK("https://lsnyc.legalserver.org/matter/dynamic-profile/view/1899322","19-1899322")</f>
        <v>0</v>
      </c>
      <c r="B576" t="s">
        <v>59</v>
      </c>
      <c r="C576" t="s">
        <v>165</v>
      </c>
      <c r="D576" t="s">
        <v>214</v>
      </c>
      <c r="E576" t="s">
        <v>448</v>
      </c>
      <c r="G576" t="s">
        <v>1044</v>
      </c>
      <c r="H576" t="s">
        <v>1759</v>
      </c>
      <c r="J576" t="s">
        <v>2590</v>
      </c>
      <c r="K576">
        <v>41</v>
      </c>
      <c r="L576" t="s">
        <v>3330</v>
      </c>
      <c r="M576" t="s">
        <v>3379</v>
      </c>
      <c r="N576">
        <v>10031</v>
      </c>
      <c r="O576" t="s">
        <v>3381</v>
      </c>
      <c r="P576" t="s">
        <v>3381</v>
      </c>
      <c r="Q576" t="s">
        <v>3386</v>
      </c>
      <c r="S576">
        <v>6</v>
      </c>
      <c r="U576" t="s">
        <v>4225</v>
      </c>
      <c r="W576" t="s">
        <v>4243</v>
      </c>
      <c r="X576" t="s">
        <v>3382</v>
      </c>
      <c r="Y576" t="s">
        <v>3382</v>
      </c>
      <c r="AA576" t="s">
        <v>4256</v>
      </c>
      <c r="AB576" t="s">
        <v>4266</v>
      </c>
      <c r="AC576">
        <v>0</v>
      </c>
      <c r="AD576">
        <v>2088</v>
      </c>
      <c r="AE576">
        <v>1.1</v>
      </c>
      <c r="AG576" t="s">
        <v>4834</v>
      </c>
      <c r="AI576" t="s">
        <v>5866</v>
      </c>
      <c r="AJ576">
        <v>0</v>
      </c>
      <c r="AK576" t="s">
        <v>6267</v>
      </c>
      <c r="AL576">
        <v>1</v>
      </c>
      <c r="AM576">
        <v>0</v>
      </c>
      <c r="AN576">
        <v>270.55</v>
      </c>
      <c r="AR576" t="s">
        <v>5312</v>
      </c>
      <c r="AS576" t="s">
        <v>6298</v>
      </c>
      <c r="AT576">
        <v>33792</v>
      </c>
      <c r="AX576" t="s">
        <v>6428</v>
      </c>
      <c r="BA576" t="s">
        <v>6569</v>
      </c>
      <c r="BD576" t="s">
        <v>260</v>
      </c>
    </row>
    <row r="577" spans="1:57">
      <c r="A577" s="1">
        <f>HYPERLINK("https://lsnyc.legalserver.org/matter/dynamic-profile/view/1874640","18-1874640")</f>
        <v>0</v>
      </c>
      <c r="B577" t="s">
        <v>59</v>
      </c>
      <c r="C577" t="s">
        <v>165</v>
      </c>
      <c r="D577" t="s">
        <v>214</v>
      </c>
      <c r="E577" t="s">
        <v>420</v>
      </c>
      <c r="G577" t="s">
        <v>1045</v>
      </c>
      <c r="H577" t="s">
        <v>1760</v>
      </c>
      <c r="J577" t="s">
        <v>2591</v>
      </c>
      <c r="K577" t="s">
        <v>3045</v>
      </c>
      <c r="L577" t="s">
        <v>3330</v>
      </c>
      <c r="M577" t="s">
        <v>3379</v>
      </c>
      <c r="N577">
        <v>10027</v>
      </c>
      <c r="O577" t="s">
        <v>3381</v>
      </c>
      <c r="P577" t="s">
        <v>3381</v>
      </c>
      <c r="R577" t="s">
        <v>3848</v>
      </c>
      <c r="S577">
        <v>29</v>
      </c>
      <c r="T577" t="s">
        <v>4196</v>
      </c>
      <c r="U577" t="s">
        <v>4223</v>
      </c>
      <c r="W577" t="s">
        <v>4242</v>
      </c>
      <c r="X577" t="s">
        <v>3382</v>
      </c>
      <c r="Y577" t="s">
        <v>3382</v>
      </c>
      <c r="AA577" t="s">
        <v>4256</v>
      </c>
      <c r="AB577" t="s">
        <v>4261</v>
      </c>
      <c r="AC577">
        <v>0</v>
      </c>
      <c r="AD577">
        <v>934.53</v>
      </c>
      <c r="AE577">
        <v>20.1</v>
      </c>
      <c r="AG577" t="s">
        <v>4835</v>
      </c>
      <c r="AI577" t="s">
        <v>5867</v>
      </c>
      <c r="AJ577">
        <v>0</v>
      </c>
      <c r="AL577">
        <v>1</v>
      </c>
      <c r="AM577">
        <v>0</v>
      </c>
      <c r="AN577">
        <v>128.5</v>
      </c>
      <c r="AQ577" t="s">
        <v>6287</v>
      </c>
      <c r="AS577" t="s">
        <v>6298</v>
      </c>
      <c r="AT577">
        <v>15600</v>
      </c>
      <c r="AX577" t="s">
        <v>6429</v>
      </c>
      <c r="BA577" t="s">
        <v>6503</v>
      </c>
      <c r="BD577" t="s">
        <v>344</v>
      </c>
    </row>
    <row r="578" spans="1:57">
      <c r="A578" s="1">
        <f>HYPERLINK("https://lsnyc.legalserver.org/matter/dynamic-profile/view/1890800","19-1890800")</f>
        <v>0</v>
      </c>
      <c r="B578" t="s">
        <v>59</v>
      </c>
      <c r="C578" t="s">
        <v>165</v>
      </c>
      <c r="D578" t="s">
        <v>214</v>
      </c>
      <c r="E578" t="s">
        <v>433</v>
      </c>
      <c r="G578" t="s">
        <v>1046</v>
      </c>
      <c r="H578" t="s">
        <v>1761</v>
      </c>
      <c r="J578" t="s">
        <v>2592</v>
      </c>
      <c r="K578">
        <v>34</v>
      </c>
      <c r="L578" t="s">
        <v>3330</v>
      </c>
      <c r="M578" t="s">
        <v>3379</v>
      </c>
      <c r="N578">
        <v>10027</v>
      </c>
      <c r="O578" t="s">
        <v>3380</v>
      </c>
      <c r="P578" t="s">
        <v>3380</v>
      </c>
      <c r="R578" t="s">
        <v>3849</v>
      </c>
      <c r="S578">
        <v>30</v>
      </c>
      <c r="T578" t="s">
        <v>4196</v>
      </c>
      <c r="U578" t="s">
        <v>4223</v>
      </c>
      <c r="W578" t="s">
        <v>4242</v>
      </c>
      <c r="X578" t="s">
        <v>3382</v>
      </c>
      <c r="Y578" t="s">
        <v>3382</v>
      </c>
      <c r="AA578" t="s">
        <v>4256</v>
      </c>
      <c r="AB578" t="s">
        <v>4261</v>
      </c>
      <c r="AC578">
        <v>0</v>
      </c>
      <c r="AD578">
        <v>434.37</v>
      </c>
      <c r="AE578">
        <v>7.4</v>
      </c>
      <c r="AG578" t="s">
        <v>4836</v>
      </c>
      <c r="AH578" t="s">
        <v>5302</v>
      </c>
      <c r="AI578" t="s">
        <v>5868</v>
      </c>
      <c r="AJ578">
        <v>0</v>
      </c>
      <c r="AK578" t="s">
        <v>6266</v>
      </c>
      <c r="AL578">
        <v>1</v>
      </c>
      <c r="AM578">
        <v>0</v>
      </c>
      <c r="AN578">
        <v>69.18000000000001</v>
      </c>
      <c r="AQ578" t="s">
        <v>6287</v>
      </c>
      <c r="AR578" t="s">
        <v>5312</v>
      </c>
      <c r="AS578" t="s">
        <v>6298</v>
      </c>
      <c r="AT578">
        <v>8640</v>
      </c>
      <c r="AX578" t="s">
        <v>6428</v>
      </c>
      <c r="BA578" t="s">
        <v>6499</v>
      </c>
      <c r="BD578" t="s">
        <v>252</v>
      </c>
    </row>
    <row r="579" spans="1:57">
      <c r="A579" s="1">
        <f>HYPERLINK("https://lsnyc.legalserver.org/matter/dynamic-profile/view/1899832","19-1899832")</f>
        <v>0</v>
      </c>
      <c r="B579" t="s">
        <v>59</v>
      </c>
      <c r="C579" t="s">
        <v>165</v>
      </c>
      <c r="D579" t="s">
        <v>214</v>
      </c>
      <c r="E579" t="s">
        <v>244</v>
      </c>
      <c r="G579" t="s">
        <v>1007</v>
      </c>
      <c r="H579" t="s">
        <v>1349</v>
      </c>
      <c r="J579" t="s">
        <v>2593</v>
      </c>
      <c r="K579" t="s">
        <v>3033</v>
      </c>
      <c r="L579" t="s">
        <v>3330</v>
      </c>
      <c r="M579" t="s">
        <v>3379</v>
      </c>
      <c r="N579">
        <v>10027</v>
      </c>
      <c r="O579" t="s">
        <v>3380</v>
      </c>
      <c r="P579" t="s">
        <v>3381</v>
      </c>
      <c r="Q579" t="s">
        <v>3383</v>
      </c>
      <c r="R579" t="s">
        <v>3850</v>
      </c>
      <c r="S579">
        <v>1</v>
      </c>
      <c r="T579" t="s">
        <v>4196</v>
      </c>
      <c r="U579" t="s">
        <v>4223</v>
      </c>
      <c r="W579" t="s">
        <v>4242</v>
      </c>
      <c r="X579" t="s">
        <v>3382</v>
      </c>
      <c r="Y579" t="s">
        <v>3382</v>
      </c>
      <c r="AA579" t="s">
        <v>4258</v>
      </c>
      <c r="AC579">
        <v>0</v>
      </c>
      <c r="AD579">
        <v>441</v>
      </c>
      <c r="AE579">
        <v>3</v>
      </c>
      <c r="AG579" t="s">
        <v>4837</v>
      </c>
      <c r="AI579" t="s">
        <v>5869</v>
      </c>
      <c r="AJ579">
        <v>0</v>
      </c>
      <c r="AK579" t="s">
        <v>6270</v>
      </c>
      <c r="AL579">
        <v>1</v>
      </c>
      <c r="AM579">
        <v>2</v>
      </c>
      <c r="AN579">
        <v>60.44</v>
      </c>
      <c r="AT579">
        <v>12892</v>
      </c>
      <c r="AX579" t="s">
        <v>6431</v>
      </c>
      <c r="BA579" t="s">
        <v>6493</v>
      </c>
      <c r="BD579" t="s">
        <v>265</v>
      </c>
      <c r="BE579" t="s">
        <v>6702</v>
      </c>
    </row>
    <row r="580" spans="1:57">
      <c r="A580" s="1">
        <f>HYPERLINK("https://lsnyc.legalserver.org/matter/dynamic-profile/view/1899830","19-1899830")</f>
        <v>0</v>
      </c>
      <c r="B580" t="s">
        <v>59</v>
      </c>
      <c r="C580" t="s">
        <v>165</v>
      </c>
      <c r="D580" t="s">
        <v>214</v>
      </c>
      <c r="E580" t="s">
        <v>244</v>
      </c>
      <c r="G580" t="s">
        <v>1047</v>
      </c>
      <c r="H580" t="s">
        <v>1762</v>
      </c>
      <c r="J580" t="s">
        <v>2594</v>
      </c>
      <c r="K580" t="s">
        <v>3048</v>
      </c>
      <c r="L580" t="s">
        <v>3330</v>
      </c>
      <c r="M580" t="s">
        <v>3379</v>
      </c>
      <c r="N580">
        <v>10026</v>
      </c>
      <c r="O580" t="s">
        <v>3381</v>
      </c>
      <c r="P580" t="s">
        <v>3381</v>
      </c>
      <c r="R580" t="s">
        <v>3851</v>
      </c>
      <c r="S580">
        <v>20</v>
      </c>
      <c r="T580" t="s">
        <v>4196</v>
      </c>
      <c r="U580" t="s">
        <v>4223</v>
      </c>
      <c r="W580" t="s">
        <v>4242</v>
      </c>
      <c r="X580" t="s">
        <v>3382</v>
      </c>
      <c r="Y580" t="s">
        <v>3382</v>
      </c>
      <c r="AA580" t="s">
        <v>4256</v>
      </c>
      <c r="AC580">
        <v>0</v>
      </c>
      <c r="AD580">
        <v>908.54</v>
      </c>
      <c r="AE580">
        <v>16.2</v>
      </c>
      <c r="AG580" t="s">
        <v>4838</v>
      </c>
      <c r="AI580" t="s">
        <v>5870</v>
      </c>
      <c r="AJ580">
        <v>0</v>
      </c>
      <c r="AL580">
        <v>1</v>
      </c>
      <c r="AM580">
        <v>0</v>
      </c>
      <c r="AN580">
        <v>124.9</v>
      </c>
      <c r="AS580" t="s">
        <v>6298</v>
      </c>
      <c r="AT580">
        <v>15600</v>
      </c>
      <c r="AX580" t="s">
        <v>6429</v>
      </c>
      <c r="BA580" t="s">
        <v>6473</v>
      </c>
      <c r="BD580" t="s">
        <v>313</v>
      </c>
    </row>
    <row r="581" spans="1:57">
      <c r="A581" s="1">
        <f>HYPERLINK("https://lsnyc.legalserver.org/matter/dynamic-profile/view/1873888","18-1873888")</f>
        <v>0</v>
      </c>
      <c r="B581" t="s">
        <v>59</v>
      </c>
      <c r="C581" t="s">
        <v>165</v>
      </c>
      <c r="D581" t="s">
        <v>214</v>
      </c>
      <c r="E581" t="s">
        <v>449</v>
      </c>
      <c r="G581" t="s">
        <v>1048</v>
      </c>
      <c r="H581" t="s">
        <v>1763</v>
      </c>
      <c r="J581" t="s">
        <v>2595</v>
      </c>
      <c r="K581" t="s">
        <v>3227</v>
      </c>
      <c r="L581" t="s">
        <v>3330</v>
      </c>
      <c r="M581" t="s">
        <v>3379</v>
      </c>
      <c r="N581">
        <v>10025</v>
      </c>
      <c r="O581" t="s">
        <v>3380</v>
      </c>
      <c r="P581" t="s">
        <v>3381</v>
      </c>
      <c r="Q581" t="s">
        <v>3400</v>
      </c>
      <c r="R581" t="s">
        <v>3852</v>
      </c>
      <c r="S581">
        <v>3</v>
      </c>
      <c r="T581" t="s">
        <v>4197</v>
      </c>
      <c r="U581" t="s">
        <v>4223</v>
      </c>
      <c r="W581" t="s">
        <v>4242</v>
      </c>
      <c r="X581" t="s">
        <v>3382</v>
      </c>
      <c r="Y581" t="s">
        <v>3382</v>
      </c>
      <c r="AA581" t="s">
        <v>4256</v>
      </c>
      <c r="AB581" t="s">
        <v>4261</v>
      </c>
      <c r="AC581">
        <v>4450</v>
      </c>
      <c r="AD581">
        <v>4450</v>
      </c>
      <c r="AE581">
        <v>84.65000000000001</v>
      </c>
      <c r="AG581" t="s">
        <v>4839</v>
      </c>
      <c r="AI581" t="s">
        <v>5871</v>
      </c>
      <c r="AJ581">
        <v>0</v>
      </c>
      <c r="AK581" t="s">
        <v>6274</v>
      </c>
      <c r="AL581">
        <v>1</v>
      </c>
      <c r="AM581">
        <v>1</v>
      </c>
      <c r="AN581">
        <v>0</v>
      </c>
      <c r="AQ581" t="s">
        <v>6288</v>
      </c>
      <c r="AR581" t="s">
        <v>5312</v>
      </c>
      <c r="AS581" t="s">
        <v>6298</v>
      </c>
      <c r="AT581">
        <v>0</v>
      </c>
      <c r="AV581" t="s">
        <v>3380</v>
      </c>
      <c r="AX581" t="s">
        <v>6428</v>
      </c>
      <c r="BA581" t="s">
        <v>6479</v>
      </c>
      <c r="BD581" t="s">
        <v>296</v>
      </c>
    </row>
    <row r="582" spans="1:57">
      <c r="A582" s="1">
        <f>HYPERLINK("https://lsnyc.legalserver.org/matter/dynamic-profile/view/1913688","19-1913688")</f>
        <v>0</v>
      </c>
      <c r="B582" t="s">
        <v>59</v>
      </c>
      <c r="C582" t="s">
        <v>166</v>
      </c>
      <c r="D582" t="s">
        <v>214</v>
      </c>
      <c r="E582" t="s">
        <v>266</v>
      </c>
      <c r="G582" t="s">
        <v>1049</v>
      </c>
      <c r="H582" t="s">
        <v>1455</v>
      </c>
      <c r="J582" t="s">
        <v>2596</v>
      </c>
      <c r="K582" t="s">
        <v>3076</v>
      </c>
      <c r="L582" t="s">
        <v>3330</v>
      </c>
      <c r="M582" t="s">
        <v>3379</v>
      </c>
      <c r="N582">
        <v>10026</v>
      </c>
      <c r="O582" t="s">
        <v>3380</v>
      </c>
      <c r="P582" t="s">
        <v>3381</v>
      </c>
      <c r="Q582" t="s">
        <v>3384</v>
      </c>
      <c r="R582" t="s">
        <v>3853</v>
      </c>
      <c r="S582">
        <v>20</v>
      </c>
      <c r="T582" t="s">
        <v>4196</v>
      </c>
      <c r="U582" t="s">
        <v>4223</v>
      </c>
      <c r="W582" t="s">
        <v>4242</v>
      </c>
      <c r="X582" t="s">
        <v>3382</v>
      </c>
      <c r="Y582" t="s">
        <v>3382</v>
      </c>
      <c r="AA582" t="s">
        <v>4256</v>
      </c>
      <c r="AB582" t="s">
        <v>4261</v>
      </c>
      <c r="AC582">
        <v>0</v>
      </c>
      <c r="AD582">
        <v>354</v>
      </c>
      <c r="AE582">
        <v>1.85</v>
      </c>
      <c r="AG582" t="s">
        <v>4840</v>
      </c>
      <c r="AI582" t="s">
        <v>5872</v>
      </c>
      <c r="AJ582">
        <v>0</v>
      </c>
      <c r="AK582" t="s">
        <v>6267</v>
      </c>
      <c r="AL582">
        <v>2</v>
      </c>
      <c r="AM582">
        <v>0</v>
      </c>
      <c r="AN582">
        <v>196.81</v>
      </c>
      <c r="AR582" t="s">
        <v>6290</v>
      </c>
      <c r="AS582" t="s">
        <v>6299</v>
      </c>
      <c r="AT582">
        <v>33280</v>
      </c>
      <c r="AX582" t="s">
        <v>6428</v>
      </c>
      <c r="BA582" t="s">
        <v>6477</v>
      </c>
      <c r="BD582" t="s">
        <v>341</v>
      </c>
      <c r="BE582" t="s">
        <v>6702</v>
      </c>
    </row>
    <row r="583" spans="1:57">
      <c r="A583" s="1">
        <f>HYPERLINK("https://lsnyc.legalserver.org/matter/dynamic-profile/view/1913931","19-1913931")</f>
        <v>0</v>
      </c>
      <c r="B583" t="s">
        <v>59</v>
      </c>
      <c r="C583" t="s">
        <v>166</v>
      </c>
      <c r="D583" t="s">
        <v>214</v>
      </c>
      <c r="E583" t="s">
        <v>249</v>
      </c>
      <c r="G583" t="s">
        <v>1050</v>
      </c>
      <c r="H583" t="s">
        <v>1379</v>
      </c>
      <c r="J583" t="s">
        <v>2597</v>
      </c>
      <c r="K583">
        <v>2</v>
      </c>
      <c r="L583" t="s">
        <v>3330</v>
      </c>
      <c r="M583" t="s">
        <v>3379</v>
      </c>
      <c r="N583">
        <v>10003</v>
      </c>
      <c r="O583" t="s">
        <v>3380</v>
      </c>
      <c r="P583" t="s">
        <v>3381</v>
      </c>
      <c r="Q583" t="s">
        <v>3383</v>
      </c>
      <c r="R583" t="s">
        <v>3854</v>
      </c>
      <c r="S583">
        <v>57</v>
      </c>
      <c r="T583" t="s">
        <v>4196</v>
      </c>
      <c r="U583" t="s">
        <v>4223</v>
      </c>
      <c r="W583" t="s">
        <v>4243</v>
      </c>
      <c r="X583" t="s">
        <v>3382</v>
      </c>
      <c r="Y583" t="s">
        <v>3382</v>
      </c>
      <c r="AA583" t="s">
        <v>4256</v>
      </c>
      <c r="AB583" t="s">
        <v>4261</v>
      </c>
      <c r="AC583">
        <v>0</v>
      </c>
      <c r="AD583">
        <v>511.81</v>
      </c>
      <c r="AE583">
        <v>3</v>
      </c>
      <c r="AG583" t="s">
        <v>4841</v>
      </c>
      <c r="AH583" t="s">
        <v>5303</v>
      </c>
      <c r="AI583" t="s">
        <v>5873</v>
      </c>
      <c r="AJ583">
        <v>0</v>
      </c>
      <c r="AK583" t="s">
        <v>6269</v>
      </c>
      <c r="AL583">
        <v>2</v>
      </c>
      <c r="AM583">
        <v>0</v>
      </c>
      <c r="AN583">
        <v>67.17</v>
      </c>
      <c r="AR583" t="s">
        <v>3391</v>
      </c>
      <c r="AS583" t="s">
        <v>6298</v>
      </c>
      <c r="AT583">
        <v>11358</v>
      </c>
      <c r="AX583" t="s">
        <v>6428</v>
      </c>
      <c r="BA583" t="s">
        <v>6570</v>
      </c>
      <c r="BD583" t="s">
        <v>267</v>
      </c>
      <c r="BE583" t="s">
        <v>6703</v>
      </c>
    </row>
    <row r="584" spans="1:57">
      <c r="A584" s="1">
        <f>HYPERLINK("https://lsnyc.legalserver.org/matter/dynamic-profile/view/1913973","19-1913973")</f>
        <v>0</v>
      </c>
      <c r="B584" t="s">
        <v>59</v>
      </c>
      <c r="C584" t="s">
        <v>167</v>
      </c>
      <c r="D584" t="s">
        <v>214</v>
      </c>
      <c r="E584" t="s">
        <v>249</v>
      </c>
      <c r="G584" t="s">
        <v>990</v>
      </c>
      <c r="H584" t="s">
        <v>1528</v>
      </c>
      <c r="J584" t="s">
        <v>2598</v>
      </c>
      <c r="K584" t="s">
        <v>3228</v>
      </c>
      <c r="L584" t="s">
        <v>3330</v>
      </c>
      <c r="M584" t="s">
        <v>3379</v>
      </c>
      <c r="N584">
        <v>10036</v>
      </c>
      <c r="O584" t="s">
        <v>3380</v>
      </c>
      <c r="P584" t="s">
        <v>3381</v>
      </c>
      <c r="Q584" t="s">
        <v>3383</v>
      </c>
      <c r="R584" t="s">
        <v>3855</v>
      </c>
      <c r="S584">
        <v>1</v>
      </c>
      <c r="T584" t="s">
        <v>4196</v>
      </c>
      <c r="U584" t="s">
        <v>4223</v>
      </c>
      <c r="W584" t="s">
        <v>4242</v>
      </c>
      <c r="X584" t="s">
        <v>3382</v>
      </c>
      <c r="Y584" t="s">
        <v>3382</v>
      </c>
      <c r="AA584" t="s">
        <v>4256</v>
      </c>
      <c r="AB584" t="s">
        <v>4261</v>
      </c>
      <c r="AC584">
        <v>0</v>
      </c>
      <c r="AD584">
        <v>659</v>
      </c>
      <c r="AE584">
        <v>14.9</v>
      </c>
      <c r="AG584" t="s">
        <v>4482</v>
      </c>
      <c r="AI584" t="s">
        <v>5874</v>
      </c>
      <c r="AJ584">
        <v>0</v>
      </c>
      <c r="AK584" t="s">
        <v>6267</v>
      </c>
      <c r="AL584">
        <v>1</v>
      </c>
      <c r="AM584">
        <v>0</v>
      </c>
      <c r="AN584">
        <v>72.06</v>
      </c>
      <c r="AR584" t="s">
        <v>6296</v>
      </c>
      <c r="AS584" t="s">
        <v>6298</v>
      </c>
      <c r="AT584">
        <v>9000</v>
      </c>
      <c r="AX584" t="s">
        <v>6428</v>
      </c>
      <c r="BA584" t="s">
        <v>6505</v>
      </c>
      <c r="BD584" t="s">
        <v>217</v>
      </c>
      <c r="BE584" t="s">
        <v>6702</v>
      </c>
    </row>
    <row r="585" spans="1:57">
      <c r="A585" s="1">
        <f>HYPERLINK("https://lsnyc.legalserver.org/matter/dynamic-profile/view/1880727","18-1880727")</f>
        <v>0</v>
      </c>
      <c r="B585" t="s">
        <v>59</v>
      </c>
      <c r="C585" t="s">
        <v>167</v>
      </c>
      <c r="D585" t="s">
        <v>214</v>
      </c>
      <c r="E585" t="s">
        <v>428</v>
      </c>
      <c r="G585" t="s">
        <v>1051</v>
      </c>
      <c r="H585" t="s">
        <v>1649</v>
      </c>
      <c r="J585" t="s">
        <v>2558</v>
      </c>
      <c r="K585" t="s">
        <v>3035</v>
      </c>
      <c r="L585" t="s">
        <v>3330</v>
      </c>
      <c r="M585" t="s">
        <v>3379</v>
      </c>
      <c r="N585">
        <v>10026</v>
      </c>
      <c r="O585" t="s">
        <v>3380</v>
      </c>
      <c r="P585" t="s">
        <v>3380</v>
      </c>
      <c r="Q585" t="s">
        <v>3383</v>
      </c>
      <c r="R585" t="s">
        <v>3856</v>
      </c>
      <c r="S585">
        <v>25</v>
      </c>
      <c r="T585" t="s">
        <v>4196</v>
      </c>
      <c r="U585" t="s">
        <v>4223</v>
      </c>
      <c r="W585" t="s">
        <v>4242</v>
      </c>
      <c r="X585" t="s">
        <v>3382</v>
      </c>
      <c r="Y585" t="s">
        <v>3382</v>
      </c>
      <c r="AA585" t="s">
        <v>4256</v>
      </c>
      <c r="AB585" t="s">
        <v>4261</v>
      </c>
      <c r="AC585">
        <v>0</v>
      </c>
      <c r="AD585">
        <v>732</v>
      </c>
      <c r="AE585">
        <v>53.05</v>
      </c>
      <c r="AG585" t="s">
        <v>4842</v>
      </c>
      <c r="AH585" t="s">
        <v>5304</v>
      </c>
      <c r="AI585" t="s">
        <v>5875</v>
      </c>
      <c r="AJ585">
        <v>54</v>
      </c>
      <c r="AK585" t="s">
        <v>6266</v>
      </c>
      <c r="AL585">
        <v>1</v>
      </c>
      <c r="AM585">
        <v>0</v>
      </c>
      <c r="AN585">
        <v>28.27</v>
      </c>
      <c r="AQ585" t="s">
        <v>6287</v>
      </c>
      <c r="AR585" t="s">
        <v>3391</v>
      </c>
      <c r="AS585" t="s">
        <v>6298</v>
      </c>
      <c r="AT585">
        <v>3432</v>
      </c>
      <c r="AX585" t="s">
        <v>6428</v>
      </c>
      <c r="BA585" t="s">
        <v>6558</v>
      </c>
      <c r="BD585" t="s">
        <v>316</v>
      </c>
      <c r="BE585" t="s">
        <v>6703</v>
      </c>
    </row>
    <row r="586" spans="1:57">
      <c r="A586" s="1">
        <f>HYPERLINK("https://lsnyc.legalserver.org/matter/dynamic-profile/view/1912630","19-1912630")</f>
        <v>0</v>
      </c>
      <c r="B586" t="s">
        <v>59</v>
      </c>
      <c r="C586" t="s">
        <v>168</v>
      </c>
      <c r="D586" t="s">
        <v>214</v>
      </c>
      <c r="E586" t="s">
        <v>225</v>
      </c>
      <c r="G586" t="s">
        <v>1052</v>
      </c>
      <c r="H586" t="s">
        <v>938</v>
      </c>
      <c r="J586" t="s">
        <v>2599</v>
      </c>
      <c r="K586" t="s">
        <v>3229</v>
      </c>
      <c r="L586" t="s">
        <v>3330</v>
      </c>
      <c r="M586" t="s">
        <v>3379</v>
      </c>
      <c r="N586">
        <v>10031</v>
      </c>
      <c r="O586" t="s">
        <v>3380</v>
      </c>
      <c r="P586" t="s">
        <v>3381</v>
      </c>
      <c r="Q586" t="s">
        <v>3385</v>
      </c>
      <c r="R586" t="s">
        <v>3857</v>
      </c>
      <c r="S586">
        <v>22</v>
      </c>
      <c r="T586" t="s">
        <v>4196</v>
      </c>
      <c r="U586" t="s">
        <v>4224</v>
      </c>
      <c r="W586" t="s">
        <v>4242</v>
      </c>
      <c r="X586" t="s">
        <v>3382</v>
      </c>
      <c r="Y586" t="s">
        <v>3382</v>
      </c>
      <c r="AA586" t="s">
        <v>4256</v>
      </c>
      <c r="AB586" t="s">
        <v>4264</v>
      </c>
      <c r="AC586">
        <v>0</v>
      </c>
      <c r="AD586">
        <v>1743.01</v>
      </c>
      <c r="AE586">
        <v>4.5</v>
      </c>
      <c r="AG586" t="s">
        <v>4843</v>
      </c>
      <c r="AI586" t="s">
        <v>5876</v>
      </c>
      <c r="AJ586">
        <v>0</v>
      </c>
      <c r="AK586" t="s">
        <v>6272</v>
      </c>
      <c r="AL586">
        <v>1</v>
      </c>
      <c r="AM586">
        <v>0</v>
      </c>
      <c r="AN586">
        <v>230.1</v>
      </c>
      <c r="AO586" t="s">
        <v>267</v>
      </c>
      <c r="AP586" t="s">
        <v>6283</v>
      </c>
      <c r="AR586" t="s">
        <v>5312</v>
      </c>
      <c r="AS586" t="s">
        <v>6298</v>
      </c>
      <c r="AT586">
        <v>28740</v>
      </c>
      <c r="AX586" t="s">
        <v>6428</v>
      </c>
      <c r="BA586" t="s">
        <v>6571</v>
      </c>
      <c r="BD586" t="s">
        <v>249</v>
      </c>
    </row>
    <row r="587" spans="1:57">
      <c r="A587" s="1">
        <f>HYPERLINK("https://lsnyc.legalserver.org/matter/dynamic-profile/view/1880815","18-1880815")</f>
        <v>0</v>
      </c>
      <c r="B587" t="s">
        <v>59</v>
      </c>
      <c r="C587" t="s">
        <v>168</v>
      </c>
      <c r="D587" t="s">
        <v>214</v>
      </c>
      <c r="E587" t="s">
        <v>428</v>
      </c>
      <c r="G587" t="s">
        <v>600</v>
      </c>
      <c r="H587" t="s">
        <v>1764</v>
      </c>
      <c r="J587" t="s">
        <v>2600</v>
      </c>
      <c r="K587" t="s">
        <v>3006</v>
      </c>
      <c r="L587" t="s">
        <v>3330</v>
      </c>
      <c r="M587" t="s">
        <v>3379</v>
      </c>
      <c r="N587">
        <v>10030</v>
      </c>
      <c r="O587" t="s">
        <v>3380</v>
      </c>
      <c r="P587" t="s">
        <v>3381</v>
      </c>
      <c r="Q587" t="s">
        <v>3383</v>
      </c>
      <c r="S587">
        <v>5</v>
      </c>
      <c r="T587" t="s">
        <v>4196</v>
      </c>
      <c r="W587" t="s">
        <v>4243</v>
      </c>
      <c r="X587" t="s">
        <v>3382</v>
      </c>
      <c r="Y587" t="s">
        <v>3382</v>
      </c>
      <c r="AA587" t="s">
        <v>4256</v>
      </c>
      <c r="AC587">
        <v>1501</v>
      </c>
      <c r="AD587">
        <v>1501</v>
      </c>
      <c r="AE587">
        <v>1.3</v>
      </c>
      <c r="AG587" t="s">
        <v>4844</v>
      </c>
      <c r="AI587" t="s">
        <v>5877</v>
      </c>
      <c r="AJ587">
        <v>0</v>
      </c>
      <c r="AL587">
        <v>2</v>
      </c>
      <c r="AM587">
        <v>1</v>
      </c>
      <c r="AN587">
        <v>120.31</v>
      </c>
      <c r="AP587" t="s">
        <v>6283</v>
      </c>
      <c r="AQ587" t="s">
        <v>6287</v>
      </c>
      <c r="AT587">
        <v>25000</v>
      </c>
      <c r="AX587" t="s">
        <v>6431</v>
      </c>
      <c r="BA587" t="s">
        <v>6477</v>
      </c>
      <c r="BD587" t="s">
        <v>6656</v>
      </c>
    </row>
    <row r="588" spans="1:57">
      <c r="A588" s="1">
        <f>HYPERLINK("https://lsnyc.legalserver.org/matter/dynamic-profile/view/1886467","18-1886467")</f>
        <v>0</v>
      </c>
      <c r="B588" t="s">
        <v>59</v>
      </c>
      <c r="C588" t="s">
        <v>168</v>
      </c>
      <c r="D588" t="s">
        <v>214</v>
      </c>
      <c r="E588" t="s">
        <v>315</v>
      </c>
      <c r="G588" t="s">
        <v>1053</v>
      </c>
      <c r="H588" t="s">
        <v>1765</v>
      </c>
      <c r="J588" t="s">
        <v>2601</v>
      </c>
      <c r="K588" t="s">
        <v>3085</v>
      </c>
      <c r="L588" t="s">
        <v>3330</v>
      </c>
      <c r="M588" t="s">
        <v>3379</v>
      </c>
      <c r="N588">
        <v>10027</v>
      </c>
      <c r="O588" t="s">
        <v>3380</v>
      </c>
      <c r="P588" t="s">
        <v>3380</v>
      </c>
      <c r="Q588" t="s">
        <v>3383</v>
      </c>
      <c r="R588" t="s">
        <v>3858</v>
      </c>
      <c r="S588">
        <v>15</v>
      </c>
      <c r="T588" t="s">
        <v>4196</v>
      </c>
      <c r="U588" t="s">
        <v>4223</v>
      </c>
      <c r="W588" t="s">
        <v>4242</v>
      </c>
      <c r="X588" t="s">
        <v>3382</v>
      </c>
      <c r="Y588" t="s">
        <v>3382</v>
      </c>
      <c r="AA588" t="s">
        <v>4259</v>
      </c>
      <c r="AC588">
        <v>0</v>
      </c>
      <c r="AD588">
        <v>522</v>
      </c>
      <c r="AE588">
        <v>26.6</v>
      </c>
      <c r="AG588" t="s">
        <v>4845</v>
      </c>
      <c r="AI588" t="s">
        <v>5878</v>
      </c>
      <c r="AJ588">
        <v>57</v>
      </c>
      <c r="AK588" t="s">
        <v>6272</v>
      </c>
      <c r="AL588">
        <v>2</v>
      </c>
      <c r="AM588">
        <v>2</v>
      </c>
      <c r="AN588">
        <v>145.02</v>
      </c>
      <c r="AS588" t="s">
        <v>6298</v>
      </c>
      <c r="AT588">
        <v>36400</v>
      </c>
      <c r="AX588" t="s">
        <v>6430</v>
      </c>
      <c r="BA588" t="s">
        <v>6477</v>
      </c>
      <c r="BD588" t="s">
        <v>318</v>
      </c>
    </row>
    <row r="589" spans="1:57">
      <c r="A589" s="1">
        <f>HYPERLINK("https://lsnyc.legalserver.org/matter/dynamic-profile/view/1892849","19-1892849")</f>
        <v>0</v>
      </c>
      <c r="B589" t="s">
        <v>59</v>
      </c>
      <c r="C589" t="s">
        <v>168</v>
      </c>
      <c r="D589" t="s">
        <v>214</v>
      </c>
      <c r="E589" t="s">
        <v>288</v>
      </c>
      <c r="G589" t="s">
        <v>837</v>
      </c>
      <c r="H589" t="s">
        <v>1766</v>
      </c>
      <c r="J589" t="s">
        <v>2602</v>
      </c>
      <c r="L589" t="s">
        <v>3330</v>
      </c>
      <c r="M589" t="s">
        <v>3379</v>
      </c>
      <c r="N589">
        <v>10027</v>
      </c>
      <c r="O589" t="s">
        <v>3381</v>
      </c>
      <c r="P589" t="s">
        <v>3381</v>
      </c>
      <c r="R589" t="s">
        <v>3859</v>
      </c>
      <c r="S589">
        <v>0</v>
      </c>
      <c r="T589" t="s">
        <v>4196</v>
      </c>
      <c r="U589" t="s">
        <v>4223</v>
      </c>
      <c r="W589" t="s">
        <v>4242</v>
      </c>
      <c r="X589" t="s">
        <v>3382</v>
      </c>
      <c r="Y589" t="s">
        <v>3382</v>
      </c>
      <c r="AA589" t="s">
        <v>4258</v>
      </c>
      <c r="AB589" t="s">
        <v>4261</v>
      </c>
      <c r="AC589">
        <v>0</v>
      </c>
      <c r="AD589">
        <v>252</v>
      </c>
      <c r="AE589">
        <v>17.4</v>
      </c>
      <c r="AG589" t="s">
        <v>4799</v>
      </c>
      <c r="AI589" t="s">
        <v>5879</v>
      </c>
      <c r="AJ589">
        <v>0</v>
      </c>
      <c r="AK589" t="s">
        <v>6272</v>
      </c>
      <c r="AL589">
        <v>1</v>
      </c>
      <c r="AM589">
        <v>0</v>
      </c>
      <c r="AN589">
        <v>81.67</v>
      </c>
      <c r="AR589" t="s">
        <v>6290</v>
      </c>
      <c r="AT589">
        <v>10200</v>
      </c>
      <c r="AX589" t="s">
        <v>6430</v>
      </c>
      <c r="BA589" t="s">
        <v>6482</v>
      </c>
      <c r="BD589" t="s">
        <v>313</v>
      </c>
    </row>
    <row r="590" spans="1:57">
      <c r="A590" s="1">
        <f>HYPERLINK("https://lsnyc.legalserver.org/matter/dynamic-profile/view/1908214","19-1908214")</f>
        <v>0</v>
      </c>
      <c r="B590" t="s">
        <v>59</v>
      </c>
      <c r="C590" t="s">
        <v>168</v>
      </c>
      <c r="D590" t="s">
        <v>214</v>
      </c>
      <c r="E590" t="s">
        <v>450</v>
      </c>
      <c r="G590" t="s">
        <v>1054</v>
      </c>
      <c r="H590" t="s">
        <v>1767</v>
      </c>
      <c r="J590" t="s">
        <v>2603</v>
      </c>
      <c r="K590" t="s">
        <v>3159</v>
      </c>
      <c r="L590" t="s">
        <v>3330</v>
      </c>
      <c r="M590" t="s">
        <v>3379</v>
      </c>
      <c r="N590">
        <v>10027</v>
      </c>
      <c r="O590" t="s">
        <v>3381</v>
      </c>
      <c r="P590" t="s">
        <v>3381</v>
      </c>
      <c r="R590" t="s">
        <v>3860</v>
      </c>
      <c r="S590">
        <v>9</v>
      </c>
      <c r="T590" t="s">
        <v>4196</v>
      </c>
      <c r="U590" t="s">
        <v>4223</v>
      </c>
      <c r="W590" t="s">
        <v>4243</v>
      </c>
      <c r="X590" t="s">
        <v>3382</v>
      </c>
      <c r="Y590" t="s">
        <v>3382</v>
      </c>
      <c r="AA590" t="s">
        <v>4256</v>
      </c>
      <c r="AC590">
        <v>0</v>
      </c>
      <c r="AD590">
        <v>962</v>
      </c>
      <c r="AE590">
        <v>3.5</v>
      </c>
      <c r="AG590" t="s">
        <v>4846</v>
      </c>
      <c r="AI590" t="s">
        <v>5880</v>
      </c>
      <c r="AJ590">
        <v>22</v>
      </c>
      <c r="AL590">
        <v>1</v>
      </c>
      <c r="AM590">
        <v>4</v>
      </c>
      <c r="AN590">
        <v>15.67</v>
      </c>
      <c r="AS590" t="s">
        <v>6298</v>
      </c>
      <c r="AT590">
        <v>4728</v>
      </c>
      <c r="AX590" t="s">
        <v>6429</v>
      </c>
      <c r="BA590" t="s">
        <v>6538</v>
      </c>
      <c r="BD590" t="s">
        <v>271</v>
      </c>
    </row>
    <row r="591" spans="1:57">
      <c r="A591" s="1">
        <f>HYPERLINK("https://lsnyc.legalserver.org/matter/dynamic-profile/view/1890695","19-1890695")</f>
        <v>0</v>
      </c>
      <c r="B591" t="s">
        <v>59</v>
      </c>
      <c r="C591" t="s">
        <v>168</v>
      </c>
      <c r="D591" t="s">
        <v>214</v>
      </c>
      <c r="E591" t="s">
        <v>433</v>
      </c>
      <c r="G591" t="s">
        <v>1055</v>
      </c>
      <c r="H591" t="s">
        <v>1768</v>
      </c>
      <c r="J591" t="s">
        <v>2604</v>
      </c>
      <c r="K591" t="s">
        <v>2997</v>
      </c>
      <c r="L591" t="s">
        <v>3330</v>
      </c>
      <c r="M591" t="s">
        <v>3379</v>
      </c>
      <c r="N591">
        <v>10025</v>
      </c>
      <c r="O591" t="s">
        <v>3380</v>
      </c>
      <c r="P591" t="s">
        <v>3380</v>
      </c>
      <c r="Q591" t="s">
        <v>3391</v>
      </c>
      <c r="R591" t="s">
        <v>3861</v>
      </c>
      <c r="S591">
        <v>50</v>
      </c>
      <c r="T591" t="s">
        <v>4197</v>
      </c>
      <c r="U591" t="s">
        <v>4223</v>
      </c>
      <c r="W591" t="s">
        <v>4242</v>
      </c>
      <c r="X591" t="s">
        <v>3382</v>
      </c>
      <c r="Y591" t="s">
        <v>3382</v>
      </c>
      <c r="AA591" t="s">
        <v>4258</v>
      </c>
      <c r="AC591">
        <v>0</v>
      </c>
      <c r="AD591">
        <v>1443</v>
      </c>
      <c r="AE591">
        <v>40.25</v>
      </c>
      <c r="AG591" t="s">
        <v>4847</v>
      </c>
      <c r="AI591" t="s">
        <v>5881</v>
      </c>
      <c r="AJ591">
        <v>0</v>
      </c>
      <c r="AK591" t="s">
        <v>6269</v>
      </c>
      <c r="AL591">
        <v>2</v>
      </c>
      <c r="AM591">
        <v>0</v>
      </c>
      <c r="AN591">
        <v>175.99</v>
      </c>
      <c r="AQ591" t="s">
        <v>6287</v>
      </c>
      <c r="AR591" t="s">
        <v>5312</v>
      </c>
      <c r="AS591" t="s">
        <v>6298</v>
      </c>
      <c r="AT591">
        <v>29760</v>
      </c>
      <c r="AX591" t="s">
        <v>6428</v>
      </c>
      <c r="BA591" t="s">
        <v>6487</v>
      </c>
      <c r="BD591" t="s">
        <v>6648</v>
      </c>
    </row>
    <row r="592" spans="1:57">
      <c r="A592" s="1">
        <f>HYPERLINK("https://lsnyc.legalserver.org/matter/dynamic-profile/view/1895095","19-1895095")</f>
        <v>0</v>
      </c>
      <c r="B592" t="s">
        <v>59</v>
      </c>
      <c r="C592" t="s">
        <v>168</v>
      </c>
      <c r="D592" t="s">
        <v>214</v>
      </c>
      <c r="E592" t="s">
        <v>451</v>
      </c>
      <c r="G592" t="s">
        <v>1056</v>
      </c>
      <c r="H592" t="s">
        <v>1769</v>
      </c>
      <c r="J592" t="s">
        <v>2605</v>
      </c>
      <c r="K592" t="s">
        <v>3230</v>
      </c>
      <c r="L592" t="s">
        <v>3330</v>
      </c>
      <c r="M592" t="s">
        <v>3379</v>
      </c>
      <c r="N592">
        <v>10025</v>
      </c>
      <c r="O592" t="s">
        <v>3380</v>
      </c>
      <c r="P592" t="s">
        <v>3380</v>
      </c>
      <c r="Q592" t="s">
        <v>3383</v>
      </c>
      <c r="R592" t="s">
        <v>3862</v>
      </c>
      <c r="S592">
        <v>9</v>
      </c>
      <c r="T592" t="s">
        <v>4196</v>
      </c>
      <c r="U592" t="s">
        <v>4223</v>
      </c>
      <c r="W592" t="s">
        <v>4242</v>
      </c>
      <c r="X592" t="s">
        <v>3382</v>
      </c>
      <c r="Y592" t="s">
        <v>3382</v>
      </c>
      <c r="AA592" t="s">
        <v>4258</v>
      </c>
      <c r="AC592">
        <v>0</v>
      </c>
      <c r="AD592">
        <v>745</v>
      </c>
      <c r="AE592">
        <v>7</v>
      </c>
      <c r="AG592" t="s">
        <v>4848</v>
      </c>
      <c r="AH592" t="s">
        <v>5305</v>
      </c>
      <c r="AI592" t="s">
        <v>5882</v>
      </c>
      <c r="AJ592">
        <v>0</v>
      </c>
      <c r="AK592" t="s">
        <v>6270</v>
      </c>
      <c r="AL592">
        <v>1</v>
      </c>
      <c r="AM592">
        <v>3</v>
      </c>
      <c r="AN592">
        <v>152.87</v>
      </c>
      <c r="AQ592" t="s">
        <v>6286</v>
      </c>
      <c r="AR592" t="s">
        <v>5312</v>
      </c>
      <c r="AS592" t="s">
        <v>6298</v>
      </c>
      <c r="AT592">
        <v>39363.96</v>
      </c>
      <c r="AX592" t="s">
        <v>6428</v>
      </c>
      <c r="BA592" t="s">
        <v>6489</v>
      </c>
      <c r="BD592" t="s">
        <v>342</v>
      </c>
    </row>
    <row r="593" spans="1:57">
      <c r="A593" s="1">
        <f>HYPERLINK("https://lsnyc.legalserver.org/matter/dynamic-profile/view/1891473","19-1891473")</f>
        <v>0</v>
      </c>
      <c r="B593" t="s">
        <v>59</v>
      </c>
      <c r="C593" t="s">
        <v>168</v>
      </c>
      <c r="D593" t="s">
        <v>214</v>
      </c>
      <c r="E593" t="s">
        <v>452</v>
      </c>
      <c r="G593" t="s">
        <v>1057</v>
      </c>
      <c r="H593" t="s">
        <v>1770</v>
      </c>
      <c r="J593" t="s">
        <v>2606</v>
      </c>
      <c r="K593">
        <v>601</v>
      </c>
      <c r="L593" t="s">
        <v>3330</v>
      </c>
      <c r="M593" t="s">
        <v>3379</v>
      </c>
      <c r="N593">
        <v>10001</v>
      </c>
      <c r="O593" t="s">
        <v>3380</v>
      </c>
      <c r="P593" t="s">
        <v>3380</v>
      </c>
      <c r="Q593" t="s">
        <v>3386</v>
      </c>
      <c r="R593" t="s">
        <v>3863</v>
      </c>
      <c r="S593">
        <v>10</v>
      </c>
      <c r="T593" t="s">
        <v>4205</v>
      </c>
      <c r="U593" t="s">
        <v>4223</v>
      </c>
      <c r="W593" t="s">
        <v>4243</v>
      </c>
      <c r="X593" t="s">
        <v>3382</v>
      </c>
      <c r="Y593" t="s">
        <v>3382</v>
      </c>
      <c r="AA593" t="s">
        <v>4256</v>
      </c>
      <c r="AC593">
        <v>0</v>
      </c>
      <c r="AD593">
        <v>526.13</v>
      </c>
      <c r="AE593">
        <v>59.9</v>
      </c>
      <c r="AG593" t="s">
        <v>4849</v>
      </c>
      <c r="AI593" t="s">
        <v>5883</v>
      </c>
      <c r="AJ593">
        <v>0</v>
      </c>
      <c r="AK593" t="s">
        <v>6269</v>
      </c>
      <c r="AL593">
        <v>3</v>
      </c>
      <c r="AM593">
        <v>0</v>
      </c>
      <c r="AN593">
        <v>29.61</v>
      </c>
      <c r="AQ593" t="s">
        <v>6287</v>
      </c>
      <c r="AR593" t="s">
        <v>5312</v>
      </c>
      <c r="AS593" t="s">
        <v>6307</v>
      </c>
      <c r="AT593">
        <v>6315.84</v>
      </c>
      <c r="AX593" t="s">
        <v>6428</v>
      </c>
      <c r="BA593" t="s">
        <v>6477</v>
      </c>
      <c r="BD593" t="s">
        <v>403</v>
      </c>
    </row>
    <row r="594" spans="1:57">
      <c r="A594" s="1">
        <f>HYPERLINK("https://lsnyc.legalserver.org/matter/dynamic-profile/view/1872629","18-1872629")</f>
        <v>0</v>
      </c>
      <c r="B594" t="s">
        <v>59</v>
      </c>
      <c r="C594" t="s">
        <v>169</v>
      </c>
      <c r="D594" t="s">
        <v>214</v>
      </c>
      <c r="E594" t="s">
        <v>453</v>
      </c>
      <c r="G594" t="s">
        <v>588</v>
      </c>
      <c r="H594" t="s">
        <v>1408</v>
      </c>
      <c r="J594" t="s">
        <v>2607</v>
      </c>
      <c r="K594" t="s">
        <v>3069</v>
      </c>
      <c r="L594" t="s">
        <v>3330</v>
      </c>
      <c r="M594" t="s">
        <v>3379</v>
      </c>
      <c r="N594">
        <v>10032</v>
      </c>
      <c r="O594" t="s">
        <v>3380</v>
      </c>
      <c r="P594" t="s">
        <v>3381</v>
      </c>
      <c r="Q594" t="s">
        <v>3383</v>
      </c>
      <c r="R594" t="s">
        <v>3864</v>
      </c>
      <c r="S594">
        <v>14</v>
      </c>
      <c r="T594" t="s">
        <v>4197</v>
      </c>
      <c r="U594" t="s">
        <v>4223</v>
      </c>
      <c r="W594" t="s">
        <v>4243</v>
      </c>
      <c r="X594" t="s">
        <v>3382</v>
      </c>
      <c r="Y594" t="s">
        <v>3382</v>
      </c>
      <c r="AA594" t="s">
        <v>4256</v>
      </c>
      <c r="AC594">
        <v>2167</v>
      </c>
      <c r="AD594">
        <v>2167</v>
      </c>
      <c r="AE594">
        <v>31.65</v>
      </c>
      <c r="AG594" t="s">
        <v>4850</v>
      </c>
      <c r="AI594" t="s">
        <v>5884</v>
      </c>
      <c r="AJ594">
        <v>0</v>
      </c>
      <c r="AK594" t="s">
        <v>6274</v>
      </c>
      <c r="AL594">
        <v>3</v>
      </c>
      <c r="AM594">
        <v>4</v>
      </c>
      <c r="AN594">
        <v>144.51</v>
      </c>
      <c r="AQ594" t="s">
        <v>6288</v>
      </c>
      <c r="AR594" t="s">
        <v>5312</v>
      </c>
      <c r="AS594" t="s">
        <v>6298</v>
      </c>
      <c r="AT594">
        <v>55000</v>
      </c>
      <c r="AV594" t="s">
        <v>3380</v>
      </c>
      <c r="AX594" t="s">
        <v>6437</v>
      </c>
      <c r="BA594" t="s">
        <v>6477</v>
      </c>
      <c r="BD594" t="s">
        <v>250</v>
      </c>
    </row>
    <row r="595" spans="1:57">
      <c r="A595" s="1">
        <f>HYPERLINK("https://lsnyc.legalserver.org/matter/dynamic-profile/view/1915206","19-1915206")</f>
        <v>0</v>
      </c>
      <c r="B595" t="s">
        <v>59</v>
      </c>
      <c r="C595" t="s">
        <v>169</v>
      </c>
      <c r="D595" t="s">
        <v>214</v>
      </c>
      <c r="E595" t="s">
        <v>217</v>
      </c>
      <c r="G595" t="s">
        <v>1058</v>
      </c>
      <c r="H595" t="s">
        <v>1771</v>
      </c>
      <c r="J595" t="s">
        <v>2608</v>
      </c>
      <c r="K595" t="s">
        <v>3231</v>
      </c>
      <c r="L595" t="s">
        <v>3330</v>
      </c>
      <c r="M595" t="s">
        <v>3379</v>
      </c>
      <c r="N595">
        <v>10013</v>
      </c>
      <c r="O595" t="s">
        <v>3380</v>
      </c>
      <c r="P595" t="s">
        <v>3381</v>
      </c>
      <c r="Q595" t="s">
        <v>3385</v>
      </c>
      <c r="R595" t="s">
        <v>3865</v>
      </c>
      <c r="S595">
        <v>3</v>
      </c>
      <c r="T595" t="s">
        <v>4197</v>
      </c>
      <c r="U595" t="s">
        <v>4224</v>
      </c>
      <c r="W595" t="s">
        <v>4243</v>
      </c>
      <c r="X595" t="s">
        <v>3382</v>
      </c>
      <c r="Y595" t="s">
        <v>3382</v>
      </c>
      <c r="AA595" t="s">
        <v>4256</v>
      </c>
      <c r="AC595">
        <v>0</v>
      </c>
      <c r="AD595">
        <v>0</v>
      </c>
      <c r="AE595">
        <v>5.5</v>
      </c>
      <c r="AG595" t="s">
        <v>4851</v>
      </c>
      <c r="AI595" t="s">
        <v>5885</v>
      </c>
      <c r="AJ595">
        <v>0</v>
      </c>
      <c r="AK595" t="s">
        <v>6266</v>
      </c>
      <c r="AL595">
        <v>1</v>
      </c>
      <c r="AM595">
        <v>0</v>
      </c>
      <c r="AN595">
        <v>49.48</v>
      </c>
      <c r="AR595" t="s">
        <v>5312</v>
      </c>
      <c r="AS595" t="s">
        <v>6308</v>
      </c>
      <c r="AT595">
        <v>6180</v>
      </c>
      <c r="AX595" t="s">
        <v>6428</v>
      </c>
      <c r="BA595" t="s">
        <v>6511</v>
      </c>
      <c r="BD595" t="s">
        <v>218</v>
      </c>
      <c r="BE595" t="s">
        <v>6702</v>
      </c>
    </row>
    <row r="596" spans="1:57">
      <c r="A596" s="1">
        <f>HYPERLINK("https://lsnyc.legalserver.org/matter/dynamic-profile/view/1915228","19-1915228")</f>
        <v>0</v>
      </c>
      <c r="B596" t="s">
        <v>59</v>
      </c>
      <c r="C596" t="s">
        <v>169</v>
      </c>
      <c r="D596" t="s">
        <v>214</v>
      </c>
      <c r="E596" t="s">
        <v>217</v>
      </c>
      <c r="G596" t="s">
        <v>1059</v>
      </c>
      <c r="H596" t="s">
        <v>1772</v>
      </c>
      <c r="J596" t="s">
        <v>2609</v>
      </c>
      <c r="K596">
        <v>4</v>
      </c>
      <c r="L596" t="s">
        <v>3330</v>
      </c>
      <c r="M596" t="s">
        <v>3379</v>
      </c>
      <c r="N596">
        <v>10002</v>
      </c>
      <c r="O596" t="s">
        <v>3380</v>
      </c>
      <c r="P596" t="s">
        <v>3381</v>
      </c>
      <c r="Q596" t="s">
        <v>3392</v>
      </c>
      <c r="R596" t="s">
        <v>3866</v>
      </c>
      <c r="S596">
        <v>1</v>
      </c>
      <c r="T596" t="s">
        <v>4197</v>
      </c>
      <c r="U596" t="s">
        <v>4224</v>
      </c>
      <c r="W596" t="s">
        <v>4243</v>
      </c>
      <c r="X596" t="s">
        <v>3382</v>
      </c>
      <c r="Y596" t="s">
        <v>3382</v>
      </c>
      <c r="AA596" t="s">
        <v>4256</v>
      </c>
      <c r="AC596">
        <v>0</v>
      </c>
      <c r="AD596">
        <v>500</v>
      </c>
      <c r="AE596">
        <v>1.5</v>
      </c>
      <c r="AG596" t="s">
        <v>4505</v>
      </c>
      <c r="AI596" t="s">
        <v>5886</v>
      </c>
      <c r="AJ596">
        <v>0</v>
      </c>
      <c r="AK596" t="s">
        <v>6266</v>
      </c>
      <c r="AL596">
        <v>2</v>
      </c>
      <c r="AM596">
        <v>0</v>
      </c>
      <c r="AN596">
        <v>8.16</v>
      </c>
      <c r="AR596" t="s">
        <v>5312</v>
      </c>
      <c r="AS596" t="s">
        <v>6307</v>
      </c>
      <c r="AT596">
        <v>1380</v>
      </c>
      <c r="AX596" t="s">
        <v>6428</v>
      </c>
      <c r="BA596" t="s">
        <v>6558</v>
      </c>
      <c r="BD596" t="s">
        <v>243</v>
      </c>
      <c r="BE596" t="s">
        <v>6702</v>
      </c>
    </row>
    <row r="597" spans="1:57">
      <c r="A597" s="1">
        <f>HYPERLINK("https://lsnyc.legalserver.org/matter/dynamic-profile/view/1890906","19-1890906")</f>
        <v>0</v>
      </c>
      <c r="B597" t="s">
        <v>59</v>
      </c>
      <c r="C597" t="s">
        <v>170</v>
      </c>
      <c r="D597" t="s">
        <v>214</v>
      </c>
      <c r="E597" t="s">
        <v>241</v>
      </c>
      <c r="G597" t="s">
        <v>819</v>
      </c>
      <c r="H597" t="s">
        <v>1773</v>
      </c>
      <c r="J597" t="s">
        <v>2610</v>
      </c>
      <c r="K597" t="s">
        <v>3232</v>
      </c>
      <c r="L597" t="s">
        <v>3330</v>
      </c>
      <c r="M597" t="s">
        <v>3379</v>
      </c>
      <c r="N597">
        <v>10025</v>
      </c>
      <c r="O597" t="s">
        <v>3382</v>
      </c>
      <c r="P597" t="s">
        <v>3382</v>
      </c>
      <c r="Q597" t="s">
        <v>3388</v>
      </c>
      <c r="S597">
        <v>45</v>
      </c>
      <c r="T597" t="s">
        <v>4203</v>
      </c>
      <c r="U597" t="s">
        <v>4225</v>
      </c>
      <c r="W597" t="s">
        <v>4243</v>
      </c>
      <c r="X597" t="s">
        <v>3382</v>
      </c>
      <c r="Y597" t="s">
        <v>3382</v>
      </c>
      <c r="AA597" t="s">
        <v>4258</v>
      </c>
      <c r="AC597">
        <v>0</v>
      </c>
      <c r="AD597">
        <v>250</v>
      </c>
      <c r="AE597">
        <v>0.35</v>
      </c>
      <c r="AG597" t="s">
        <v>4852</v>
      </c>
      <c r="AJ597">
        <v>0</v>
      </c>
      <c r="AK597" t="s">
        <v>6278</v>
      </c>
      <c r="AL597">
        <v>2</v>
      </c>
      <c r="AM597">
        <v>2</v>
      </c>
      <c r="AN597">
        <v>34.72</v>
      </c>
      <c r="AQ597" t="s">
        <v>6286</v>
      </c>
      <c r="AR597" t="s">
        <v>5312</v>
      </c>
      <c r="AS597" t="s">
        <v>6298</v>
      </c>
      <c r="AT597">
        <v>8940</v>
      </c>
      <c r="AX597" t="s">
        <v>6428</v>
      </c>
      <c r="BA597" t="s">
        <v>6499</v>
      </c>
      <c r="BD597" t="s">
        <v>438</v>
      </c>
    </row>
    <row r="598" spans="1:57">
      <c r="A598" s="1">
        <f>HYPERLINK("https://lsnyc.legalserver.org/matter/dynamic-profile/view/1911017","19-1911017")</f>
        <v>0</v>
      </c>
      <c r="B598" t="s">
        <v>59</v>
      </c>
      <c r="C598" t="s">
        <v>171</v>
      </c>
      <c r="D598" t="s">
        <v>214</v>
      </c>
      <c r="E598" t="s">
        <v>234</v>
      </c>
      <c r="G598" t="s">
        <v>1020</v>
      </c>
      <c r="H598" t="s">
        <v>1735</v>
      </c>
      <c r="J598" t="s">
        <v>2555</v>
      </c>
      <c r="K598">
        <v>316</v>
      </c>
      <c r="L598" t="s">
        <v>3330</v>
      </c>
      <c r="M598" t="s">
        <v>3379</v>
      </c>
      <c r="N598">
        <v>10027</v>
      </c>
      <c r="O598" t="s">
        <v>3380</v>
      </c>
      <c r="P598" t="s">
        <v>3381</v>
      </c>
      <c r="Q598" t="s">
        <v>3384</v>
      </c>
      <c r="R598" t="s">
        <v>3867</v>
      </c>
      <c r="S598">
        <v>-1</v>
      </c>
      <c r="T598" t="s">
        <v>4196</v>
      </c>
      <c r="U598" t="s">
        <v>4224</v>
      </c>
      <c r="W598" t="s">
        <v>4242</v>
      </c>
      <c r="X598" t="s">
        <v>3382</v>
      </c>
      <c r="Y598" t="s">
        <v>3382</v>
      </c>
      <c r="AA598" t="s">
        <v>4256</v>
      </c>
      <c r="AB598" t="s">
        <v>4261</v>
      </c>
      <c r="AC598">
        <v>0</v>
      </c>
      <c r="AD598">
        <v>1600</v>
      </c>
      <c r="AE598">
        <v>2.6</v>
      </c>
      <c r="AG598" t="s">
        <v>4797</v>
      </c>
      <c r="AI598" t="s">
        <v>5835</v>
      </c>
      <c r="AJ598">
        <v>0</v>
      </c>
      <c r="AK598" t="s">
        <v>6266</v>
      </c>
      <c r="AL598">
        <v>1</v>
      </c>
      <c r="AM598">
        <v>0</v>
      </c>
      <c r="AN598">
        <v>440.35</v>
      </c>
      <c r="AR598" t="s">
        <v>5312</v>
      </c>
      <c r="AS598" t="s">
        <v>6298</v>
      </c>
      <c r="AT598">
        <v>55000</v>
      </c>
      <c r="AX598" t="s">
        <v>6428</v>
      </c>
      <c r="BA598" t="s">
        <v>6477</v>
      </c>
      <c r="BD598" t="s">
        <v>272</v>
      </c>
      <c r="BE598" t="s">
        <v>6702</v>
      </c>
    </row>
    <row r="599" spans="1:57">
      <c r="A599" s="1">
        <f>HYPERLINK("https://lsnyc.legalserver.org/matter/dynamic-profile/view/1912114","19-1912114")</f>
        <v>0</v>
      </c>
      <c r="B599" t="s">
        <v>59</v>
      </c>
      <c r="C599" t="s">
        <v>172</v>
      </c>
      <c r="D599" t="s">
        <v>214</v>
      </c>
      <c r="E599" t="s">
        <v>216</v>
      </c>
      <c r="G599" t="s">
        <v>626</v>
      </c>
      <c r="H599" t="s">
        <v>1774</v>
      </c>
      <c r="J599" t="s">
        <v>2611</v>
      </c>
      <c r="K599" t="s">
        <v>3046</v>
      </c>
      <c r="L599" t="s">
        <v>3330</v>
      </c>
      <c r="M599" t="s">
        <v>3379</v>
      </c>
      <c r="N599">
        <v>10031</v>
      </c>
      <c r="O599" t="s">
        <v>3380</v>
      </c>
      <c r="P599" t="s">
        <v>3381</v>
      </c>
      <c r="Q599" t="s">
        <v>3383</v>
      </c>
      <c r="R599" t="s">
        <v>3868</v>
      </c>
      <c r="S599">
        <v>41</v>
      </c>
      <c r="T599" t="s">
        <v>4197</v>
      </c>
      <c r="U599" t="s">
        <v>4223</v>
      </c>
      <c r="W599" t="s">
        <v>4242</v>
      </c>
      <c r="X599" t="s">
        <v>3382</v>
      </c>
      <c r="Y599" t="s">
        <v>3382</v>
      </c>
      <c r="AA599" t="s">
        <v>4256</v>
      </c>
      <c r="AB599" t="s">
        <v>4261</v>
      </c>
      <c r="AC599">
        <v>0</v>
      </c>
      <c r="AD599">
        <v>606</v>
      </c>
      <c r="AE599">
        <v>7.7</v>
      </c>
      <c r="AG599" t="s">
        <v>4853</v>
      </c>
      <c r="AI599" t="s">
        <v>5887</v>
      </c>
      <c r="AJ599">
        <v>0</v>
      </c>
      <c r="AK599" t="s">
        <v>6267</v>
      </c>
      <c r="AL599">
        <v>2</v>
      </c>
      <c r="AM599">
        <v>0</v>
      </c>
      <c r="AN599">
        <v>88.20999999999999</v>
      </c>
      <c r="AR599" t="s">
        <v>5312</v>
      </c>
      <c r="AS599" t="s">
        <v>6298</v>
      </c>
      <c r="AT599">
        <v>14916</v>
      </c>
      <c r="AX599" t="s">
        <v>6428</v>
      </c>
      <c r="BA599" t="s">
        <v>6572</v>
      </c>
      <c r="BD599" t="s">
        <v>267</v>
      </c>
      <c r="BE599" t="s">
        <v>6702</v>
      </c>
    </row>
    <row r="600" spans="1:57">
      <c r="A600" s="1">
        <f>HYPERLINK("https://lsnyc.legalserver.org/matter/dynamic-profile/view/1873472","18-1873472")</f>
        <v>0</v>
      </c>
      <c r="B600" t="s">
        <v>59</v>
      </c>
      <c r="C600" t="s">
        <v>173</v>
      </c>
      <c r="D600" t="s">
        <v>214</v>
      </c>
      <c r="E600" t="s">
        <v>454</v>
      </c>
      <c r="G600" t="s">
        <v>827</v>
      </c>
      <c r="H600" t="s">
        <v>1775</v>
      </c>
      <c r="J600" t="s">
        <v>2612</v>
      </c>
      <c r="K600" t="s">
        <v>3233</v>
      </c>
      <c r="L600" t="s">
        <v>3330</v>
      </c>
      <c r="M600" t="s">
        <v>3379</v>
      </c>
      <c r="N600">
        <v>10033</v>
      </c>
      <c r="O600" t="s">
        <v>3382</v>
      </c>
      <c r="P600" t="s">
        <v>3381</v>
      </c>
      <c r="R600" t="s">
        <v>3869</v>
      </c>
      <c r="S600">
        <v>6</v>
      </c>
      <c r="T600" t="s">
        <v>4197</v>
      </c>
      <c r="U600" t="s">
        <v>4223</v>
      </c>
      <c r="W600" t="s">
        <v>4243</v>
      </c>
      <c r="X600" t="s">
        <v>3382</v>
      </c>
      <c r="Y600" t="s">
        <v>3382</v>
      </c>
      <c r="AA600" t="s">
        <v>4256</v>
      </c>
      <c r="AB600" t="s">
        <v>4261</v>
      </c>
      <c r="AC600">
        <v>0</v>
      </c>
      <c r="AD600">
        <v>925</v>
      </c>
      <c r="AE600">
        <v>78.8</v>
      </c>
      <c r="AG600" t="s">
        <v>4854</v>
      </c>
      <c r="AI600" t="s">
        <v>5888</v>
      </c>
      <c r="AJ600">
        <v>480</v>
      </c>
      <c r="AK600" t="s">
        <v>6274</v>
      </c>
      <c r="AL600">
        <v>1</v>
      </c>
      <c r="AM600">
        <v>0</v>
      </c>
      <c r="AN600">
        <v>299.84</v>
      </c>
      <c r="AQ600" t="s">
        <v>6287</v>
      </c>
      <c r="AS600" t="s">
        <v>6298</v>
      </c>
      <c r="AT600">
        <v>36400</v>
      </c>
      <c r="AX600" t="s">
        <v>6429</v>
      </c>
      <c r="BA600" t="s">
        <v>6503</v>
      </c>
      <c r="BD600" t="s">
        <v>225</v>
      </c>
    </row>
    <row r="601" spans="1:57">
      <c r="A601" s="1">
        <f>HYPERLINK("https://lsnyc.legalserver.org/matter/dynamic-profile/view/1909020","19-1909020")</f>
        <v>0</v>
      </c>
      <c r="B601" t="s">
        <v>59</v>
      </c>
      <c r="C601" t="s">
        <v>174</v>
      </c>
      <c r="D601" t="s">
        <v>214</v>
      </c>
      <c r="E601" t="s">
        <v>271</v>
      </c>
      <c r="G601" t="s">
        <v>666</v>
      </c>
      <c r="H601" t="s">
        <v>1776</v>
      </c>
      <c r="J601" t="s">
        <v>2613</v>
      </c>
      <c r="K601" t="s">
        <v>3234</v>
      </c>
      <c r="L601" t="s">
        <v>3330</v>
      </c>
      <c r="M601" t="s">
        <v>3379</v>
      </c>
      <c r="N601">
        <v>10009</v>
      </c>
      <c r="O601" t="s">
        <v>3381</v>
      </c>
      <c r="P601" t="s">
        <v>3381</v>
      </c>
      <c r="Q601" t="s">
        <v>3391</v>
      </c>
      <c r="S601">
        <v>10</v>
      </c>
      <c r="U601" t="s">
        <v>4225</v>
      </c>
      <c r="W601" t="s">
        <v>4242</v>
      </c>
      <c r="X601" t="s">
        <v>3382</v>
      </c>
      <c r="AA601" t="s">
        <v>4258</v>
      </c>
      <c r="AC601">
        <v>0</v>
      </c>
      <c r="AD601">
        <v>0</v>
      </c>
      <c r="AE601">
        <v>2.25</v>
      </c>
      <c r="AG601" t="s">
        <v>4855</v>
      </c>
      <c r="AI601" t="s">
        <v>5889</v>
      </c>
      <c r="AJ601">
        <v>0</v>
      </c>
      <c r="AK601" t="s">
        <v>6270</v>
      </c>
      <c r="AL601">
        <v>2</v>
      </c>
      <c r="AM601">
        <v>3</v>
      </c>
      <c r="AN601">
        <v>9.94</v>
      </c>
      <c r="AS601" t="s">
        <v>6298</v>
      </c>
      <c r="AT601">
        <v>3000</v>
      </c>
      <c r="AX601" t="s">
        <v>6438</v>
      </c>
      <c r="BA601" t="s">
        <v>6478</v>
      </c>
      <c r="BD601" t="s">
        <v>304</v>
      </c>
      <c r="BE601" t="s">
        <v>6702</v>
      </c>
    </row>
    <row r="602" spans="1:57">
      <c r="A602" s="1">
        <f>HYPERLINK("https://lsnyc.legalserver.org/matter/dynamic-profile/view/1881901","18-1881901")</f>
        <v>0</v>
      </c>
      <c r="B602" t="s">
        <v>59</v>
      </c>
      <c r="C602" t="s">
        <v>175</v>
      </c>
      <c r="D602" t="s">
        <v>214</v>
      </c>
      <c r="E602" t="s">
        <v>455</v>
      </c>
      <c r="G602" t="s">
        <v>899</v>
      </c>
      <c r="H602" t="s">
        <v>1700</v>
      </c>
      <c r="J602" t="s">
        <v>2614</v>
      </c>
      <c r="K602">
        <v>63</v>
      </c>
      <c r="L602" t="s">
        <v>3330</v>
      </c>
      <c r="M602" t="s">
        <v>3379</v>
      </c>
      <c r="N602">
        <v>10026</v>
      </c>
      <c r="O602" t="s">
        <v>3381</v>
      </c>
      <c r="P602" t="s">
        <v>3381</v>
      </c>
      <c r="Q602" t="s">
        <v>3386</v>
      </c>
      <c r="S602">
        <v>18</v>
      </c>
      <c r="T602" t="s">
        <v>4199</v>
      </c>
      <c r="U602" t="s">
        <v>4223</v>
      </c>
      <c r="W602" t="s">
        <v>4243</v>
      </c>
      <c r="X602" t="s">
        <v>3382</v>
      </c>
      <c r="AA602" t="s">
        <v>4256</v>
      </c>
      <c r="AC602">
        <v>1396</v>
      </c>
      <c r="AD602">
        <v>1645</v>
      </c>
      <c r="AE602">
        <v>2.5</v>
      </c>
      <c r="AG602" t="s">
        <v>4856</v>
      </c>
      <c r="AI602" t="s">
        <v>5890</v>
      </c>
      <c r="AJ602">
        <v>41</v>
      </c>
      <c r="AK602" t="s">
        <v>6267</v>
      </c>
      <c r="AL602">
        <v>2</v>
      </c>
      <c r="AM602">
        <v>0</v>
      </c>
      <c r="AN602">
        <v>124.8</v>
      </c>
      <c r="AQ602" t="s">
        <v>6287</v>
      </c>
      <c r="AR602" t="s">
        <v>6291</v>
      </c>
      <c r="AS602" t="s">
        <v>6298</v>
      </c>
      <c r="AT602">
        <v>20541.6</v>
      </c>
      <c r="AX602" t="s">
        <v>6428</v>
      </c>
      <c r="BA602" t="s">
        <v>6475</v>
      </c>
      <c r="BD602" t="s">
        <v>243</v>
      </c>
    </row>
    <row r="603" spans="1:57">
      <c r="A603" s="1">
        <f>HYPERLINK("https://lsnyc.legalserver.org/matter/dynamic-profile/view/1911873","19-1911873")</f>
        <v>0</v>
      </c>
      <c r="B603" t="s">
        <v>59</v>
      </c>
      <c r="C603" t="s">
        <v>175</v>
      </c>
      <c r="D603" t="s">
        <v>214</v>
      </c>
      <c r="E603" t="s">
        <v>342</v>
      </c>
      <c r="G603" t="s">
        <v>1060</v>
      </c>
      <c r="H603" t="s">
        <v>1777</v>
      </c>
      <c r="J603" t="s">
        <v>2615</v>
      </c>
      <c r="K603" t="s">
        <v>3235</v>
      </c>
      <c r="L603" t="s">
        <v>3330</v>
      </c>
      <c r="M603" t="s">
        <v>3379</v>
      </c>
      <c r="N603">
        <v>10007</v>
      </c>
      <c r="O603" t="s">
        <v>3380</v>
      </c>
      <c r="P603" t="s">
        <v>3381</v>
      </c>
      <c r="Q603" t="s">
        <v>3386</v>
      </c>
      <c r="S603">
        <v>16</v>
      </c>
      <c r="U603" t="s">
        <v>4224</v>
      </c>
      <c r="W603" t="s">
        <v>4243</v>
      </c>
      <c r="X603" t="s">
        <v>3382</v>
      </c>
      <c r="Y603" t="s">
        <v>3382</v>
      </c>
      <c r="AA603" t="s">
        <v>4256</v>
      </c>
      <c r="AC603">
        <v>0</v>
      </c>
      <c r="AD603">
        <v>0</v>
      </c>
      <c r="AE603">
        <v>2</v>
      </c>
      <c r="AG603" t="s">
        <v>4857</v>
      </c>
      <c r="AH603" t="s">
        <v>5306</v>
      </c>
      <c r="AI603" t="s">
        <v>5891</v>
      </c>
      <c r="AJ603">
        <v>0</v>
      </c>
      <c r="AL603">
        <v>1</v>
      </c>
      <c r="AM603">
        <v>0</v>
      </c>
      <c r="AN603">
        <v>11.53</v>
      </c>
      <c r="AS603" t="s">
        <v>6298</v>
      </c>
      <c r="AT603">
        <v>1440</v>
      </c>
      <c r="AX603" t="s">
        <v>6428</v>
      </c>
      <c r="BA603" t="s">
        <v>6558</v>
      </c>
      <c r="BD603" t="s">
        <v>218</v>
      </c>
      <c r="BE603" t="s">
        <v>6703</v>
      </c>
    </row>
    <row r="604" spans="1:57">
      <c r="A604" s="1">
        <f>HYPERLINK("https://lsnyc.legalserver.org/matter/dynamic-profile/view/0750632","14-0750632")</f>
        <v>0</v>
      </c>
      <c r="B604" t="s">
        <v>59</v>
      </c>
      <c r="C604" t="s">
        <v>175</v>
      </c>
      <c r="D604" t="s">
        <v>214</v>
      </c>
      <c r="E604" t="s">
        <v>456</v>
      </c>
      <c r="G604" t="s">
        <v>1061</v>
      </c>
      <c r="H604" t="s">
        <v>1772</v>
      </c>
      <c r="J604" t="s">
        <v>2616</v>
      </c>
      <c r="K604">
        <v>8</v>
      </c>
      <c r="L604" t="s">
        <v>3330</v>
      </c>
      <c r="M604" t="s">
        <v>3379</v>
      </c>
      <c r="N604">
        <v>10002</v>
      </c>
      <c r="O604" t="s">
        <v>3381</v>
      </c>
      <c r="P604" t="s">
        <v>3381</v>
      </c>
      <c r="R604" t="s">
        <v>3870</v>
      </c>
      <c r="S604">
        <v>0</v>
      </c>
      <c r="T604" t="s">
        <v>4197</v>
      </c>
      <c r="U604" t="s">
        <v>4223</v>
      </c>
      <c r="W604" t="s">
        <v>4243</v>
      </c>
      <c r="X604" t="s">
        <v>3382</v>
      </c>
      <c r="AA604" t="s">
        <v>4256</v>
      </c>
      <c r="AC604">
        <v>0</v>
      </c>
      <c r="AD604">
        <v>0</v>
      </c>
      <c r="AE604">
        <v>468.47</v>
      </c>
      <c r="AG604" t="s">
        <v>4858</v>
      </c>
      <c r="AI604" t="s">
        <v>5892</v>
      </c>
      <c r="AJ604">
        <v>0</v>
      </c>
      <c r="AL604">
        <v>3</v>
      </c>
      <c r="AM604">
        <v>2</v>
      </c>
      <c r="AN604">
        <v>103.19</v>
      </c>
      <c r="AS604" t="s">
        <v>6309</v>
      </c>
      <c r="AT604">
        <v>28800</v>
      </c>
      <c r="AX604" t="s">
        <v>6435</v>
      </c>
      <c r="BA604" t="s">
        <v>6480</v>
      </c>
      <c r="BD604" t="s">
        <v>236</v>
      </c>
    </row>
    <row r="605" spans="1:57">
      <c r="A605" s="1">
        <f>HYPERLINK("https://lsnyc.legalserver.org/matter/dynamic-profile/view/1908999","19-1908999")</f>
        <v>0</v>
      </c>
      <c r="B605" t="s">
        <v>59</v>
      </c>
      <c r="C605" t="s">
        <v>176</v>
      </c>
      <c r="D605" t="s">
        <v>214</v>
      </c>
      <c r="E605" t="s">
        <v>271</v>
      </c>
      <c r="G605" t="s">
        <v>1062</v>
      </c>
      <c r="H605" t="s">
        <v>1487</v>
      </c>
      <c r="J605" t="s">
        <v>2617</v>
      </c>
      <c r="K605" t="s">
        <v>3055</v>
      </c>
      <c r="L605" t="s">
        <v>3330</v>
      </c>
      <c r="M605" t="s">
        <v>3379</v>
      </c>
      <c r="N605">
        <v>10035</v>
      </c>
      <c r="O605" t="s">
        <v>3380</v>
      </c>
      <c r="P605" t="s">
        <v>3381</v>
      </c>
      <c r="Q605" t="s">
        <v>3385</v>
      </c>
      <c r="R605" t="s">
        <v>3871</v>
      </c>
      <c r="S605">
        <v>4</v>
      </c>
      <c r="T605" t="s">
        <v>4197</v>
      </c>
      <c r="U605" t="s">
        <v>4225</v>
      </c>
      <c r="W605" t="s">
        <v>4243</v>
      </c>
      <c r="X605" t="s">
        <v>3382</v>
      </c>
      <c r="Y605" t="s">
        <v>3382</v>
      </c>
      <c r="AA605" t="s">
        <v>4258</v>
      </c>
      <c r="AC605">
        <v>0</v>
      </c>
      <c r="AD605">
        <v>193</v>
      </c>
      <c r="AE605">
        <v>0.1</v>
      </c>
      <c r="AG605" t="s">
        <v>4859</v>
      </c>
      <c r="AI605" t="s">
        <v>5893</v>
      </c>
      <c r="AJ605">
        <v>55</v>
      </c>
      <c r="AK605" t="s">
        <v>6270</v>
      </c>
      <c r="AL605">
        <v>2</v>
      </c>
      <c r="AM605">
        <v>0</v>
      </c>
      <c r="AN605">
        <v>45.84</v>
      </c>
      <c r="AS605" t="s">
        <v>6298</v>
      </c>
      <c r="AT605">
        <v>7752</v>
      </c>
      <c r="AX605" t="s">
        <v>6434</v>
      </c>
      <c r="BA605" t="s">
        <v>6511</v>
      </c>
      <c r="BD605" t="s">
        <v>271</v>
      </c>
      <c r="BE605" t="s">
        <v>6702</v>
      </c>
    </row>
    <row r="606" spans="1:57">
      <c r="A606" s="1">
        <f>HYPERLINK("https://lsnyc.legalserver.org/matter/dynamic-profile/view/1880004","18-1880004")</f>
        <v>0</v>
      </c>
      <c r="B606" t="s">
        <v>59</v>
      </c>
      <c r="C606" t="s">
        <v>176</v>
      </c>
      <c r="D606" t="s">
        <v>214</v>
      </c>
      <c r="E606" t="s">
        <v>432</v>
      </c>
      <c r="G606" t="s">
        <v>831</v>
      </c>
      <c r="H606" t="s">
        <v>1455</v>
      </c>
      <c r="J606" t="s">
        <v>2618</v>
      </c>
      <c r="K606" t="s">
        <v>3007</v>
      </c>
      <c r="L606" t="s">
        <v>3330</v>
      </c>
      <c r="M606" t="s">
        <v>3379</v>
      </c>
      <c r="N606">
        <v>10033</v>
      </c>
      <c r="O606" t="s">
        <v>3381</v>
      </c>
      <c r="P606" t="s">
        <v>3381</v>
      </c>
      <c r="R606">
        <v>73727</v>
      </c>
      <c r="S606">
        <v>26</v>
      </c>
      <c r="T606" t="s">
        <v>4197</v>
      </c>
      <c r="W606" t="s">
        <v>4243</v>
      </c>
      <c r="X606" t="s">
        <v>3382</v>
      </c>
      <c r="AA606" t="s">
        <v>4256</v>
      </c>
      <c r="AC606">
        <v>0</v>
      </c>
      <c r="AD606">
        <v>841.77</v>
      </c>
      <c r="AE606">
        <v>0</v>
      </c>
      <c r="AG606" t="s">
        <v>4860</v>
      </c>
      <c r="AI606" t="s">
        <v>5894</v>
      </c>
      <c r="AJ606">
        <v>41</v>
      </c>
      <c r="AL606">
        <v>2</v>
      </c>
      <c r="AM606">
        <v>0</v>
      </c>
      <c r="AN606">
        <v>251.52</v>
      </c>
      <c r="AQ606" t="s">
        <v>6287</v>
      </c>
      <c r="AS606" t="s">
        <v>6299</v>
      </c>
      <c r="AT606">
        <v>41400</v>
      </c>
      <c r="AX606" t="s">
        <v>6428</v>
      </c>
      <c r="BA606" t="s">
        <v>6524</v>
      </c>
    </row>
    <row r="607" spans="1:57">
      <c r="A607" s="1">
        <f>HYPERLINK("https://lsnyc.legalserver.org/matter/dynamic-profile/view/1886826","19-1886826")</f>
        <v>0</v>
      </c>
      <c r="B607" t="s">
        <v>59</v>
      </c>
      <c r="C607" t="s">
        <v>176</v>
      </c>
      <c r="D607" t="s">
        <v>214</v>
      </c>
      <c r="E607" t="s">
        <v>440</v>
      </c>
      <c r="G607" t="s">
        <v>1063</v>
      </c>
      <c r="H607" t="s">
        <v>1746</v>
      </c>
      <c r="J607" t="s">
        <v>2619</v>
      </c>
      <c r="K607">
        <v>31</v>
      </c>
      <c r="L607" t="s">
        <v>3330</v>
      </c>
      <c r="M607" t="s">
        <v>3379</v>
      </c>
      <c r="N607">
        <v>10031</v>
      </c>
      <c r="O607" t="s">
        <v>3380</v>
      </c>
      <c r="P607" t="s">
        <v>3380</v>
      </c>
      <c r="Q607" t="s">
        <v>3383</v>
      </c>
      <c r="R607" t="s">
        <v>3872</v>
      </c>
      <c r="S607">
        <v>32</v>
      </c>
      <c r="T607" t="s">
        <v>4196</v>
      </c>
      <c r="U607" t="s">
        <v>4223</v>
      </c>
      <c r="W607" t="s">
        <v>4242</v>
      </c>
      <c r="X607" t="s">
        <v>3382</v>
      </c>
      <c r="Y607" t="s">
        <v>3382</v>
      </c>
      <c r="AA607" t="s">
        <v>4256</v>
      </c>
      <c r="AB607" t="s">
        <v>4261</v>
      </c>
      <c r="AC607">
        <v>0</v>
      </c>
      <c r="AD607">
        <v>1243</v>
      </c>
      <c r="AE607">
        <v>8.300000000000001</v>
      </c>
      <c r="AG607" t="s">
        <v>4861</v>
      </c>
      <c r="AH607" t="s">
        <v>5307</v>
      </c>
      <c r="AI607" t="s">
        <v>5895</v>
      </c>
      <c r="AJ607">
        <v>0</v>
      </c>
      <c r="AK607" t="s">
        <v>6267</v>
      </c>
      <c r="AL607">
        <v>1</v>
      </c>
      <c r="AM607">
        <v>3</v>
      </c>
      <c r="AN607">
        <v>14.34</v>
      </c>
      <c r="AQ607" t="s">
        <v>6286</v>
      </c>
      <c r="AR607" t="s">
        <v>6290</v>
      </c>
      <c r="AS607" t="s">
        <v>6298</v>
      </c>
      <c r="AT607">
        <v>3600</v>
      </c>
      <c r="AX607" t="s">
        <v>6434</v>
      </c>
      <c r="BA607" t="s">
        <v>6561</v>
      </c>
      <c r="BD607" t="s">
        <v>348</v>
      </c>
    </row>
    <row r="608" spans="1:57">
      <c r="A608" s="1">
        <f>HYPERLINK("https://lsnyc.legalserver.org/matter/dynamic-profile/view/1896281","19-1896281")</f>
        <v>0</v>
      </c>
      <c r="B608" t="s">
        <v>59</v>
      </c>
      <c r="C608" t="s">
        <v>176</v>
      </c>
      <c r="D608" t="s">
        <v>214</v>
      </c>
      <c r="E608" t="s">
        <v>414</v>
      </c>
      <c r="G608" t="s">
        <v>1064</v>
      </c>
      <c r="H608" t="s">
        <v>1778</v>
      </c>
      <c r="J608" t="s">
        <v>2620</v>
      </c>
      <c r="L608" t="s">
        <v>3330</v>
      </c>
      <c r="M608" t="s">
        <v>3379</v>
      </c>
      <c r="N608">
        <v>10031</v>
      </c>
      <c r="O608" t="s">
        <v>3381</v>
      </c>
      <c r="P608" t="s">
        <v>3381</v>
      </c>
      <c r="R608" t="s">
        <v>3873</v>
      </c>
      <c r="S608">
        <v>0</v>
      </c>
      <c r="T608" t="s">
        <v>4196</v>
      </c>
      <c r="U608" t="s">
        <v>4223</v>
      </c>
      <c r="W608" t="s">
        <v>4242</v>
      </c>
      <c r="X608" t="s">
        <v>3382</v>
      </c>
      <c r="Y608" t="s">
        <v>3382</v>
      </c>
      <c r="AA608" t="s">
        <v>4256</v>
      </c>
      <c r="AC608">
        <v>0</v>
      </c>
      <c r="AD608">
        <v>1600</v>
      </c>
      <c r="AE608">
        <v>53.35</v>
      </c>
      <c r="AG608" t="s">
        <v>4862</v>
      </c>
      <c r="AI608" t="s">
        <v>5896</v>
      </c>
      <c r="AJ608">
        <v>0</v>
      </c>
      <c r="AK608" t="s">
        <v>6267</v>
      </c>
      <c r="AL608">
        <v>1</v>
      </c>
      <c r="AM608">
        <v>0</v>
      </c>
      <c r="AN608">
        <v>0</v>
      </c>
      <c r="AT608">
        <v>0</v>
      </c>
      <c r="AX608" t="s">
        <v>6430</v>
      </c>
      <c r="BA608" t="s">
        <v>6479</v>
      </c>
      <c r="BD608" t="s">
        <v>218</v>
      </c>
    </row>
    <row r="609" spans="1:57">
      <c r="A609" s="1">
        <f>HYPERLINK("https://lsnyc.legalserver.org/matter/dynamic-profile/view/1905335","19-1905335")</f>
        <v>0</v>
      </c>
      <c r="B609" t="s">
        <v>59</v>
      </c>
      <c r="C609" t="s">
        <v>176</v>
      </c>
      <c r="D609" t="s">
        <v>214</v>
      </c>
      <c r="E609" t="s">
        <v>306</v>
      </c>
      <c r="G609" t="s">
        <v>1065</v>
      </c>
      <c r="H609" t="s">
        <v>1779</v>
      </c>
      <c r="J609" t="s">
        <v>2621</v>
      </c>
      <c r="K609">
        <v>1</v>
      </c>
      <c r="L609" t="s">
        <v>3330</v>
      </c>
      <c r="M609" t="s">
        <v>3379</v>
      </c>
      <c r="N609">
        <v>10031</v>
      </c>
      <c r="O609" t="s">
        <v>3382</v>
      </c>
      <c r="P609" t="s">
        <v>3381</v>
      </c>
      <c r="Q609" t="s">
        <v>3386</v>
      </c>
      <c r="R609" t="s">
        <v>3874</v>
      </c>
      <c r="S609">
        <v>30</v>
      </c>
      <c r="U609" t="s">
        <v>4229</v>
      </c>
      <c r="W609" t="s">
        <v>4243</v>
      </c>
      <c r="X609" t="s">
        <v>3382</v>
      </c>
      <c r="Y609" t="s">
        <v>3382</v>
      </c>
      <c r="AA609" t="s">
        <v>4256</v>
      </c>
      <c r="AC609">
        <v>0</v>
      </c>
      <c r="AD609">
        <v>300</v>
      </c>
      <c r="AE609">
        <v>23.5</v>
      </c>
      <c r="AG609" t="s">
        <v>4863</v>
      </c>
      <c r="AI609" t="s">
        <v>5448</v>
      </c>
      <c r="AJ609">
        <v>0</v>
      </c>
      <c r="AK609" t="s">
        <v>6266</v>
      </c>
      <c r="AL609">
        <v>1</v>
      </c>
      <c r="AM609">
        <v>0</v>
      </c>
      <c r="AN609">
        <v>72.06</v>
      </c>
      <c r="AR609" t="s">
        <v>5312</v>
      </c>
      <c r="AS609" t="s">
        <v>6298</v>
      </c>
      <c r="AT609">
        <v>9000</v>
      </c>
      <c r="AX609" t="s">
        <v>6428</v>
      </c>
      <c r="BA609" t="s">
        <v>6482</v>
      </c>
      <c r="BD609" t="s">
        <v>217</v>
      </c>
    </row>
    <row r="610" spans="1:57">
      <c r="A610" s="1">
        <f>HYPERLINK("https://lsnyc.legalserver.org/matter/dynamic-profile/view/1847081","17-1847081")</f>
        <v>0</v>
      </c>
      <c r="B610" t="s">
        <v>59</v>
      </c>
      <c r="C610" t="s">
        <v>176</v>
      </c>
      <c r="D610" t="s">
        <v>214</v>
      </c>
      <c r="E610" t="s">
        <v>457</v>
      </c>
      <c r="G610" t="s">
        <v>1066</v>
      </c>
      <c r="H610" t="s">
        <v>1475</v>
      </c>
      <c r="J610" t="s">
        <v>2622</v>
      </c>
      <c r="K610" t="s">
        <v>3069</v>
      </c>
      <c r="L610" t="s">
        <v>3330</v>
      </c>
      <c r="M610" t="s">
        <v>3379</v>
      </c>
      <c r="N610">
        <v>10027</v>
      </c>
      <c r="O610" t="s">
        <v>3381</v>
      </c>
      <c r="P610" t="s">
        <v>3381</v>
      </c>
      <c r="Q610" t="s">
        <v>3386</v>
      </c>
      <c r="R610" t="s">
        <v>3875</v>
      </c>
      <c r="S610">
        <v>0</v>
      </c>
      <c r="T610" t="s">
        <v>4216</v>
      </c>
      <c r="U610" t="s">
        <v>4223</v>
      </c>
      <c r="W610" t="s">
        <v>4243</v>
      </c>
      <c r="X610" t="s">
        <v>3382</v>
      </c>
      <c r="Y610" t="s">
        <v>3380</v>
      </c>
      <c r="AA610" t="s">
        <v>4256</v>
      </c>
      <c r="AC610">
        <v>0</v>
      </c>
      <c r="AD610">
        <v>0</v>
      </c>
      <c r="AE610">
        <v>19.42</v>
      </c>
      <c r="AG610" t="s">
        <v>4864</v>
      </c>
      <c r="AI610" t="s">
        <v>5897</v>
      </c>
      <c r="AJ610">
        <v>0</v>
      </c>
      <c r="AL610">
        <v>2</v>
      </c>
      <c r="AM610">
        <v>0</v>
      </c>
      <c r="AN610">
        <v>190.89</v>
      </c>
      <c r="AQ610" t="s">
        <v>6287</v>
      </c>
      <c r="AS610" t="s">
        <v>6298</v>
      </c>
      <c r="AT610">
        <v>31000</v>
      </c>
      <c r="AX610" t="s">
        <v>6439</v>
      </c>
      <c r="BA610" t="s">
        <v>6477</v>
      </c>
      <c r="BD610" t="s">
        <v>313</v>
      </c>
    </row>
    <row r="611" spans="1:57">
      <c r="A611" s="1">
        <f>HYPERLINK("https://lsnyc.legalserver.org/matter/dynamic-profile/view/1847092","17-1847092")</f>
        <v>0</v>
      </c>
      <c r="B611" t="s">
        <v>59</v>
      </c>
      <c r="C611" t="s">
        <v>176</v>
      </c>
      <c r="D611" t="s">
        <v>214</v>
      </c>
      <c r="E611" t="s">
        <v>457</v>
      </c>
      <c r="G611" t="s">
        <v>1067</v>
      </c>
      <c r="H611" t="s">
        <v>1542</v>
      </c>
      <c r="J611" t="s">
        <v>2622</v>
      </c>
      <c r="K611" t="s">
        <v>3016</v>
      </c>
      <c r="L611" t="s">
        <v>3330</v>
      </c>
      <c r="M611" t="s">
        <v>3379</v>
      </c>
      <c r="N611">
        <v>10027</v>
      </c>
      <c r="O611" t="s">
        <v>3381</v>
      </c>
      <c r="P611" t="s">
        <v>3381</v>
      </c>
      <c r="R611" t="s">
        <v>3875</v>
      </c>
      <c r="S611">
        <v>2</v>
      </c>
      <c r="T611" t="s">
        <v>4216</v>
      </c>
      <c r="U611" t="s">
        <v>4223</v>
      </c>
      <c r="W611" t="s">
        <v>4243</v>
      </c>
      <c r="X611" t="s">
        <v>3382</v>
      </c>
      <c r="Y611" t="s">
        <v>3380</v>
      </c>
      <c r="AA611" t="s">
        <v>4256</v>
      </c>
      <c r="AC611">
        <v>0</v>
      </c>
      <c r="AD611">
        <v>0</v>
      </c>
      <c r="AE611">
        <v>5.4</v>
      </c>
      <c r="AG611" t="s">
        <v>4865</v>
      </c>
      <c r="AJ611">
        <v>0</v>
      </c>
      <c r="AL611">
        <v>2</v>
      </c>
      <c r="AM611">
        <v>2</v>
      </c>
      <c r="AN611">
        <v>101.46</v>
      </c>
      <c r="AS611" t="s">
        <v>6298</v>
      </c>
      <c r="AT611">
        <v>24960</v>
      </c>
      <c r="AX611" t="s">
        <v>6439</v>
      </c>
      <c r="BA611" t="s">
        <v>6477</v>
      </c>
      <c r="BD611" t="s">
        <v>295</v>
      </c>
    </row>
    <row r="612" spans="1:57">
      <c r="A612" s="1">
        <f>HYPERLINK("https://lsnyc.legalserver.org/matter/dynamic-profile/view/1847095","17-1847095")</f>
        <v>0</v>
      </c>
      <c r="B612" t="s">
        <v>59</v>
      </c>
      <c r="C612" t="s">
        <v>176</v>
      </c>
      <c r="D612" t="s">
        <v>214</v>
      </c>
      <c r="E612" t="s">
        <v>457</v>
      </c>
      <c r="G612" t="s">
        <v>737</v>
      </c>
      <c r="H612" t="s">
        <v>721</v>
      </c>
      <c r="J612" t="s">
        <v>2622</v>
      </c>
      <c r="K612" t="s">
        <v>3159</v>
      </c>
      <c r="L612" t="s">
        <v>3330</v>
      </c>
      <c r="M612" t="s">
        <v>3379</v>
      </c>
      <c r="N612">
        <v>10027</v>
      </c>
      <c r="O612" t="s">
        <v>3381</v>
      </c>
      <c r="P612" t="s">
        <v>3381</v>
      </c>
      <c r="R612" t="s">
        <v>3875</v>
      </c>
      <c r="S612">
        <v>0</v>
      </c>
      <c r="T612" t="s">
        <v>4216</v>
      </c>
      <c r="U612" t="s">
        <v>4223</v>
      </c>
      <c r="W612" t="s">
        <v>4243</v>
      </c>
      <c r="X612" t="s">
        <v>3382</v>
      </c>
      <c r="Y612" t="s">
        <v>3380</v>
      </c>
      <c r="AA612" t="s">
        <v>4256</v>
      </c>
      <c r="AC612">
        <v>0</v>
      </c>
      <c r="AD612">
        <v>0</v>
      </c>
      <c r="AE612">
        <v>9.1</v>
      </c>
      <c r="AG612" t="s">
        <v>4866</v>
      </c>
      <c r="AI612" t="s">
        <v>5898</v>
      </c>
      <c r="AJ612">
        <v>0</v>
      </c>
      <c r="AL612">
        <v>1</v>
      </c>
      <c r="AM612">
        <v>0</v>
      </c>
      <c r="AN612">
        <v>290.22</v>
      </c>
      <c r="AS612" t="s">
        <v>6298</v>
      </c>
      <c r="AT612">
        <v>35000</v>
      </c>
      <c r="AX612" t="s">
        <v>6439</v>
      </c>
      <c r="BA612" t="s">
        <v>6477</v>
      </c>
      <c r="BD612" t="s">
        <v>309</v>
      </c>
    </row>
    <row r="613" spans="1:57">
      <c r="A613" s="1">
        <f>HYPERLINK("https://lsnyc.legalserver.org/matter/dynamic-profile/view/1847104","17-1847104")</f>
        <v>0</v>
      </c>
      <c r="B613" t="s">
        <v>59</v>
      </c>
      <c r="C613" t="s">
        <v>176</v>
      </c>
      <c r="D613" t="s">
        <v>214</v>
      </c>
      <c r="E613" t="s">
        <v>457</v>
      </c>
      <c r="G613" t="s">
        <v>1068</v>
      </c>
      <c r="H613" t="s">
        <v>1682</v>
      </c>
      <c r="J613" t="s">
        <v>2622</v>
      </c>
      <c r="K613" t="s">
        <v>3000</v>
      </c>
      <c r="L613" t="s">
        <v>3330</v>
      </c>
      <c r="M613" t="s">
        <v>3379</v>
      </c>
      <c r="N613">
        <v>10027</v>
      </c>
      <c r="O613" t="s">
        <v>3381</v>
      </c>
      <c r="P613" t="s">
        <v>3381</v>
      </c>
      <c r="R613" t="s">
        <v>3875</v>
      </c>
      <c r="S613">
        <v>0</v>
      </c>
      <c r="T613" t="s">
        <v>4216</v>
      </c>
      <c r="U613" t="s">
        <v>4223</v>
      </c>
      <c r="W613" t="s">
        <v>4243</v>
      </c>
      <c r="X613" t="s">
        <v>3382</v>
      </c>
      <c r="AA613" t="s">
        <v>4256</v>
      </c>
      <c r="AC613">
        <v>0</v>
      </c>
      <c r="AD613">
        <v>0</v>
      </c>
      <c r="AE613">
        <v>31.07</v>
      </c>
      <c r="AG613" t="s">
        <v>4867</v>
      </c>
      <c r="AI613" t="s">
        <v>5899</v>
      </c>
      <c r="AJ613">
        <v>0</v>
      </c>
      <c r="AL613">
        <v>1</v>
      </c>
      <c r="AM613">
        <v>0</v>
      </c>
      <c r="AN613">
        <v>149.25</v>
      </c>
      <c r="AS613" t="s">
        <v>6298</v>
      </c>
      <c r="AT613">
        <v>18000</v>
      </c>
      <c r="AX613" t="s">
        <v>6439</v>
      </c>
      <c r="BA613" t="s">
        <v>6503</v>
      </c>
      <c r="BD613" t="s">
        <v>230</v>
      </c>
    </row>
    <row r="614" spans="1:57">
      <c r="A614" s="1">
        <f>HYPERLINK("https://lsnyc.legalserver.org/matter/dynamic-profile/view/1847105","17-1847105")</f>
        <v>0</v>
      </c>
      <c r="B614" t="s">
        <v>59</v>
      </c>
      <c r="C614" t="s">
        <v>176</v>
      </c>
      <c r="D614" t="s">
        <v>214</v>
      </c>
      <c r="E614" t="s">
        <v>457</v>
      </c>
      <c r="G614" t="s">
        <v>1069</v>
      </c>
      <c r="H614" t="s">
        <v>1578</v>
      </c>
      <c r="J614" t="s">
        <v>2622</v>
      </c>
      <c r="K614" t="s">
        <v>3027</v>
      </c>
      <c r="L614" t="s">
        <v>3330</v>
      </c>
      <c r="M614" t="s">
        <v>3379</v>
      </c>
      <c r="N614">
        <v>10027</v>
      </c>
      <c r="O614" t="s">
        <v>3381</v>
      </c>
      <c r="P614" t="s">
        <v>3381</v>
      </c>
      <c r="R614" t="s">
        <v>3875</v>
      </c>
      <c r="S614">
        <v>0</v>
      </c>
      <c r="T614" t="s">
        <v>4216</v>
      </c>
      <c r="U614" t="s">
        <v>4223</v>
      </c>
      <c r="W614" t="s">
        <v>4243</v>
      </c>
      <c r="X614" t="s">
        <v>3382</v>
      </c>
      <c r="AA614" t="s">
        <v>4256</v>
      </c>
      <c r="AC614">
        <v>0</v>
      </c>
      <c r="AD614">
        <v>0</v>
      </c>
      <c r="AE614">
        <v>4.86</v>
      </c>
      <c r="AG614" t="s">
        <v>4868</v>
      </c>
      <c r="AI614" t="s">
        <v>5900</v>
      </c>
      <c r="AJ614">
        <v>0</v>
      </c>
      <c r="AL614">
        <v>2</v>
      </c>
      <c r="AM614">
        <v>1</v>
      </c>
      <c r="AN614">
        <v>161.61</v>
      </c>
      <c r="AS614" t="s">
        <v>6298</v>
      </c>
      <c r="AT614">
        <v>33000</v>
      </c>
      <c r="AX614" t="s">
        <v>6439</v>
      </c>
      <c r="BA614" t="s">
        <v>6477</v>
      </c>
      <c r="BD614" t="s">
        <v>270</v>
      </c>
    </row>
    <row r="615" spans="1:57">
      <c r="A615" s="1">
        <f>HYPERLINK("https://lsnyc.legalserver.org/matter/dynamic-profile/view/1864360","18-1864360")</f>
        <v>0</v>
      </c>
      <c r="B615" t="s">
        <v>59</v>
      </c>
      <c r="C615" t="s">
        <v>176</v>
      </c>
      <c r="D615" t="s">
        <v>214</v>
      </c>
      <c r="E615" t="s">
        <v>458</v>
      </c>
      <c r="G615" t="s">
        <v>1070</v>
      </c>
      <c r="H615" t="s">
        <v>1780</v>
      </c>
      <c r="J615" t="s">
        <v>2622</v>
      </c>
      <c r="K615" t="s">
        <v>3026</v>
      </c>
      <c r="L615" t="s">
        <v>3330</v>
      </c>
      <c r="M615" t="s">
        <v>3379</v>
      </c>
      <c r="N615">
        <v>10027</v>
      </c>
      <c r="O615" t="s">
        <v>3380</v>
      </c>
      <c r="P615" t="s">
        <v>3381</v>
      </c>
      <c r="S615">
        <v>14</v>
      </c>
      <c r="T615" t="s">
        <v>4216</v>
      </c>
      <c r="U615" t="s">
        <v>4225</v>
      </c>
      <c r="W615" t="s">
        <v>4243</v>
      </c>
      <c r="X615" t="s">
        <v>3382</v>
      </c>
      <c r="AA615" t="s">
        <v>4256</v>
      </c>
      <c r="AC615">
        <v>0</v>
      </c>
      <c r="AD615">
        <v>950</v>
      </c>
      <c r="AE615">
        <v>5.38</v>
      </c>
      <c r="AG615" t="s">
        <v>4869</v>
      </c>
      <c r="AJ615">
        <v>0</v>
      </c>
      <c r="AL615">
        <v>2</v>
      </c>
      <c r="AM615">
        <v>0</v>
      </c>
      <c r="AN615">
        <v>78.98</v>
      </c>
      <c r="AS615" t="s">
        <v>6299</v>
      </c>
      <c r="AT615">
        <v>13000</v>
      </c>
      <c r="AX615" t="s">
        <v>6439</v>
      </c>
      <c r="BA615" t="s">
        <v>6473</v>
      </c>
      <c r="BD615" t="s">
        <v>6657</v>
      </c>
      <c r="BE615" t="s">
        <v>6702</v>
      </c>
    </row>
    <row r="616" spans="1:57">
      <c r="A616" s="1">
        <f>HYPERLINK("https://lsnyc.legalserver.org/matter/dynamic-profile/view/1891712","19-1891712")</f>
        <v>0</v>
      </c>
      <c r="B616" t="s">
        <v>59</v>
      </c>
      <c r="C616" t="s">
        <v>176</v>
      </c>
      <c r="D616" t="s">
        <v>214</v>
      </c>
      <c r="E616" t="s">
        <v>378</v>
      </c>
      <c r="G616" t="s">
        <v>1071</v>
      </c>
      <c r="H616" t="s">
        <v>1781</v>
      </c>
      <c r="J616" t="s">
        <v>2623</v>
      </c>
      <c r="K616">
        <v>18</v>
      </c>
      <c r="L616" t="s">
        <v>3330</v>
      </c>
      <c r="M616" t="s">
        <v>3379</v>
      </c>
      <c r="N616">
        <v>10027</v>
      </c>
      <c r="O616" t="s">
        <v>3380</v>
      </c>
      <c r="P616" t="s">
        <v>3380</v>
      </c>
      <c r="Q616" t="s">
        <v>3386</v>
      </c>
      <c r="R616" t="s">
        <v>3876</v>
      </c>
      <c r="S616">
        <v>14</v>
      </c>
      <c r="T616" t="s">
        <v>4197</v>
      </c>
      <c r="U616" t="s">
        <v>4223</v>
      </c>
      <c r="W616" t="s">
        <v>4243</v>
      </c>
      <c r="X616" t="s">
        <v>3382</v>
      </c>
      <c r="Y616" t="s">
        <v>3382</v>
      </c>
      <c r="AA616" t="s">
        <v>4256</v>
      </c>
      <c r="AC616">
        <v>0</v>
      </c>
      <c r="AD616">
        <v>1537.32</v>
      </c>
      <c r="AE616">
        <v>58.3</v>
      </c>
      <c r="AG616" t="s">
        <v>4870</v>
      </c>
      <c r="AI616" t="s">
        <v>5901</v>
      </c>
      <c r="AJ616">
        <v>0</v>
      </c>
      <c r="AK616" t="s">
        <v>6267</v>
      </c>
      <c r="AL616">
        <v>1</v>
      </c>
      <c r="AM616">
        <v>0</v>
      </c>
      <c r="AN616">
        <v>160.13</v>
      </c>
      <c r="AQ616" t="s">
        <v>6287</v>
      </c>
      <c r="AR616" t="s">
        <v>5312</v>
      </c>
      <c r="AS616" t="s">
        <v>6298</v>
      </c>
      <c r="AT616">
        <v>20000</v>
      </c>
      <c r="AX616" t="s">
        <v>6428</v>
      </c>
      <c r="BA616" t="s">
        <v>6503</v>
      </c>
      <c r="BD616" t="s">
        <v>237</v>
      </c>
    </row>
    <row r="617" spans="1:57">
      <c r="A617" s="1">
        <f>HYPERLINK("https://lsnyc.legalserver.org/matter/dynamic-profile/view/1894359","19-1894359")</f>
        <v>0</v>
      </c>
      <c r="B617" t="s">
        <v>59</v>
      </c>
      <c r="C617" t="s">
        <v>176</v>
      </c>
      <c r="D617" t="s">
        <v>214</v>
      </c>
      <c r="E617" t="s">
        <v>459</v>
      </c>
      <c r="G617" t="s">
        <v>1072</v>
      </c>
      <c r="H617" t="s">
        <v>1331</v>
      </c>
      <c r="J617" t="s">
        <v>2624</v>
      </c>
      <c r="K617" t="s">
        <v>3236</v>
      </c>
      <c r="L617" t="s">
        <v>3330</v>
      </c>
      <c r="M617" t="s">
        <v>3379</v>
      </c>
      <c r="N617">
        <v>10027</v>
      </c>
      <c r="O617" t="s">
        <v>3380</v>
      </c>
      <c r="P617" t="s">
        <v>3380</v>
      </c>
      <c r="Q617" t="s">
        <v>3383</v>
      </c>
      <c r="R617" t="s">
        <v>3877</v>
      </c>
      <c r="S617">
        <v>23</v>
      </c>
      <c r="T617" t="s">
        <v>4196</v>
      </c>
      <c r="U617" t="s">
        <v>4223</v>
      </c>
      <c r="W617" t="s">
        <v>4242</v>
      </c>
      <c r="X617" t="s">
        <v>3382</v>
      </c>
      <c r="Y617" t="s">
        <v>3380</v>
      </c>
      <c r="AA617" t="s">
        <v>4258</v>
      </c>
      <c r="AC617">
        <v>0</v>
      </c>
      <c r="AD617">
        <v>475</v>
      </c>
      <c r="AE617">
        <v>3.3</v>
      </c>
      <c r="AG617" t="s">
        <v>4871</v>
      </c>
      <c r="AH617" t="s">
        <v>5308</v>
      </c>
      <c r="AI617" t="s">
        <v>5902</v>
      </c>
      <c r="AJ617">
        <v>0</v>
      </c>
      <c r="AK617" t="s">
        <v>6273</v>
      </c>
      <c r="AL617">
        <v>2</v>
      </c>
      <c r="AM617">
        <v>0</v>
      </c>
      <c r="AN617">
        <v>54.71</v>
      </c>
      <c r="AQ617" t="s">
        <v>6287</v>
      </c>
      <c r="AR617" t="s">
        <v>5312</v>
      </c>
      <c r="AS617" t="s">
        <v>6299</v>
      </c>
      <c r="AT617">
        <v>9252</v>
      </c>
      <c r="AX617" t="s">
        <v>6428</v>
      </c>
      <c r="BA617" t="s">
        <v>6499</v>
      </c>
      <c r="BD617" t="s">
        <v>6633</v>
      </c>
    </row>
    <row r="618" spans="1:57">
      <c r="A618" s="1">
        <f>HYPERLINK("https://lsnyc.legalserver.org/matter/dynamic-profile/view/1907348","19-1907348")</f>
        <v>0</v>
      </c>
      <c r="B618" t="s">
        <v>59</v>
      </c>
      <c r="C618" t="s">
        <v>176</v>
      </c>
      <c r="D618" t="s">
        <v>214</v>
      </c>
      <c r="E618" t="s">
        <v>292</v>
      </c>
      <c r="G618" t="s">
        <v>1073</v>
      </c>
      <c r="H618" t="s">
        <v>1782</v>
      </c>
      <c r="J618" t="s">
        <v>2625</v>
      </c>
      <c r="K618" t="s">
        <v>3237</v>
      </c>
      <c r="L618" t="s">
        <v>3330</v>
      </c>
      <c r="M618" t="s">
        <v>3379</v>
      </c>
      <c r="N618">
        <v>10025</v>
      </c>
      <c r="O618" t="s">
        <v>3380</v>
      </c>
      <c r="P618" t="s">
        <v>3381</v>
      </c>
      <c r="Q618" t="s">
        <v>3384</v>
      </c>
      <c r="R618" t="s">
        <v>3878</v>
      </c>
      <c r="S618">
        <v>30</v>
      </c>
      <c r="T618" t="s">
        <v>4197</v>
      </c>
      <c r="U618" t="s">
        <v>4223</v>
      </c>
      <c r="W618" t="s">
        <v>4242</v>
      </c>
      <c r="X618" t="s">
        <v>3382</v>
      </c>
      <c r="Y618" t="s">
        <v>3382</v>
      </c>
      <c r="AA618" t="s">
        <v>4256</v>
      </c>
      <c r="AB618" t="s">
        <v>4266</v>
      </c>
      <c r="AC618">
        <v>0</v>
      </c>
      <c r="AD618">
        <v>2500</v>
      </c>
      <c r="AE618">
        <v>16</v>
      </c>
      <c r="AG618" t="s">
        <v>4872</v>
      </c>
      <c r="AI618" t="s">
        <v>5903</v>
      </c>
      <c r="AJ618">
        <v>0</v>
      </c>
      <c r="AK618" t="s">
        <v>6273</v>
      </c>
      <c r="AL618">
        <v>1</v>
      </c>
      <c r="AM618">
        <v>0</v>
      </c>
      <c r="AN618">
        <v>62.45</v>
      </c>
      <c r="AR618" t="s">
        <v>6290</v>
      </c>
      <c r="AS618" t="s">
        <v>6298</v>
      </c>
      <c r="AT618">
        <v>7800</v>
      </c>
      <c r="AX618" t="s">
        <v>6428</v>
      </c>
      <c r="BA618" t="s">
        <v>6503</v>
      </c>
      <c r="BD618" t="s">
        <v>334</v>
      </c>
      <c r="BE618" t="s">
        <v>6702</v>
      </c>
    </row>
    <row r="619" spans="1:57">
      <c r="A619" s="1">
        <f>HYPERLINK("https://lsnyc.legalserver.org/matter/dynamic-profile/view/1865652","18-1865652")</f>
        <v>0</v>
      </c>
      <c r="B619" t="s">
        <v>59</v>
      </c>
      <c r="C619" t="s">
        <v>176</v>
      </c>
      <c r="D619" t="s">
        <v>214</v>
      </c>
      <c r="E619" t="s">
        <v>460</v>
      </c>
      <c r="G619" t="s">
        <v>1074</v>
      </c>
      <c r="H619" t="s">
        <v>1783</v>
      </c>
      <c r="J619" t="s">
        <v>2626</v>
      </c>
      <c r="L619" t="s">
        <v>3330</v>
      </c>
      <c r="M619" t="s">
        <v>3379</v>
      </c>
      <c r="N619">
        <v>10025</v>
      </c>
      <c r="O619" t="s">
        <v>3381</v>
      </c>
      <c r="P619" t="s">
        <v>3381</v>
      </c>
      <c r="S619">
        <v>0</v>
      </c>
      <c r="T619" t="s">
        <v>4196</v>
      </c>
      <c r="U619" t="s">
        <v>4223</v>
      </c>
      <c r="W619" t="s">
        <v>4242</v>
      </c>
      <c r="X619" t="s">
        <v>3382</v>
      </c>
      <c r="AA619" t="s">
        <v>4258</v>
      </c>
      <c r="AC619">
        <v>0</v>
      </c>
      <c r="AD619">
        <v>0</v>
      </c>
      <c r="AE619">
        <v>25.7</v>
      </c>
      <c r="AG619" t="s">
        <v>4873</v>
      </c>
      <c r="AI619" t="s">
        <v>5904</v>
      </c>
      <c r="AJ619">
        <v>0</v>
      </c>
      <c r="AL619">
        <v>1</v>
      </c>
      <c r="AM619">
        <v>0</v>
      </c>
      <c r="AN619">
        <v>79.08</v>
      </c>
      <c r="AS619" t="s">
        <v>6298</v>
      </c>
      <c r="AT619">
        <v>9600</v>
      </c>
      <c r="AX619" t="s">
        <v>6430</v>
      </c>
      <c r="BA619" t="s">
        <v>6482</v>
      </c>
      <c r="BD619" t="s">
        <v>249</v>
      </c>
    </row>
    <row r="620" spans="1:57">
      <c r="A620" s="1">
        <f>HYPERLINK("https://lsnyc.legalserver.org/matter/dynamic-profile/view/1885050","18-1885050")</f>
        <v>0</v>
      </c>
      <c r="B620" t="s">
        <v>59</v>
      </c>
      <c r="C620" t="s">
        <v>176</v>
      </c>
      <c r="D620" t="s">
        <v>215</v>
      </c>
      <c r="E620" t="s">
        <v>298</v>
      </c>
      <c r="F620" t="s">
        <v>327</v>
      </c>
      <c r="G620" t="s">
        <v>610</v>
      </c>
      <c r="H620" t="s">
        <v>1784</v>
      </c>
      <c r="J620" t="s">
        <v>2627</v>
      </c>
      <c r="K620">
        <v>42</v>
      </c>
      <c r="L620" t="s">
        <v>3330</v>
      </c>
      <c r="M620" t="s">
        <v>3379</v>
      </c>
      <c r="N620">
        <v>10024</v>
      </c>
      <c r="O620" t="s">
        <v>3380</v>
      </c>
      <c r="P620" t="s">
        <v>3380</v>
      </c>
      <c r="Q620" t="s">
        <v>3383</v>
      </c>
      <c r="R620" t="s">
        <v>3879</v>
      </c>
      <c r="S620">
        <v>11</v>
      </c>
      <c r="T620" t="s">
        <v>4196</v>
      </c>
      <c r="U620" t="s">
        <v>4225</v>
      </c>
      <c r="V620" t="s">
        <v>4230</v>
      </c>
      <c r="W620" t="s">
        <v>4243</v>
      </c>
      <c r="X620" t="s">
        <v>3382</v>
      </c>
      <c r="Y620" t="s">
        <v>3382</v>
      </c>
      <c r="AA620" t="s">
        <v>4256</v>
      </c>
      <c r="AC620">
        <v>0</v>
      </c>
      <c r="AD620">
        <v>3750</v>
      </c>
      <c r="AE620">
        <v>2.1</v>
      </c>
      <c r="AF620" t="s">
        <v>4268</v>
      </c>
      <c r="AG620" t="s">
        <v>4874</v>
      </c>
      <c r="AI620" t="s">
        <v>5905</v>
      </c>
      <c r="AJ620">
        <v>128</v>
      </c>
      <c r="AK620" t="s">
        <v>6266</v>
      </c>
      <c r="AL620">
        <v>1</v>
      </c>
      <c r="AM620">
        <v>0</v>
      </c>
      <c r="AN620">
        <v>175.65</v>
      </c>
      <c r="AQ620" t="s">
        <v>6287</v>
      </c>
      <c r="AR620" t="s">
        <v>5312</v>
      </c>
      <c r="AS620" t="s">
        <v>6298</v>
      </c>
      <c r="AT620">
        <v>21324</v>
      </c>
      <c r="AX620" t="s">
        <v>6428</v>
      </c>
      <c r="BA620" t="s">
        <v>6474</v>
      </c>
      <c r="BD620" t="s">
        <v>443</v>
      </c>
    </row>
    <row r="621" spans="1:57">
      <c r="A621" s="1">
        <f>HYPERLINK("https://lsnyc.legalserver.org/matter/dynamic-profile/view/1911840","19-1911840")</f>
        <v>0</v>
      </c>
      <c r="B621" t="s">
        <v>59</v>
      </c>
      <c r="C621" t="s">
        <v>177</v>
      </c>
      <c r="D621" t="s">
        <v>214</v>
      </c>
      <c r="E621" t="s">
        <v>342</v>
      </c>
      <c r="G621" t="s">
        <v>1075</v>
      </c>
      <c r="H621" t="s">
        <v>1785</v>
      </c>
      <c r="J621" t="s">
        <v>2628</v>
      </c>
      <c r="K621" t="s">
        <v>3069</v>
      </c>
      <c r="L621" t="s">
        <v>3330</v>
      </c>
      <c r="M621" t="s">
        <v>3379</v>
      </c>
      <c r="N621">
        <v>10039</v>
      </c>
      <c r="O621" t="s">
        <v>3380</v>
      </c>
      <c r="P621" t="s">
        <v>3381</v>
      </c>
      <c r="Q621" t="s">
        <v>3385</v>
      </c>
      <c r="S621">
        <v>7</v>
      </c>
      <c r="T621" t="s">
        <v>4196</v>
      </c>
      <c r="U621" t="s">
        <v>4224</v>
      </c>
      <c r="W621" t="s">
        <v>4243</v>
      </c>
      <c r="X621" t="s">
        <v>3382</v>
      </c>
      <c r="Y621" t="s">
        <v>3382</v>
      </c>
      <c r="AA621" t="s">
        <v>4256</v>
      </c>
      <c r="AC621">
        <v>0</v>
      </c>
      <c r="AD621">
        <v>795.1900000000001</v>
      </c>
      <c r="AE621">
        <v>0</v>
      </c>
      <c r="AG621" t="s">
        <v>4875</v>
      </c>
      <c r="AI621" t="s">
        <v>5906</v>
      </c>
      <c r="AJ621">
        <v>0</v>
      </c>
      <c r="AK621" t="s">
        <v>6267</v>
      </c>
      <c r="AL621">
        <v>1</v>
      </c>
      <c r="AM621">
        <v>2</v>
      </c>
      <c r="AN621">
        <v>175.53</v>
      </c>
      <c r="AS621" t="s">
        <v>6298</v>
      </c>
      <c r="AT621">
        <v>37440</v>
      </c>
      <c r="AX621" t="s">
        <v>6433</v>
      </c>
      <c r="BA621" t="s">
        <v>6473</v>
      </c>
    </row>
    <row r="622" spans="1:57">
      <c r="A622" s="1">
        <f>HYPERLINK("https://lsnyc.legalserver.org/matter/dynamic-profile/view/1879585","18-1879585")</f>
        <v>0</v>
      </c>
      <c r="B622" t="s">
        <v>59</v>
      </c>
      <c r="C622" t="s">
        <v>177</v>
      </c>
      <c r="D622" t="s">
        <v>214</v>
      </c>
      <c r="E622" t="s">
        <v>461</v>
      </c>
      <c r="G622" t="s">
        <v>1076</v>
      </c>
      <c r="H622" t="s">
        <v>1360</v>
      </c>
      <c r="J622" t="s">
        <v>2629</v>
      </c>
      <c r="K622" t="s">
        <v>3238</v>
      </c>
      <c r="L622" t="s">
        <v>3330</v>
      </c>
      <c r="M622" t="s">
        <v>3379</v>
      </c>
      <c r="N622">
        <v>10023</v>
      </c>
      <c r="O622" t="s">
        <v>3380</v>
      </c>
      <c r="P622" t="s">
        <v>3380</v>
      </c>
      <c r="Q622" t="s">
        <v>3383</v>
      </c>
      <c r="R622" t="s">
        <v>3880</v>
      </c>
      <c r="S622">
        <v>35</v>
      </c>
      <c r="T622" t="s">
        <v>4196</v>
      </c>
      <c r="U622" t="s">
        <v>4223</v>
      </c>
      <c r="W622" t="s">
        <v>4243</v>
      </c>
      <c r="X622" t="s">
        <v>3382</v>
      </c>
      <c r="AA622" t="s">
        <v>4258</v>
      </c>
      <c r="AB622" t="s">
        <v>4263</v>
      </c>
      <c r="AC622">
        <v>241</v>
      </c>
      <c r="AD622">
        <v>241</v>
      </c>
      <c r="AE622">
        <v>31.85</v>
      </c>
      <c r="AG622" t="s">
        <v>4876</v>
      </c>
      <c r="AI622" t="s">
        <v>5907</v>
      </c>
      <c r="AJ622">
        <v>0</v>
      </c>
      <c r="AK622" t="s">
        <v>6270</v>
      </c>
      <c r="AL622">
        <v>1</v>
      </c>
      <c r="AM622">
        <v>0</v>
      </c>
      <c r="AN622">
        <v>82.73</v>
      </c>
      <c r="AQ622" t="s">
        <v>6287</v>
      </c>
      <c r="AS622" t="s">
        <v>6299</v>
      </c>
      <c r="AT622">
        <v>10044</v>
      </c>
      <c r="AX622" t="s">
        <v>6428</v>
      </c>
      <c r="BA622" t="s">
        <v>6499</v>
      </c>
      <c r="BD622" t="s">
        <v>6643</v>
      </c>
    </row>
    <row r="623" spans="1:57">
      <c r="A623" s="1">
        <f>HYPERLINK("https://lsnyc.legalserver.org/matter/dynamic-profile/view/1851756","17-1851756")</f>
        <v>0</v>
      </c>
      <c r="B623" t="s">
        <v>59</v>
      </c>
      <c r="C623" t="s">
        <v>178</v>
      </c>
      <c r="D623" t="s">
        <v>215</v>
      </c>
      <c r="E623" t="s">
        <v>462</v>
      </c>
      <c r="F623" t="s">
        <v>366</v>
      </c>
      <c r="G623" t="s">
        <v>664</v>
      </c>
      <c r="H623" t="s">
        <v>1672</v>
      </c>
      <c r="J623" t="s">
        <v>2630</v>
      </c>
      <c r="K623">
        <v>2</v>
      </c>
      <c r="L623" t="s">
        <v>3330</v>
      </c>
      <c r="M623" t="s">
        <v>3379</v>
      </c>
      <c r="N623">
        <v>10027</v>
      </c>
      <c r="O623" t="s">
        <v>3381</v>
      </c>
      <c r="P623" t="s">
        <v>3381</v>
      </c>
      <c r="Q623" t="s">
        <v>3386</v>
      </c>
      <c r="S623">
        <v>4</v>
      </c>
      <c r="T623" t="s">
        <v>4199</v>
      </c>
      <c r="U623" t="s">
        <v>4223</v>
      </c>
      <c r="V623" t="s">
        <v>4236</v>
      </c>
      <c r="W623" t="s">
        <v>4243</v>
      </c>
      <c r="X623" t="s">
        <v>3382</v>
      </c>
      <c r="AA623" t="s">
        <v>4256</v>
      </c>
      <c r="AC623">
        <v>1425</v>
      </c>
      <c r="AD623">
        <v>1425</v>
      </c>
      <c r="AE623">
        <v>6.2</v>
      </c>
      <c r="AF623" t="s">
        <v>4279</v>
      </c>
      <c r="AG623" t="s">
        <v>4877</v>
      </c>
      <c r="AI623" t="s">
        <v>5908</v>
      </c>
      <c r="AJ623">
        <v>4</v>
      </c>
      <c r="AK623" t="s">
        <v>6266</v>
      </c>
      <c r="AL623">
        <v>1</v>
      </c>
      <c r="AM623">
        <v>0</v>
      </c>
      <c r="AN623">
        <v>150.91</v>
      </c>
      <c r="AQ623" t="s">
        <v>6287</v>
      </c>
      <c r="AS623" t="s">
        <v>6298</v>
      </c>
      <c r="AT623">
        <v>18200</v>
      </c>
      <c r="AX623" t="s">
        <v>6428</v>
      </c>
      <c r="BA623" t="s">
        <v>6477</v>
      </c>
      <c r="BD623" t="s">
        <v>366</v>
      </c>
    </row>
    <row r="624" spans="1:57">
      <c r="A624" s="1">
        <f>HYPERLINK("https://lsnyc.legalserver.org/matter/dynamic-profile/view/1853038","17-1853038")</f>
        <v>0</v>
      </c>
      <c r="B624" t="s">
        <v>59</v>
      </c>
      <c r="C624" t="s">
        <v>178</v>
      </c>
      <c r="D624" t="s">
        <v>215</v>
      </c>
      <c r="E624" t="s">
        <v>463</v>
      </c>
      <c r="F624" t="s">
        <v>300</v>
      </c>
      <c r="G624" t="s">
        <v>1077</v>
      </c>
      <c r="H624" t="s">
        <v>1786</v>
      </c>
      <c r="J624" t="s">
        <v>2631</v>
      </c>
      <c r="K624" t="s">
        <v>3239</v>
      </c>
      <c r="L624" t="s">
        <v>3330</v>
      </c>
      <c r="M624" t="s">
        <v>3379</v>
      </c>
      <c r="N624">
        <v>10025</v>
      </c>
      <c r="O624" t="s">
        <v>3381</v>
      </c>
      <c r="P624" t="s">
        <v>3381</v>
      </c>
      <c r="S624">
        <v>0</v>
      </c>
      <c r="T624" t="s">
        <v>4199</v>
      </c>
      <c r="U624" t="s">
        <v>4226</v>
      </c>
      <c r="V624" t="s">
        <v>4230</v>
      </c>
      <c r="W624" t="s">
        <v>4243</v>
      </c>
      <c r="X624" t="s">
        <v>3382</v>
      </c>
      <c r="Z624" t="s">
        <v>4254</v>
      </c>
      <c r="AA624" t="s">
        <v>4258</v>
      </c>
      <c r="AC624">
        <v>0</v>
      </c>
      <c r="AD624">
        <v>0</v>
      </c>
      <c r="AE624">
        <v>4.5</v>
      </c>
      <c r="AF624" t="s">
        <v>4268</v>
      </c>
      <c r="AG624" t="s">
        <v>4878</v>
      </c>
      <c r="AI624" t="s">
        <v>5909</v>
      </c>
      <c r="AJ624">
        <v>0</v>
      </c>
      <c r="AL624">
        <v>1</v>
      </c>
      <c r="AM624">
        <v>0</v>
      </c>
      <c r="AN624">
        <v>115.02</v>
      </c>
      <c r="AS624" t="s">
        <v>6298</v>
      </c>
      <c r="AT624">
        <v>13872</v>
      </c>
      <c r="AX624" t="s">
        <v>178</v>
      </c>
      <c r="BA624" t="s">
        <v>6487</v>
      </c>
      <c r="BD624" t="s">
        <v>300</v>
      </c>
    </row>
    <row r="625" spans="1:57">
      <c r="A625" s="1">
        <f>HYPERLINK("https://lsnyc.legalserver.org/matter/dynamic-profile/view/0775293","15-0775293")</f>
        <v>0</v>
      </c>
      <c r="B625" t="s">
        <v>59</v>
      </c>
      <c r="C625" t="s">
        <v>178</v>
      </c>
      <c r="D625" t="s">
        <v>214</v>
      </c>
      <c r="E625" t="s">
        <v>464</v>
      </c>
      <c r="G625" t="s">
        <v>1078</v>
      </c>
      <c r="H625" t="s">
        <v>1787</v>
      </c>
      <c r="J625" t="s">
        <v>2632</v>
      </c>
      <c r="K625" t="s">
        <v>3240</v>
      </c>
      <c r="L625" t="s">
        <v>3330</v>
      </c>
      <c r="M625" t="s">
        <v>3379</v>
      </c>
      <c r="N625">
        <v>10013</v>
      </c>
      <c r="O625" t="s">
        <v>3381</v>
      </c>
      <c r="P625" t="s">
        <v>3381</v>
      </c>
      <c r="S625">
        <v>0</v>
      </c>
      <c r="U625" t="s">
        <v>4223</v>
      </c>
      <c r="W625" t="s">
        <v>4243</v>
      </c>
      <c r="X625" t="s">
        <v>3382</v>
      </c>
      <c r="AA625" t="s">
        <v>4256</v>
      </c>
      <c r="AC625">
        <v>0</v>
      </c>
      <c r="AD625">
        <v>0</v>
      </c>
      <c r="AE625">
        <v>118.1</v>
      </c>
      <c r="AG625" t="s">
        <v>4879</v>
      </c>
      <c r="AI625" t="s">
        <v>5910</v>
      </c>
      <c r="AJ625">
        <v>0</v>
      </c>
      <c r="AL625">
        <v>2</v>
      </c>
      <c r="AM625">
        <v>0</v>
      </c>
      <c r="AN625">
        <v>104.21</v>
      </c>
      <c r="AS625" t="s">
        <v>6298</v>
      </c>
      <c r="AT625">
        <v>16600</v>
      </c>
      <c r="AX625" t="s">
        <v>6435</v>
      </c>
      <c r="BA625" t="s">
        <v>6524</v>
      </c>
      <c r="BD625" t="s">
        <v>218</v>
      </c>
    </row>
    <row r="626" spans="1:57">
      <c r="A626" s="1">
        <f>HYPERLINK("https://lsnyc.legalserver.org/matter/dynamic-profile/view/1843151","17-1843151")</f>
        <v>0</v>
      </c>
      <c r="B626" t="s">
        <v>59</v>
      </c>
      <c r="C626" t="s">
        <v>178</v>
      </c>
      <c r="D626" t="s">
        <v>214</v>
      </c>
      <c r="E626" t="s">
        <v>465</v>
      </c>
      <c r="G626" t="s">
        <v>1079</v>
      </c>
      <c r="H626" t="s">
        <v>1788</v>
      </c>
      <c r="J626" t="s">
        <v>2633</v>
      </c>
      <c r="K626">
        <v>4</v>
      </c>
      <c r="L626" t="s">
        <v>3330</v>
      </c>
      <c r="M626" t="s">
        <v>3379</v>
      </c>
      <c r="N626">
        <v>10002</v>
      </c>
      <c r="O626" t="s">
        <v>3381</v>
      </c>
      <c r="P626" t="s">
        <v>3381</v>
      </c>
      <c r="S626">
        <v>8</v>
      </c>
      <c r="T626" t="s">
        <v>4203</v>
      </c>
      <c r="U626" t="s">
        <v>4223</v>
      </c>
      <c r="W626" t="s">
        <v>4243</v>
      </c>
      <c r="X626" t="s">
        <v>3382</v>
      </c>
      <c r="AA626" t="s">
        <v>4256</v>
      </c>
      <c r="AC626">
        <v>0</v>
      </c>
      <c r="AD626">
        <v>0</v>
      </c>
      <c r="AE626">
        <v>2.1</v>
      </c>
      <c r="AG626" t="s">
        <v>4880</v>
      </c>
      <c r="AI626" t="s">
        <v>5911</v>
      </c>
      <c r="AJ626">
        <v>0</v>
      </c>
      <c r="AL626">
        <v>2</v>
      </c>
      <c r="AM626">
        <v>2</v>
      </c>
      <c r="AN626">
        <v>151.22</v>
      </c>
      <c r="AS626" t="s">
        <v>6310</v>
      </c>
      <c r="AT626">
        <v>55200</v>
      </c>
      <c r="AX626" t="s">
        <v>6430</v>
      </c>
      <c r="BA626" t="s">
        <v>6480</v>
      </c>
      <c r="BD626" t="s">
        <v>6641</v>
      </c>
    </row>
    <row r="627" spans="1:57">
      <c r="A627" s="1">
        <f>HYPERLINK("https://lsnyc.legalserver.org/matter/dynamic-profile/view/1843156","17-1843156")</f>
        <v>0</v>
      </c>
      <c r="B627" t="s">
        <v>59</v>
      </c>
      <c r="C627" t="s">
        <v>178</v>
      </c>
      <c r="D627" t="s">
        <v>214</v>
      </c>
      <c r="E627" t="s">
        <v>465</v>
      </c>
      <c r="G627" t="s">
        <v>1080</v>
      </c>
      <c r="H627" t="s">
        <v>1789</v>
      </c>
      <c r="J627" t="s">
        <v>2633</v>
      </c>
      <c r="K627">
        <v>3</v>
      </c>
      <c r="L627" t="s">
        <v>3330</v>
      </c>
      <c r="M627" t="s">
        <v>3379</v>
      </c>
      <c r="N627">
        <v>10002</v>
      </c>
      <c r="O627" t="s">
        <v>3381</v>
      </c>
      <c r="P627" t="s">
        <v>3381</v>
      </c>
      <c r="S627">
        <v>0</v>
      </c>
      <c r="T627" t="s">
        <v>4203</v>
      </c>
      <c r="U627" t="s">
        <v>4223</v>
      </c>
      <c r="W627" t="s">
        <v>4243</v>
      </c>
      <c r="X627" t="s">
        <v>3382</v>
      </c>
      <c r="AA627" t="s">
        <v>4256</v>
      </c>
      <c r="AC627">
        <v>0</v>
      </c>
      <c r="AD627">
        <v>0</v>
      </c>
      <c r="AE627">
        <v>20.7</v>
      </c>
      <c r="AG627" t="s">
        <v>4881</v>
      </c>
      <c r="AI627" t="s">
        <v>5912</v>
      </c>
      <c r="AJ627">
        <v>0</v>
      </c>
      <c r="AL627">
        <v>3</v>
      </c>
      <c r="AM627">
        <v>2</v>
      </c>
      <c r="AN627">
        <v>34.75</v>
      </c>
      <c r="AS627" t="s">
        <v>6310</v>
      </c>
      <c r="AT627">
        <v>15000</v>
      </c>
      <c r="AX627" t="s">
        <v>6430</v>
      </c>
      <c r="BA627" t="s">
        <v>6477</v>
      </c>
      <c r="BD627" t="s">
        <v>241</v>
      </c>
    </row>
    <row r="628" spans="1:57">
      <c r="A628" s="1">
        <f>HYPERLINK("https://lsnyc.legalserver.org/matter/dynamic-profile/view/1872718","18-1872718")</f>
        <v>0</v>
      </c>
      <c r="B628" t="s">
        <v>59</v>
      </c>
      <c r="C628" t="s">
        <v>179</v>
      </c>
      <c r="D628" t="s">
        <v>214</v>
      </c>
      <c r="E628" t="s">
        <v>453</v>
      </c>
      <c r="G628" t="s">
        <v>1081</v>
      </c>
      <c r="H628" t="s">
        <v>1790</v>
      </c>
      <c r="J628" t="s">
        <v>2634</v>
      </c>
      <c r="K628" t="s">
        <v>3038</v>
      </c>
      <c r="L628" t="s">
        <v>3330</v>
      </c>
      <c r="M628" t="s">
        <v>3379</v>
      </c>
      <c r="N628">
        <v>10128</v>
      </c>
      <c r="O628" t="s">
        <v>3380</v>
      </c>
      <c r="P628" t="s">
        <v>3381</v>
      </c>
      <c r="Q628" t="s">
        <v>3383</v>
      </c>
      <c r="R628" t="s">
        <v>3881</v>
      </c>
      <c r="S628">
        <v>1</v>
      </c>
      <c r="T628" t="s">
        <v>4196</v>
      </c>
      <c r="U628" t="s">
        <v>4225</v>
      </c>
      <c r="W628" t="s">
        <v>4243</v>
      </c>
      <c r="X628" t="s">
        <v>3382</v>
      </c>
      <c r="AA628" t="s">
        <v>4256</v>
      </c>
      <c r="AC628">
        <v>2650</v>
      </c>
      <c r="AD628">
        <v>2650</v>
      </c>
      <c r="AE628">
        <v>1.25</v>
      </c>
      <c r="AG628" t="s">
        <v>4882</v>
      </c>
      <c r="AI628" t="s">
        <v>5913</v>
      </c>
      <c r="AJ628">
        <v>18</v>
      </c>
      <c r="AL628">
        <v>1</v>
      </c>
      <c r="AM628">
        <v>0</v>
      </c>
      <c r="AN628">
        <v>164.74</v>
      </c>
      <c r="AQ628" t="s">
        <v>6287</v>
      </c>
      <c r="AR628" t="s">
        <v>5312</v>
      </c>
      <c r="AT628">
        <v>20000</v>
      </c>
      <c r="AV628" t="s">
        <v>3380</v>
      </c>
      <c r="AX628" t="s">
        <v>6437</v>
      </c>
      <c r="BA628" t="s">
        <v>6503</v>
      </c>
      <c r="BD628" t="s">
        <v>6658</v>
      </c>
    </row>
    <row r="629" spans="1:57">
      <c r="A629" s="1">
        <f>HYPERLINK("https://lsnyc.legalserver.org/matter/dynamic-profile/view/1905004","19-1905004")</f>
        <v>0</v>
      </c>
      <c r="B629" t="s">
        <v>59</v>
      </c>
      <c r="C629" t="s">
        <v>179</v>
      </c>
      <c r="D629" t="s">
        <v>214</v>
      </c>
      <c r="E629" t="s">
        <v>258</v>
      </c>
      <c r="G629" t="s">
        <v>1082</v>
      </c>
      <c r="H629" t="s">
        <v>1791</v>
      </c>
      <c r="J629" t="s">
        <v>2635</v>
      </c>
      <c r="K629" t="s">
        <v>3241</v>
      </c>
      <c r="L629" t="s">
        <v>3330</v>
      </c>
      <c r="M629" t="s">
        <v>3379</v>
      </c>
      <c r="N629">
        <v>10039</v>
      </c>
      <c r="O629" t="s">
        <v>3381</v>
      </c>
      <c r="P629" t="s">
        <v>3381</v>
      </c>
      <c r="S629">
        <v>0</v>
      </c>
      <c r="U629" t="s">
        <v>4223</v>
      </c>
      <c r="W629" t="s">
        <v>4242</v>
      </c>
      <c r="X629" t="s">
        <v>3382</v>
      </c>
      <c r="Y629" t="s">
        <v>3382</v>
      </c>
      <c r="AA629" t="s">
        <v>4258</v>
      </c>
      <c r="AC629">
        <v>0</v>
      </c>
      <c r="AD629">
        <v>0</v>
      </c>
      <c r="AE629">
        <v>6.5</v>
      </c>
      <c r="AG629" t="s">
        <v>4883</v>
      </c>
      <c r="AI629" t="s">
        <v>5914</v>
      </c>
      <c r="AJ629">
        <v>0</v>
      </c>
      <c r="AL629">
        <v>2</v>
      </c>
      <c r="AM629">
        <v>2</v>
      </c>
      <c r="AN629">
        <v>77.45</v>
      </c>
      <c r="AS629" t="s">
        <v>6298</v>
      </c>
      <c r="AT629">
        <v>19944</v>
      </c>
      <c r="AX629" t="s">
        <v>6430</v>
      </c>
      <c r="BA629" t="s">
        <v>6573</v>
      </c>
      <c r="BD629" t="s">
        <v>495</v>
      </c>
    </row>
    <row r="630" spans="1:57">
      <c r="A630" s="1">
        <f>HYPERLINK("https://lsnyc.legalserver.org/matter/dynamic-profile/view/1898754","19-1898754")</f>
        <v>0</v>
      </c>
      <c r="B630" t="s">
        <v>59</v>
      </c>
      <c r="C630" t="s">
        <v>179</v>
      </c>
      <c r="D630" t="s">
        <v>214</v>
      </c>
      <c r="E630" t="s">
        <v>355</v>
      </c>
      <c r="G630" t="s">
        <v>1083</v>
      </c>
      <c r="H630" t="s">
        <v>1792</v>
      </c>
      <c r="J630" t="s">
        <v>2636</v>
      </c>
      <c r="K630" t="s">
        <v>3057</v>
      </c>
      <c r="L630" t="s">
        <v>3330</v>
      </c>
      <c r="M630" t="s">
        <v>3379</v>
      </c>
      <c r="N630">
        <v>10037</v>
      </c>
      <c r="O630" t="s">
        <v>3382</v>
      </c>
      <c r="P630" t="s">
        <v>3381</v>
      </c>
      <c r="Q630" t="s">
        <v>3386</v>
      </c>
      <c r="R630" t="s">
        <v>3882</v>
      </c>
      <c r="S630">
        <v>8</v>
      </c>
      <c r="T630" t="s">
        <v>4197</v>
      </c>
      <c r="U630" t="s">
        <v>4223</v>
      </c>
      <c r="W630" t="s">
        <v>4243</v>
      </c>
      <c r="X630" t="s">
        <v>3382</v>
      </c>
      <c r="Y630" t="s">
        <v>3382</v>
      </c>
      <c r="AA630" t="s">
        <v>4256</v>
      </c>
      <c r="AB630" t="s">
        <v>4261</v>
      </c>
      <c r="AC630">
        <v>0</v>
      </c>
      <c r="AD630">
        <v>1925</v>
      </c>
      <c r="AE630">
        <v>19.1</v>
      </c>
      <c r="AG630" t="s">
        <v>4884</v>
      </c>
      <c r="AI630" t="s">
        <v>5915</v>
      </c>
      <c r="AJ630">
        <v>0</v>
      </c>
      <c r="AK630" t="s">
        <v>6274</v>
      </c>
      <c r="AL630">
        <v>1</v>
      </c>
      <c r="AM630">
        <v>0</v>
      </c>
      <c r="AN630">
        <v>0</v>
      </c>
      <c r="AR630" t="s">
        <v>5312</v>
      </c>
      <c r="AS630" t="s">
        <v>6298</v>
      </c>
      <c r="AT630">
        <v>0</v>
      </c>
      <c r="AX630" t="s">
        <v>6428</v>
      </c>
      <c r="BA630" t="s">
        <v>6479</v>
      </c>
      <c r="BD630" t="s">
        <v>219</v>
      </c>
      <c r="BE630" t="s">
        <v>5312</v>
      </c>
    </row>
    <row r="631" spans="1:57">
      <c r="A631" s="1">
        <f>HYPERLINK("https://lsnyc.legalserver.org/matter/dynamic-profile/view/1864328","18-1864328")</f>
        <v>0</v>
      </c>
      <c r="B631" t="s">
        <v>59</v>
      </c>
      <c r="C631" t="s">
        <v>179</v>
      </c>
      <c r="D631" t="s">
        <v>214</v>
      </c>
      <c r="E631" t="s">
        <v>458</v>
      </c>
      <c r="G631" t="s">
        <v>1083</v>
      </c>
      <c r="H631" t="s">
        <v>1792</v>
      </c>
      <c r="J631" t="s">
        <v>2636</v>
      </c>
      <c r="K631" t="s">
        <v>3057</v>
      </c>
      <c r="L631" t="s">
        <v>3330</v>
      </c>
      <c r="M631" t="s">
        <v>3379</v>
      </c>
      <c r="N631">
        <v>10037</v>
      </c>
      <c r="O631" t="s">
        <v>3382</v>
      </c>
      <c r="P631" t="s">
        <v>3381</v>
      </c>
      <c r="Q631" t="s">
        <v>3391</v>
      </c>
      <c r="R631" t="s">
        <v>3883</v>
      </c>
      <c r="S631">
        <v>8</v>
      </c>
      <c r="T631" t="s">
        <v>4196</v>
      </c>
      <c r="U631" t="s">
        <v>4223</v>
      </c>
      <c r="W631" t="s">
        <v>4243</v>
      </c>
      <c r="X631" t="s">
        <v>3382</v>
      </c>
      <c r="Y631" t="s">
        <v>3382</v>
      </c>
      <c r="AA631" t="s">
        <v>4256</v>
      </c>
      <c r="AC631">
        <v>1750</v>
      </c>
      <c r="AD631">
        <v>1750</v>
      </c>
      <c r="AE631">
        <v>44.55</v>
      </c>
      <c r="AG631" t="s">
        <v>4884</v>
      </c>
      <c r="AI631" t="s">
        <v>5915</v>
      </c>
      <c r="AJ631">
        <v>286</v>
      </c>
      <c r="AK631" t="s">
        <v>6266</v>
      </c>
      <c r="AL631">
        <v>1</v>
      </c>
      <c r="AM631">
        <v>0</v>
      </c>
      <c r="AN631">
        <v>0</v>
      </c>
      <c r="AQ631" t="s">
        <v>6287</v>
      </c>
      <c r="AR631" t="s">
        <v>5312</v>
      </c>
      <c r="AS631" t="s">
        <v>6298</v>
      </c>
      <c r="AT631">
        <v>0</v>
      </c>
      <c r="AV631" t="s">
        <v>3382</v>
      </c>
      <c r="AX631" t="s">
        <v>6437</v>
      </c>
      <c r="BA631" t="s">
        <v>6479</v>
      </c>
      <c r="BD631" t="s">
        <v>232</v>
      </c>
    </row>
    <row r="632" spans="1:57">
      <c r="A632" s="1">
        <f>HYPERLINK("https://lsnyc.legalserver.org/matter/dynamic-profile/view/0760455","14-0760455")</f>
        <v>0</v>
      </c>
      <c r="B632" t="s">
        <v>59</v>
      </c>
      <c r="C632" t="s">
        <v>179</v>
      </c>
      <c r="D632" t="s">
        <v>214</v>
      </c>
      <c r="E632" t="s">
        <v>466</v>
      </c>
      <c r="G632" t="s">
        <v>1084</v>
      </c>
      <c r="H632" t="s">
        <v>1324</v>
      </c>
      <c r="J632" t="s">
        <v>2637</v>
      </c>
      <c r="K632">
        <v>3</v>
      </c>
      <c r="L632" t="s">
        <v>3330</v>
      </c>
      <c r="M632" t="s">
        <v>3379</v>
      </c>
      <c r="N632">
        <v>10033</v>
      </c>
      <c r="O632" t="s">
        <v>3381</v>
      </c>
      <c r="P632" t="s">
        <v>3381</v>
      </c>
      <c r="S632">
        <v>0</v>
      </c>
      <c r="W632" t="s">
        <v>4243</v>
      </c>
      <c r="X632" t="s">
        <v>3382</v>
      </c>
      <c r="AA632" t="s">
        <v>4256</v>
      </c>
      <c r="AC632">
        <v>0</v>
      </c>
      <c r="AD632">
        <v>0</v>
      </c>
      <c r="AE632">
        <v>89.84999999999999</v>
      </c>
      <c r="AG632" t="s">
        <v>4885</v>
      </c>
      <c r="AI632" t="s">
        <v>5916</v>
      </c>
      <c r="AJ632">
        <v>0</v>
      </c>
      <c r="AL632">
        <v>1</v>
      </c>
      <c r="AM632">
        <v>1</v>
      </c>
      <c r="AN632">
        <v>80.05</v>
      </c>
      <c r="AS632" t="s">
        <v>6298</v>
      </c>
      <c r="AT632">
        <v>12592</v>
      </c>
      <c r="AX632" t="s">
        <v>6435</v>
      </c>
      <c r="BA632" t="s">
        <v>6517</v>
      </c>
      <c r="BD632" t="s">
        <v>219</v>
      </c>
    </row>
    <row r="633" spans="1:57">
      <c r="A633" s="1">
        <f>HYPERLINK("https://lsnyc.legalserver.org/matter/dynamic-profile/view/1867613","18-1867613")</f>
        <v>0</v>
      </c>
      <c r="B633" t="s">
        <v>59</v>
      </c>
      <c r="C633" t="s">
        <v>179</v>
      </c>
      <c r="D633" t="s">
        <v>214</v>
      </c>
      <c r="E633" t="s">
        <v>467</v>
      </c>
      <c r="G633" t="s">
        <v>1085</v>
      </c>
      <c r="H633" t="s">
        <v>1793</v>
      </c>
      <c r="J633" t="s">
        <v>2638</v>
      </c>
      <c r="K633" t="s">
        <v>3033</v>
      </c>
      <c r="L633" t="s">
        <v>3330</v>
      </c>
      <c r="M633" t="s">
        <v>3379</v>
      </c>
      <c r="N633">
        <v>10032</v>
      </c>
      <c r="O633" t="s">
        <v>3380</v>
      </c>
      <c r="P633" t="s">
        <v>3381</v>
      </c>
      <c r="Q633" t="s">
        <v>3389</v>
      </c>
      <c r="R633" t="s">
        <v>3884</v>
      </c>
      <c r="S633">
        <v>20</v>
      </c>
      <c r="T633" t="s">
        <v>4197</v>
      </c>
      <c r="U633" t="s">
        <v>4225</v>
      </c>
      <c r="W633" t="s">
        <v>4243</v>
      </c>
      <c r="X633" t="s">
        <v>3382</v>
      </c>
      <c r="Y633" t="s">
        <v>3382</v>
      </c>
      <c r="AA633" t="s">
        <v>4256</v>
      </c>
      <c r="AC633">
        <v>680</v>
      </c>
      <c r="AD633">
        <v>680</v>
      </c>
      <c r="AE633">
        <v>1.9</v>
      </c>
      <c r="AG633" t="s">
        <v>4886</v>
      </c>
      <c r="AI633" t="s">
        <v>5917</v>
      </c>
      <c r="AJ633">
        <v>45</v>
      </c>
      <c r="AK633" t="s">
        <v>6267</v>
      </c>
      <c r="AL633">
        <v>2</v>
      </c>
      <c r="AM633">
        <v>0</v>
      </c>
      <c r="AN633">
        <v>94.78</v>
      </c>
      <c r="AQ633" t="s">
        <v>6287</v>
      </c>
      <c r="AR633" t="s">
        <v>5312</v>
      </c>
      <c r="AS633" t="s">
        <v>6299</v>
      </c>
      <c r="AT633">
        <v>15600</v>
      </c>
      <c r="AV633" t="s">
        <v>3380</v>
      </c>
      <c r="AX633" t="s">
        <v>6437</v>
      </c>
      <c r="BA633" t="s">
        <v>6477</v>
      </c>
      <c r="BD633" t="s">
        <v>6659</v>
      </c>
    </row>
    <row r="634" spans="1:57">
      <c r="A634" s="1">
        <f>HYPERLINK("https://lsnyc.legalserver.org/matter/dynamic-profile/view/1872798","18-1872798")</f>
        <v>0</v>
      </c>
      <c r="B634" t="s">
        <v>59</v>
      </c>
      <c r="C634" t="s">
        <v>179</v>
      </c>
      <c r="D634" t="s">
        <v>214</v>
      </c>
      <c r="E634" t="s">
        <v>389</v>
      </c>
      <c r="G634" t="s">
        <v>762</v>
      </c>
      <c r="H634" t="s">
        <v>1794</v>
      </c>
      <c r="J634" t="s">
        <v>2639</v>
      </c>
      <c r="K634" t="s">
        <v>2997</v>
      </c>
      <c r="L634" t="s">
        <v>3330</v>
      </c>
      <c r="M634" t="s">
        <v>3379</v>
      </c>
      <c r="N634">
        <v>10032</v>
      </c>
      <c r="O634" t="s">
        <v>3380</v>
      </c>
      <c r="P634" t="s">
        <v>3381</v>
      </c>
      <c r="Q634" t="s">
        <v>3383</v>
      </c>
      <c r="R634" t="s">
        <v>3885</v>
      </c>
      <c r="S634">
        <v>18</v>
      </c>
      <c r="T634" t="s">
        <v>4197</v>
      </c>
      <c r="U634" t="s">
        <v>4223</v>
      </c>
      <c r="W634" t="s">
        <v>4243</v>
      </c>
      <c r="X634" t="s">
        <v>3382</v>
      </c>
      <c r="Y634" t="s">
        <v>3382</v>
      </c>
      <c r="AA634" t="s">
        <v>4256</v>
      </c>
      <c r="AC634">
        <v>420</v>
      </c>
      <c r="AD634">
        <v>420</v>
      </c>
      <c r="AE634">
        <v>23.2</v>
      </c>
      <c r="AG634" t="s">
        <v>4887</v>
      </c>
      <c r="AI634" t="s">
        <v>5918</v>
      </c>
      <c r="AJ634">
        <v>0</v>
      </c>
      <c r="AK634" t="s">
        <v>6266</v>
      </c>
      <c r="AL634">
        <v>1</v>
      </c>
      <c r="AM634">
        <v>0</v>
      </c>
      <c r="AN634">
        <v>81.05</v>
      </c>
      <c r="AQ634" t="s">
        <v>6287</v>
      </c>
      <c r="AR634" t="s">
        <v>5312</v>
      </c>
      <c r="AT634">
        <v>9840</v>
      </c>
      <c r="AV634" t="s">
        <v>3380</v>
      </c>
      <c r="AX634" t="s">
        <v>6437</v>
      </c>
      <c r="BA634" t="s">
        <v>6499</v>
      </c>
      <c r="BD634" t="s">
        <v>6633</v>
      </c>
    </row>
    <row r="635" spans="1:57">
      <c r="A635" s="1">
        <f>HYPERLINK("https://lsnyc.legalserver.org/matter/dynamic-profile/view/1872261","18-1872261")</f>
        <v>0</v>
      </c>
      <c r="B635" t="s">
        <v>59</v>
      </c>
      <c r="C635" t="s">
        <v>179</v>
      </c>
      <c r="D635" t="s">
        <v>214</v>
      </c>
      <c r="E635" t="s">
        <v>468</v>
      </c>
      <c r="G635" t="s">
        <v>1086</v>
      </c>
      <c r="H635" t="s">
        <v>1379</v>
      </c>
      <c r="J635" t="s">
        <v>2640</v>
      </c>
      <c r="K635">
        <v>65</v>
      </c>
      <c r="L635" t="s">
        <v>3330</v>
      </c>
      <c r="M635" t="s">
        <v>3379</v>
      </c>
      <c r="N635">
        <v>10031</v>
      </c>
      <c r="O635" t="s">
        <v>3382</v>
      </c>
      <c r="P635" t="s">
        <v>3381</v>
      </c>
      <c r="Q635" t="s">
        <v>3385</v>
      </c>
      <c r="R635" t="s">
        <v>3886</v>
      </c>
      <c r="S635">
        <v>40</v>
      </c>
      <c r="T635" t="s">
        <v>4197</v>
      </c>
      <c r="U635" t="s">
        <v>4223</v>
      </c>
      <c r="W635" t="s">
        <v>4242</v>
      </c>
      <c r="X635" t="s">
        <v>3382</v>
      </c>
      <c r="Y635" t="s">
        <v>3382</v>
      </c>
      <c r="Z635" t="s">
        <v>4244</v>
      </c>
      <c r="AA635" t="s">
        <v>4256</v>
      </c>
      <c r="AC635">
        <v>0</v>
      </c>
      <c r="AD635">
        <v>0</v>
      </c>
      <c r="AE635">
        <v>0.25</v>
      </c>
      <c r="AG635" t="s">
        <v>4888</v>
      </c>
      <c r="AJ635">
        <v>37</v>
      </c>
      <c r="AK635" t="s">
        <v>6267</v>
      </c>
      <c r="AL635">
        <v>1</v>
      </c>
      <c r="AM635">
        <v>4</v>
      </c>
      <c r="AN635">
        <v>53.03</v>
      </c>
      <c r="AQ635" t="s">
        <v>6288</v>
      </c>
      <c r="AT635">
        <v>15600</v>
      </c>
      <c r="AV635" t="s">
        <v>3382</v>
      </c>
      <c r="AX635" t="s">
        <v>6437</v>
      </c>
      <c r="BA635" t="s">
        <v>6477</v>
      </c>
      <c r="BD635" t="s">
        <v>6660</v>
      </c>
    </row>
    <row r="636" spans="1:57">
      <c r="A636" s="1">
        <f>HYPERLINK("https://lsnyc.legalserver.org/matter/dynamic-profile/view/1872639","18-1872639")</f>
        <v>0</v>
      </c>
      <c r="B636" t="s">
        <v>59</v>
      </c>
      <c r="C636" t="s">
        <v>179</v>
      </c>
      <c r="D636" t="s">
        <v>214</v>
      </c>
      <c r="E636" t="s">
        <v>453</v>
      </c>
      <c r="G636" t="s">
        <v>1087</v>
      </c>
      <c r="H636" t="s">
        <v>1795</v>
      </c>
      <c r="J636" t="s">
        <v>2641</v>
      </c>
      <c r="K636">
        <v>61</v>
      </c>
      <c r="L636" t="s">
        <v>3330</v>
      </c>
      <c r="M636" t="s">
        <v>3379</v>
      </c>
      <c r="N636">
        <v>10031</v>
      </c>
      <c r="O636" t="s">
        <v>3380</v>
      </c>
      <c r="P636" t="s">
        <v>3381</v>
      </c>
      <c r="Q636" t="s">
        <v>3383</v>
      </c>
      <c r="R636" t="s">
        <v>3887</v>
      </c>
      <c r="S636">
        <v>28</v>
      </c>
      <c r="T636" t="s">
        <v>4196</v>
      </c>
      <c r="U636" t="s">
        <v>4223</v>
      </c>
      <c r="W636" t="s">
        <v>4243</v>
      </c>
      <c r="X636" t="s">
        <v>3382</v>
      </c>
      <c r="Y636" t="s">
        <v>3382</v>
      </c>
      <c r="AA636" t="s">
        <v>4256</v>
      </c>
      <c r="AC636">
        <v>1162.86</v>
      </c>
      <c r="AD636">
        <v>1162.86</v>
      </c>
      <c r="AE636">
        <v>35.8</v>
      </c>
      <c r="AG636" t="s">
        <v>4889</v>
      </c>
      <c r="AI636" t="s">
        <v>5919</v>
      </c>
      <c r="AJ636">
        <v>39</v>
      </c>
      <c r="AK636" t="s">
        <v>6266</v>
      </c>
      <c r="AL636">
        <v>3</v>
      </c>
      <c r="AM636">
        <v>0</v>
      </c>
      <c r="AN636">
        <v>111.45</v>
      </c>
      <c r="AQ636" t="s">
        <v>6287</v>
      </c>
      <c r="AR636" t="s">
        <v>5312</v>
      </c>
      <c r="AT636">
        <v>23160</v>
      </c>
      <c r="AV636" t="s">
        <v>3380</v>
      </c>
      <c r="AX636" t="s">
        <v>6437</v>
      </c>
      <c r="BA636" t="s">
        <v>6574</v>
      </c>
      <c r="BD636" t="s">
        <v>310</v>
      </c>
    </row>
    <row r="637" spans="1:57">
      <c r="A637" s="1">
        <f>HYPERLINK("https://lsnyc.legalserver.org/matter/dynamic-profile/view/1908225","19-1908225")</f>
        <v>0</v>
      </c>
      <c r="B637" t="s">
        <v>59</v>
      </c>
      <c r="C637" t="s">
        <v>179</v>
      </c>
      <c r="D637" t="s">
        <v>214</v>
      </c>
      <c r="E637" t="s">
        <v>450</v>
      </c>
      <c r="G637" t="s">
        <v>1088</v>
      </c>
      <c r="H637" t="s">
        <v>1464</v>
      </c>
      <c r="J637" t="s">
        <v>2641</v>
      </c>
      <c r="K637">
        <v>31</v>
      </c>
      <c r="L637" t="s">
        <v>3330</v>
      </c>
      <c r="M637" t="s">
        <v>3379</v>
      </c>
      <c r="N637">
        <v>10031</v>
      </c>
      <c r="O637" t="s">
        <v>3381</v>
      </c>
      <c r="P637" t="s">
        <v>3381</v>
      </c>
      <c r="R637" t="s">
        <v>3888</v>
      </c>
      <c r="S637">
        <v>22</v>
      </c>
      <c r="T637" t="s">
        <v>4196</v>
      </c>
      <c r="U637" t="s">
        <v>4223</v>
      </c>
      <c r="W637" t="s">
        <v>4243</v>
      </c>
      <c r="X637" t="s">
        <v>3382</v>
      </c>
      <c r="Y637" t="s">
        <v>3382</v>
      </c>
      <c r="AA637" t="s">
        <v>4256</v>
      </c>
      <c r="AC637">
        <v>0</v>
      </c>
      <c r="AD637">
        <v>1279</v>
      </c>
      <c r="AE637">
        <v>3.15</v>
      </c>
      <c r="AG637" t="s">
        <v>4890</v>
      </c>
      <c r="AI637" t="s">
        <v>5920</v>
      </c>
      <c r="AJ637">
        <v>0</v>
      </c>
      <c r="AL637">
        <v>1</v>
      </c>
      <c r="AM637">
        <v>1</v>
      </c>
      <c r="AN637">
        <v>0</v>
      </c>
      <c r="AS637" t="s">
        <v>6298</v>
      </c>
      <c r="AT637">
        <v>0</v>
      </c>
      <c r="AX637" t="s">
        <v>6429</v>
      </c>
      <c r="BA637" t="s">
        <v>6486</v>
      </c>
      <c r="BD637" t="s">
        <v>341</v>
      </c>
    </row>
    <row r="638" spans="1:57">
      <c r="A638" s="1">
        <f>HYPERLINK("https://lsnyc.legalserver.org/matter/dynamic-profile/view/0761474","14-0761474")</f>
        <v>0</v>
      </c>
      <c r="B638" t="s">
        <v>59</v>
      </c>
      <c r="C638" t="s">
        <v>179</v>
      </c>
      <c r="D638" t="s">
        <v>214</v>
      </c>
      <c r="E638" t="s">
        <v>469</v>
      </c>
      <c r="G638" t="s">
        <v>664</v>
      </c>
      <c r="H638" t="s">
        <v>1331</v>
      </c>
      <c r="J638" t="s">
        <v>2642</v>
      </c>
      <c r="K638">
        <v>12</v>
      </c>
      <c r="L638" t="s">
        <v>3330</v>
      </c>
      <c r="M638" t="s">
        <v>3379</v>
      </c>
      <c r="N638">
        <v>10031</v>
      </c>
      <c r="O638" t="s">
        <v>3381</v>
      </c>
      <c r="P638" t="s">
        <v>3381</v>
      </c>
      <c r="S638">
        <v>0</v>
      </c>
      <c r="W638" t="s">
        <v>4243</v>
      </c>
      <c r="X638" t="s">
        <v>3382</v>
      </c>
      <c r="Z638" t="s">
        <v>4244</v>
      </c>
      <c r="AA638" t="s">
        <v>4256</v>
      </c>
      <c r="AC638">
        <v>0</v>
      </c>
      <c r="AD638">
        <v>0</v>
      </c>
      <c r="AE638">
        <v>0</v>
      </c>
      <c r="AG638" t="s">
        <v>4891</v>
      </c>
      <c r="AI638" t="s">
        <v>5921</v>
      </c>
      <c r="AJ638">
        <v>0</v>
      </c>
      <c r="AL638">
        <v>1</v>
      </c>
      <c r="AM638">
        <v>3</v>
      </c>
      <c r="AN638">
        <v>52.04</v>
      </c>
      <c r="AS638" t="s">
        <v>6299</v>
      </c>
      <c r="AT638">
        <v>12412</v>
      </c>
      <c r="AX638" t="s">
        <v>6435</v>
      </c>
      <c r="BA638" t="s">
        <v>6575</v>
      </c>
      <c r="BD638" t="s">
        <v>519</v>
      </c>
    </row>
    <row r="639" spans="1:57">
      <c r="A639" s="1">
        <f>HYPERLINK("https://lsnyc.legalserver.org/matter/dynamic-profile/view/0769734","15-0769734")</f>
        <v>0</v>
      </c>
      <c r="B639" t="s">
        <v>59</v>
      </c>
      <c r="C639" t="s">
        <v>179</v>
      </c>
      <c r="D639" t="s">
        <v>214</v>
      </c>
      <c r="E639" t="s">
        <v>470</v>
      </c>
      <c r="G639" t="s">
        <v>1089</v>
      </c>
      <c r="H639" t="s">
        <v>1796</v>
      </c>
      <c r="J639" t="s">
        <v>2642</v>
      </c>
      <c r="L639" t="s">
        <v>3330</v>
      </c>
      <c r="M639" t="s">
        <v>3379</v>
      </c>
      <c r="N639">
        <v>10031</v>
      </c>
      <c r="O639" t="s">
        <v>3381</v>
      </c>
      <c r="P639" t="s">
        <v>3381</v>
      </c>
      <c r="S639">
        <v>0</v>
      </c>
      <c r="W639" t="s">
        <v>4243</v>
      </c>
      <c r="X639" t="s">
        <v>3382</v>
      </c>
      <c r="AA639" t="s">
        <v>4256</v>
      </c>
      <c r="AC639">
        <v>0</v>
      </c>
      <c r="AD639">
        <v>0</v>
      </c>
      <c r="AE639">
        <v>0</v>
      </c>
      <c r="AG639" t="s">
        <v>4892</v>
      </c>
      <c r="AI639" t="s">
        <v>5922</v>
      </c>
      <c r="AJ639">
        <v>0</v>
      </c>
      <c r="AL639">
        <v>4</v>
      </c>
      <c r="AM639">
        <v>4</v>
      </c>
      <c r="AN639">
        <v>8.98</v>
      </c>
      <c r="AQ639" t="s">
        <v>6288</v>
      </c>
      <c r="AS639" t="s">
        <v>6299</v>
      </c>
      <c r="AT639">
        <v>3600</v>
      </c>
      <c r="AX639" t="s">
        <v>6440</v>
      </c>
      <c r="BA639" t="s">
        <v>6477</v>
      </c>
    </row>
    <row r="640" spans="1:57">
      <c r="A640" s="1">
        <f>HYPERLINK("https://lsnyc.legalserver.org/matter/dynamic-profile/view/0774747","15-0774747")</f>
        <v>0</v>
      </c>
      <c r="B640" t="s">
        <v>59</v>
      </c>
      <c r="C640" t="s">
        <v>179</v>
      </c>
      <c r="D640" t="s">
        <v>214</v>
      </c>
      <c r="E640" t="s">
        <v>471</v>
      </c>
      <c r="G640" t="s">
        <v>1090</v>
      </c>
      <c r="H640" t="s">
        <v>1357</v>
      </c>
      <c r="J640" t="s">
        <v>2643</v>
      </c>
      <c r="K640" t="s">
        <v>3052</v>
      </c>
      <c r="L640" t="s">
        <v>3330</v>
      </c>
      <c r="M640" t="s">
        <v>3379</v>
      </c>
      <c r="N640">
        <v>10031</v>
      </c>
      <c r="O640" t="s">
        <v>3381</v>
      </c>
      <c r="P640" t="s">
        <v>3381</v>
      </c>
      <c r="S640">
        <v>0</v>
      </c>
      <c r="U640" t="s">
        <v>4223</v>
      </c>
      <c r="W640" t="s">
        <v>4243</v>
      </c>
      <c r="X640" t="s">
        <v>3382</v>
      </c>
      <c r="AA640" t="s">
        <v>4256</v>
      </c>
      <c r="AC640">
        <v>0</v>
      </c>
      <c r="AD640">
        <v>0</v>
      </c>
      <c r="AE640">
        <v>13.65</v>
      </c>
      <c r="AG640" t="s">
        <v>4893</v>
      </c>
      <c r="AI640" t="s">
        <v>5923</v>
      </c>
      <c r="AJ640">
        <v>0</v>
      </c>
      <c r="AL640">
        <v>3</v>
      </c>
      <c r="AM640">
        <v>1</v>
      </c>
      <c r="AN640">
        <v>100.32</v>
      </c>
      <c r="AS640" t="s">
        <v>6298</v>
      </c>
      <c r="AT640">
        <v>24328</v>
      </c>
      <c r="AX640" t="s">
        <v>6435</v>
      </c>
      <c r="BA640" t="s">
        <v>6576</v>
      </c>
      <c r="BD640" t="s">
        <v>289</v>
      </c>
    </row>
    <row r="641" spans="1:57">
      <c r="A641" s="1">
        <f>HYPERLINK("https://lsnyc.legalserver.org/matter/dynamic-profile/view/1877673","18-1877673")</f>
        <v>0</v>
      </c>
      <c r="B641" t="s">
        <v>59</v>
      </c>
      <c r="C641" t="s">
        <v>179</v>
      </c>
      <c r="D641" t="s">
        <v>214</v>
      </c>
      <c r="E641" t="s">
        <v>472</v>
      </c>
      <c r="G641" t="s">
        <v>1091</v>
      </c>
      <c r="H641" t="s">
        <v>1797</v>
      </c>
      <c r="J641" t="s">
        <v>2644</v>
      </c>
      <c r="K641" t="s">
        <v>3021</v>
      </c>
      <c r="L641" t="s">
        <v>3330</v>
      </c>
      <c r="M641" t="s">
        <v>3379</v>
      </c>
      <c r="N641">
        <v>10031</v>
      </c>
      <c r="O641" t="s">
        <v>3380</v>
      </c>
      <c r="P641" t="s">
        <v>3381</v>
      </c>
      <c r="Q641" t="s">
        <v>3385</v>
      </c>
      <c r="S641">
        <v>13</v>
      </c>
      <c r="W641" t="s">
        <v>4244</v>
      </c>
      <c r="X641" t="s">
        <v>3382</v>
      </c>
      <c r="Y641" t="s">
        <v>3382</v>
      </c>
      <c r="Z641" t="s">
        <v>4243</v>
      </c>
      <c r="AA641" t="s">
        <v>4256</v>
      </c>
      <c r="AC641">
        <v>256</v>
      </c>
      <c r="AD641">
        <v>256</v>
      </c>
      <c r="AE641">
        <v>4.8</v>
      </c>
      <c r="AG641" t="s">
        <v>4894</v>
      </c>
      <c r="AI641" t="s">
        <v>5924</v>
      </c>
      <c r="AJ641">
        <v>0</v>
      </c>
      <c r="AL641">
        <v>1</v>
      </c>
      <c r="AM641">
        <v>0</v>
      </c>
      <c r="AN641">
        <v>93.70999999999999</v>
      </c>
      <c r="AQ641" t="s">
        <v>6287</v>
      </c>
      <c r="AS641" t="s">
        <v>6298</v>
      </c>
      <c r="AT641">
        <v>11376</v>
      </c>
      <c r="AV641" t="s">
        <v>3380</v>
      </c>
      <c r="AX641" t="s">
        <v>6431</v>
      </c>
      <c r="BA641" t="s">
        <v>6487</v>
      </c>
      <c r="BD641" t="s">
        <v>350</v>
      </c>
    </row>
    <row r="642" spans="1:57">
      <c r="A642" s="1">
        <f>HYPERLINK("https://lsnyc.legalserver.org/matter/dynamic-profile/view/1877768","18-1877768")</f>
        <v>0</v>
      </c>
      <c r="B642" t="s">
        <v>59</v>
      </c>
      <c r="C642" t="s">
        <v>179</v>
      </c>
      <c r="D642" t="s">
        <v>214</v>
      </c>
      <c r="E642" t="s">
        <v>472</v>
      </c>
      <c r="G642" t="s">
        <v>1092</v>
      </c>
      <c r="H642" t="s">
        <v>1798</v>
      </c>
      <c r="J642" t="s">
        <v>2642</v>
      </c>
      <c r="K642">
        <v>23</v>
      </c>
      <c r="L642" t="s">
        <v>3330</v>
      </c>
      <c r="M642" t="s">
        <v>3379</v>
      </c>
      <c r="N642">
        <v>10031</v>
      </c>
      <c r="O642" t="s">
        <v>3380</v>
      </c>
      <c r="P642" t="s">
        <v>3381</v>
      </c>
      <c r="S642">
        <v>5</v>
      </c>
      <c r="W642" t="s">
        <v>4244</v>
      </c>
      <c r="X642" t="s">
        <v>3382</v>
      </c>
      <c r="Y642" t="s">
        <v>3382</v>
      </c>
      <c r="Z642" t="s">
        <v>4243</v>
      </c>
      <c r="AA642" t="s">
        <v>4256</v>
      </c>
      <c r="AC642">
        <v>1</v>
      </c>
      <c r="AD642">
        <v>1075</v>
      </c>
      <c r="AE642">
        <v>0</v>
      </c>
      <c r="AG642" t="s">
        <v>4895</v>
      </c>
      <c r="AI642" t="s">
        <v>5925</v>
      </c>
      <c r="AJ642">
        <v>0</v>
      </c>
      <c r="AL642">
        <v>5</v>
      </c>
      <c r="AM642">
        <v>0</v>
      </c>
      <c r="AN642">
        <v>88.38</v>
      </c>
      <c r="AQ642" t="s">
        <v>6287</v>
      </c>
      <c r="AS642" t="s">
        <v>6299</v>
      </c>
      <c r="AT642">
        <v>26000</v>
      </c>
      <c r="AV642" t="s">
        <v>3380</v>
      </c>
      <c r="AX642" t="s">
        <v>6431</v>
      </c>
      <c r="BA642" t="s">
        <v>6477</v>
      </c>
    </row>
    <row r="643" spans="1:57">
      <c r="A643" s="1">
        <f>HYPERLINK("https://lsnyc.legalserver.org/matter/dynamic-profile/view/1887769","19-1887769")</f>
        <v>0</v>
      </c>
      <c r="B643" t="s">
        <v>59</v>
      </c>
      <c r="C643" t="s">
        <v>179</v>
      </c>
      <c r="D643" t="s">
        <v>214</v>
      </c>
      <c r="E643" t="s">
        <v>473</v>
      </c>
      <c r="G643" t="s">
        <v>1086</v>
      </c>
      <c r="H643" t="s">
        <v>1379</v>
      </c>
      <c r="J643" t="s">
        <v>2640</v>
      </c>
      <c r="K643">
        <v>65</v>
      </c>
      <c r="L643" t="s">
        <v>3330</v>
      </c>
      <c r="M643" t="s">
        <v>3379</v>
      </c>
      <c r="N643">
        <v>10031</v>
      </c>
      <c r="O643" t="s">
        <v>3381</v>
      </c>
      <c r="P643" t="s">
        <v>3381</v>
      </c>
      <c r="S643">
        <v>0</v>
      </c>
      <c r="W643" t="s">
        <v>4244</v>
      </c>
      <c r="X643" t="s">
        <v>3382</v>
      </c>
      <c r="Z643" t="s">
        <v>4243</v>
      </c>
      <c r="AA643" t="s">
        <v>4256</v>
      </c>
      <c r="AC643">
        <v>0</v>
      </c>
      <c r="AD643">
        <v>0</v>
      </c>
      <c r="AE643">
        <v>8</v>
      </c>
      <c r="AG643" t="s">
        <v>4888</v>
      </c>
      <c r="AJ643">
        <v>0</v>
      </c>
      <c r="AL643">
        <v>1</v>
      </c>
      <c r="AM643">
        <v>4</v>
      </c>
      <c r="AN643">
        <v>53.03</v>
      </c>
      <c r="AS643" t="s">
        <v>6299</v>
      </c>
      <c r="AT643">
        <v>15600</v>
      </c>
      <c r="AX643" t="s">
        <v>6431</v>
      </c>
      <c r="BA643" t="s">
        <v>6477</v>
      </c>
      <c r="BD643" t="s">
        <v>335</v>
      </c>
    </row>
    <row r="644" spans="1:57">
      <c r="A644" s="1">
        <f>HYPERLINK("https://lsnyc.legalserver.org/matter/dynamic-profile/view/1872619","18-1872619")</f>
        <v>0</v>
      </c>
      <c r="B644" t="s">
        <v>59</v>
      </c>
      <c r="C644" t="s">
        <v>179</v>
      </c>
      <c r="D644" t="s">
        <v>214</v>
      </c>
      <c r="E644" t="s">
        <v>453</v>
      </c>
      <c r="G644" t="s">
        <v>1093</v>
      </c>
      <c r="H644" t="s">
        <v>1578</v>
      </c>
      <c r="J644" t="s">
        <v>2645</v>
      </c>
      <c r="K644" t="s">
        <v>3242</v>
      </c>
      <c r="L644" t="s">
        <v>3330</v>
      </c>
      <c r="M644" t="s">
        <v>3379</v>
      </c>
      <c r="N644">
        <v>10030</v>
      </c>
      <c r="O644" t="s">
        <v>3380</v>
      </c>
      <c r="P644" t="s">
        <v>3381</v>
      </c>
      <c r="Q644" t="s">
        <v>3383</v>
      </c>
      <c r="R644" t="s">
        <v>3889</v>
      </c>
      <c r="S644">
        <v>10</v>
      </c>
      <c r="T644" t="s">
        <v>4196</v>
      </c>
      <c r="U644" t="s">
        <v>4225</v>
      </c>
      <c r="W644" t="s">
        <v>4243</v>
      </c>
      <c r="X644" t="s">
        <v>3382</v>
      </c>
      <c r="AA644" t="s">
        <v>4258</v>
      </c>
      <c r="AC644">
        <v>519</v>
      </c>
      <c r="AD644">
        <v>519</v>
      </c>
      <c r="AE644">
        <v>6.35</v>
      </c>
      <c r="AG644" t="s">
        <v>4896</v>
      </c>
      <c r="AI644" t="s">
        <v>5926</v>
      </c>
      <c r="AJ644">
        <v>246</v>
      </c>
      <c r="AK644" t="s">
        <v>6270</v>
      </c>
      <c r="AL644">
        <v>2</v>
      </c>
      <c r="AM644">
        <v>3</v>
      </c>
      <c r="AN644">
        <v>136.64</v>
      </c>
      <c r="AQ644" t="s">
        <v>6286</v>
      </c>
      <c r="AR644" t="s">
        <v>5312</v>
      </c>
      <c r="AS644" t="s">
        <v>6298</v>
      </c>
      <c r="AT644">
        <v>40200</v>
      </c>
      <c r="AV644" t="s">
        <v>3380</v>
      </c>
      <c r="AX644" t="s">
        <v>6437</v>
      </c>
      <c r="BA644" t="s">
        <v>6476</v>
      </c>
      <c r="BD644" t="s">
        <v>6661</v>
      </c>
    </row>
    <row r="645" spans="1:57">
      <c r="A645" s="1">
        <f>HYPERLINK("https://lsnyc.legalserver.org/matter/dynamic-profile/view/1873578","18-1873578")</f>
        <v>0</v>
      </c>
      <c r="B645" t="s">
        <v>59</v>
      </c>
      <c r="C645" t="s">
        <v>179</v>
      </c>
      <c r="D645" t="s">
        <v>214</v>
      </c>
      <c r="E645" t="s">
        <v>474</v>
      </c>
      <c r="G645" t="s">
        <v>808</v>
      </c>
      <c r="H645" t="s">
        <v>1475</v>
      </c>
      <c r="J645" t="s">
        <v>2646</v>
      </c>
      <c r="K645" t="s">
        <v>3000</v>
      </c>
      <c r="L645" t="s">
        <v>3330</v>
      </c>
      <c r="M645" t="s">
        <v>3379</v>
      </c>
      <c r="N645">
        <v>10030</v>
      </c>
      <c r="O645" t="s">
        <v>3380</v>
      </c>
      <c r="P645" t="s">
        <v>3381</v>
      </c>
      <c r="Q645" t="s">
        <v>3383</v>
      </c>
      <c r="R645" t="s">
        <v>3890</v>
      </c>
      <c r="S645">
        <v>8</v>
      </c>
      <c r="T645" t="s">
        <v>4196</v>
      </c>
      <c r="U645" t="s">
        <v>4224</v>
      </c>
      <c r="W645" t="s">
        <v>4243</v>
      </c>
      <c r="X645" t="s">
        <v>3382</v>
      </c>
      <c r="Y645" t="s">
        <v>3382</v>
      </c>
      <c r="AA645" t="s">
        <v>4259</v>
      </c>
      <c r="AC645">
        <v>333</v>
      </c>
      <c r="AD645">
        <v>747</v>
      </c>
      <c r="AE645">
        <v>0.2</v>
      </c>
      <c r="AG645" t="s">
        <v>4859</v>
      </c>
      <c r="AI645" t="s">
        <v>5927</v>
      </c>
      <c r="AJ645">
        <v>15</v>
      </c>
      <c r="AK645" t="s">
        <v>6276</v>
      </c>
      <c r="AL645">
        <v>2</v>
      </c>
      <c r="AM645">
        <v>0</v>
      </c>
      <c r="AN645">
        <v>95.09</v>
      </c>
      <c r="AQ645" t="s">
        <v>6287</v>
      </c>
      <c r="AR645" t="s">
        <v>6290</v>
      </c>
      <c r="AS645" t="s">
        <v>6298</v>
      </c>
      <c r="AT645">
        <v>15652</v>
      </c>
      <c r="AV645" t="s">
        <v>3380</v>
      </c>
      <c r="AX645" t="s">
        <v>6428</v>
      </c>
      <c r="BA645" t="s">
        <v>6477</v>
      </c>
      <c r="BD645" t="s">
        <v>6662</v>
      </c>
      <c r="BE645" t="s">
        <v>6702</v>
      </c>
    </row>
    <row r="646" spans="1:57">
      <c r="A646" s="1">
        <f>HYPERLINK("https://lsnyc.legalserver.org/matter/dynamic-profile/view/0774678","15-0774678")</f>
        <v>0</v>
      </c>
      <c r="B646" t="s">
        <v>59</v>
      </c>
      <c r="C646" t="s">
        <v>179</v>
      </c>
      <c r="D646" t="s">
        <v>214</v>
      </c>
      <c r="E646" t="s">
        <v>475</v>
      </c>
      <c r="G646" t="s">
        <v>949</v>
      </c>
      <c r="H646" t="s">
        <v>1404</v>
      </c>
      <c r="J646" t="s">
        <v>2647</v>
      </c>
      <c r="K646" t="s">
        <v>3243</v>
      </c>
      <c r="L646" t="s">
        <v>3330</v>
      </c>
      <c r="M646" t="s">
        <v>3379</v>
      </c>
      <c r="N646">
        <v>10027</v>
      </c>
      <c r="O646" t="s">
        <v>3381</v>
      </c>
      <c r="P646" t="s">
        <v>3381</v>
      </c>
      <c r="S646">
        <v>0</v>
      </c>
      <c r="T646" t="s">
        <v>4199</v>
      </c>
      <c r="U646" t="s">
        <v>4223</v>
      </c>
      <c r="W646" t="s">
        <v>4243</v>
      </c>
      <c r="X646" t="s">
        <v>3382</v>
      </c>
      <c r="AA646" t="s">
        <v>4256</v>
      </c>
      <c r="AC646">
        <v>0</v>
      </c>
      <c r="AD646">
        <v>0</v>
      </c>
      <c r="AE646">
        <v>6.2</v>
      </c>
      <c r="AG646" t="s">
        <v>4897</v>
      </c>
      <c r="AI646" t="s">
        <v>5928</v>
      </c>
      <c r="AJ646">
        <v>0</v>
      </c>
      <c r="AL646">
        <v>1</v>
      </c>
      <c r="AM646">
        <v>0</v>
      </c>
      <c r="AN646">
        <v>15.29</v>
      </c>
      <c r="AS646" t="s">
        <v>6298</v>
      </c>
      <c r="AT646">
        <v>1800</v>
      </c>
      <c r="AX646" t="s">
        <v>6435</v>
      </c>
      <c r="BA646" t="s">
        <v>6503</v>
      </c>
      <c r="BD646" t="s">
        <v>6663</v>
      </c>
    </row>
    <row r="647" spans="1:57">
      <c r="A647" s="1">
        <f>HYPERLINK("https://lsnyc.legalserver.org/matter/dynamic-profile/view/1883804","18-1883804")</f>
        <v>0</v>
      </c>
      <c r="B647" t="s">
        <v>59</v>
      </c>
      <c r="C647" t="s">
        <v>179</v>
      </c>
      <c r="D647" t="s">
        <v>214</v>
      </c>
      <c r="E647" t="s">
        <v>476</v>
      </c>
      <c r="G647" t="s">
        <v>1094</v>
      </c>
      <c r="H647" t="s">
        <v>1578</v>
      </c>
      <c r="J647" t="s">
        <v>2648</v>
      </c>
      <c r="K647" t="s">
        <v>3027</v>
      </c>
      <c r="L647" t="s">
        <v>3330</v>
      </c>
      <c r="M647" t="s">
        <v>3379</v>
      </c>
      <c r="N647">
        <v>10027</v>
      </c>
      <c r="O647" t="s">
        <v>3382</v>
      </c>
      <c r="P647" t="s">
        <v>3382</v>
      </c>
      <c r="R647" t="s">
        <v>3891</v>
      </c>
      <c r="S647">
        <v>4</v>
      </c>
      <c r="T647" t="s">
        <v>4196</v>
      </c>
      <c r="U647" t="s">
        <v>4223</v>
      </c>
      <c r="W647" t="s">
        <v>4242</v>
      </c>
      <c r="X647" t="s">
        <v>3382</v>
      </c>
      <c r="Y647" t="s">
        <v>3382</v>
      </c>
      <c r="AA647" t="s">
        <v>4256</v>
      </c>
      <c r="AC647">
        <v>0</v>
      </c>
      <c r="AD647">
        <v>340</v>
      </c>
      <c r="AE647">
        <v>16.3</v>
      </c>
      <c r="AG647" t="s">
        <v>4898</v>
      </c>
      <c r="AI647" t="s">
        <v>5929</v>
      </c>
      <c r="AJ647">
        <v>25</v>
      </c>
      <c r="AK647" t="s">
        <v>6269</v>
      </c>
      <c r="AL647">
        <v>2</v>
      </c>
      <c r="AM647">
        <v>0</v>
      </c>
      <c r="AN647">
        <v>0</v>
      </c>
      <c r="AQ647" t="s">
        <v>6287</v>
      </c>
      <c r="AR647" t="s">
        <v>5312</v>
      </c>
      <c r="AS647" t="s">
        <v>6298</v>
      </c>
      <c r="AT647">
        <v>0</v>
      </c>
      <c r="AX647" t="s">
        <v>6434</v>
      </c>
      <c r="BA647" t="s">
        <v>6479</v>
      </c>
      <c r="BD647" t="s">
        <v>260</v>
      </c>
    </row>
    <row r="648" spans="1:57">
      <c r="A648" s="1">
        <f>HYPERLINK("https://lsnyc.legalserver.org/matter/dynamic-profile/view/1887627","19-1887627")</f>
        <v>0</v>
      </c>
      <c r="B648" t="s">
        <v>59</v>
      </c>
      <c r="C648" t="s">
        <v>179</v>
      </c>
      <c r="D648" t="s">
        <v>214</v>
      </c>
      <c r="E648" t="s">
        <v>368</v>
      </c>
      <c r="G648" t="s">
        <v>1095</v>
      </c>
      <c r="H648" t="s">
        <v>1799</v>
      </c>
      <c r="J648" t="s">
        <v>2649</v>
      </c>
      <c r="K648" t="s">
        <v>3244</v>
      </c>
      <c r="L648" t="s">
        <v>3330</v>
      </c>
      <c r="M648" t="s">
        <v>3379</v>
      </c>
      <c r="N648">
        <v>10027</v>
      </c>
      <c r="O648" t="s">
        <v>3380</v>
      </c>
      <c r="P648" t="s">
        <v>3380</v>
      </c>
      <c r="Q648" t="s">
        <v>3390</v>
      </c>
      <c r="R648" t="s">
        <v>3892</v>
      </c>
      <c r="S648">
        <v>16</v>
      </c>
      <c r="T648" t="s">
        <v>4196</v>
      </c>
      <c r="U648" t="s">
        <v>4223</v>
      </c>
      <c r="W648" t="s">
        <v>4244</v>
      </c>
      <c r="X648" t="s">
        <v>3382</v>
      </c>
      <c r="Y648" t="s">
        <v>3382</v>
      </c>
      <c r="Z648" t="s">
        <v>4243</v>
      </c>
      <c r="AA648" t="s">
        <v>4256</v>
      </c>
      <c r="AC648">
        <v>0</v>
      </c>
      <c r="AD648">
        <v>1350</v>
      </c>
      <c r="AE648">
        <v>20.1</v>
      </c>
      <c r="AG648" t="s">
        <v>4899</v>
      </c>
      <c r="AI648" t="s">
        <v>5930</v>
      </c>
      <c r="AJ648">
        <v>0</v>
      </c>
      <c r="AK648" t="s">
        <v>6272</v>
      </c>
      <c r="AL648">
        <v>1</v>
      </c>
      <c r="AM648">
        <v>0</v>
      </c>
      <c r="AN648">
        <v>187.81</v>
      </c>
      <c r="AP648" t="s">
        <v>6283</v>
      </c>
      <c r="AQ648" t="s">
        <v>6287</v>
      </c>
      <c r="AR648" t="s">
        <v>5312</v>
      </c>
      <c r="AS648" t="s">
        <v>6298</v>
      </c>
      <c r="AT648">
        <v>22800</v>
      </c>
      <c r="AX648" t="s">
        <v>6431</v>
      </c>
      <c r="BA648" t="s">
        <v>6492</v>
      </c>
      <c r="BD648" t="s">
        <v>328</v>
      </c>
    </row>
    <row r="649" spans="1:57">
      <c r="A649" s="1">
        <f>HYPERLINK("https://lsnyc.legalserver.org/matter/dynamic-profile/view/1883526","18-1883526")</f>
        <v>0</v>
      </c>
      <c r="B649" t="s">
        <v>59</v>
      </c>
      <c r="C649" t="s">
        <v>179</v>
      </c>
      <c r="D649" t="s">
        <v>214</v>
      </c>
      <c r="E649" t="s">
        <v>422</v>
      </c>
      <c r="G649" t="s">
        <v>1096</v>
      </c>
      <c r="H649" t="s">
        <v>1438</v>
      </c>
      <c r="J649" t="s">
        <v>2650</v>
      </c>
      <c r="K649">
        <v>61</v>
      </c>
      <c r="L649" t="s">
        <v>3330</v>
      </c>
      <c r="M649" t="s">
        <v>3379</v>
      </c>
      <c r="N649">
        <v>10027</v>
      </c>
      <c r="O649" t="s">
        <v>3380</v>
      </c>
      <c r="P649" t="s">
        <v>3380</v>
      </c>
      <c r="Q649" t="s">
        <v>3391</v>
      </c>
      <c r="S649">
        <v>45</v>
      </c>
      <c r="W649" t="s">
        <v>4244</v>
      </c>
      <c r="X649" t="s">
        <v>3382</v>
      </c>
      <c r="Y649" t="s">
        <v>3382</v>
      </c>
      <c r="Z649" t="s">
        <v>4243</v>
      </c>
      <c r="AA649" t="s">
        <v>4256</v>
      </c>
      <c r="AC649">
        <v>0</v>
      </c>
      <c r="AD649">
        <v>614.8</v>
      </c>
      <c r="AE649">
        <v>0</v>
      </c>
      <c r="AG649" t="s">
        <v>4900</v>
      </c>
      <c r="AI649" t="s">
        <v>5931</v>
      </c>
      <c r="AJ649">
        <v>0</v>
      </c>
      <c r="AK649" t="s">
        <v>6269</v>
      </c>
      <c r="AL649">
        <v>1</v>
      </c>
      <c r="AM649">
        <v>0</v>
      </c>
      <c r="AN649">
        <v>83.72</v>
      </c>
      <c r="AP649" t="s">
        <v>6283</v>
      </c>
      <c r="AQ649" t="s">
        <v>6287</v>
      </c>
      <c r="AT649">
        <v>10164</v>
      </c>
      <c r="AX649" t="s">
        <v>6431</v>
      </c>
      <c r="BA649" t="s">
        <v>6511</v>
      </c>
    </row>
    <row r="650" spans="1:57">
      <c r="A650" s="1">
        <f>HYPERLINK("https://lsnyc.legalserver.org/matter/dynamic-profile/view/1904940","19-1904940")</f>
        <v>0</v>
      </c>
      <c r="B650" t="s">
        <v>59</v>
      </c>
      <c r="C650" t="s">
        <v>179</v>
      </c>
      <c r="D650" t="s">
        <v>214</v>
      </c>
      <c r="E650" t="s">
        <v>258</v>
      </c>
      <c r="G650" t="s">
        <v>1097</v>
      </c>
      <c r="H650" t="s">
        <v>1528</v>
      </c>
      <c r="J650" t="s">
        <v>2651</v>
      </c>
      <c r="L650" t="s">
        <v>3330</v>
      </c>
      <c r="M650" t="s">
        <v>3379</v>
      </c>
      <c r="N650">
        <v>10026</v>
      </c>
      <c r="O650" t="s">
        <v>3381</v>
      </c>
      <c r="P650" t="s">
        <v>3381</v>
      </c>
      <c r="R650" t="s">
        <v>3893</v>
      </c>
      <c r="S650">
        <v>0</v>
      </c>
      <c r="T650" t="s">
        <v>4197</v>
      </c>
      <c r="U650" t="s">
        <v>4224</v>
      </c>
      <c r="W650" t="s">
        <v>4242</v>
      </c>
      <c r="X650" t="s">
        <v>3382</v>
      </c>
      <c r="Y650" t="s">
        <v>3382</v>
      </c>
      <c r="AA650" t="s">
        <v>4258</v>
      </c>
      <c r="AC650">
        <v>0</v>
      </c>
      <c r="AD650">
        <v>0</v>
      </c>
      <c r="AE650">
        <v>4</v>
      </c>
      <c r="AG650" t="s">
        <v>4901</v>
      </c>
      <c r="AI650" t="s">
        <v>5932</v>
      </c>
      <c r="AJ650">
        <v>0</v>
      </c>
      <c r="AK650" t="s">
        <v>6270</v>
      </c>
      <c r="AL650">
        <v>3</v>
      </c>
      <c r="AM650">
        <v>0</v>
      </c>
      <c r="AN650">
        <v>84.39</v>
      </c>
      <c r="AS650" t="s">
        <v>6298</v>
      </c>
      <c r="AT650">
        <v>18000</v>
      </c>
      <c r="AX650" t="s">
        <v>6430</v>
      </c>
      <c r="BA650" t="s">
        <v>6524</v>
      </c>
      <c r="BD650" t="s">
        <v>528</v>
      </c>
    </row>
    <row r="651" spans="1:57">
      <c r="A651" s="1">
        <f>HYPERLINK("https://lsnyc.legalserver.org/matter/dynamic-profile/view/1892817","19-1892817")</f>
        <v>0</v>
      </c>
      <c r="B651" t="s">
        <v>59</v>
      </c>
      <c r="C651" t="s">
        <v>179</v>
      </c>
      <c r="D651" t="s">
        <v>214</v>
      </c>
      <c r="E651" t="s">
        <v>288</v>
      </c>
      <c r="G651" t="s">
        <v>1098</v>
      </c>
      <c r="H651" t="s">
        <v>1760</v>
      </c>
      <c r="J651" t="s">
        <v>2652</v>
      </c>
      <c r="K651" t="s">
        <v>3245</v>
      </c>
      <c r="L651" t="s">
        <v>3330</v>
      </c>
      <c r="M651" t="s">
        <v>3379</v>
      </c>
      <c r="N651">
        <v>10026</v>
      </c>
      <c r="O651" t="s">
        <v>3380</v>
      </c>
      <c r="P651" t="s">
        <v>3380</v>
      </c>
      <c r="Q651" t="s">
        <v>3384</v>
      </c>
      <c r="R651" t="s">
        <v>3894</v>
      </c>
      <c r="S651">
        <v>2</v>
      </c>
      <c r="T651" t="s">
        <v>4196</v>
      </c>
      <c r="U651" t="s">
        <v>4223</v>
      </c>
      <c r="W651" t="s">
        <v>4242</v>
      </c>
      <c r="X651" t="s">
        <v>3382</v>
      </c>
      <c r="Y651" t="s">
        <v>3382</v>
      </c>
      <c r="AA651" t="s">
        <v>4256</v>
      </c>
      <c r="AB651" t="s">
        <v>4261</v>
      </c>
      <c r="AC651">
        <v>0</v>
      </c>
      <c r="AD651">
        <v>275</v>
      </c>
      <c r="AE651">
        <v>8.800000000000001</v>
      </c>
      <c r="AG651" t="s">
        <v>4902</v>
      </c>
      <c r="AI651" t="s">
        <v>5933</v>
      </c>
      <c r="AJ651">
        <v>0</v>
      </c>
      <c r="AK651" t="s">
        <v>6266</v>
      </c>
      <c r="AL651">
        <v>1</v>
      </c>
      <c r="AM651">
        <v>1</v>
      </c>
      <c r="AN651">
        <v>22.29</v>
      </c>
      <c r="AQ651" t="s">
        <v>6286</v>
      </c>
      <c r="AR651" t="s">
        <v>5312</v>
      </c>
      <c r="AS651" t="s">
        <v>6298</v>
      </c>
      <c r="AT651">
        <v>3770</v>
      </c>
      <c r="AX651" t="s">
        <v>6428</v>
      </c>
      <c r="BA651" t="s">
        <v>6558</v>
      </c>
      <c r="BD651" t="s">
        <v>326</v>
      </c>
    </row>
    <row r="652" spans="1:57">
      <c r="A652" s="1">
        <f>HYPERLINK("https://lsnyc.legalserver.org/matter/dynamic-profile/view/1892867","19-1892867")</f>
        <v>0</v>
      </c>
      <c r="B652" t="s">
        <v>59</v>
      </c>
      <c r="C652" t="s">
        <v>179</v>
      </c>
      <c r="D652" t="s">
        <v>214</v>
      </c>
      <c r="E652" t="s">
        <v>288</v>
      </c>
      <c r="G652" t="s">
        <v>1099</v>
      </c>
      <c r="H652" t="s">
        <v>1800</v>
      </c>
      <c r="J652" t="s">
        <v>2653</v>
      </c>
      <c r="L652" t="s">
        <v>3330</v>
      </c>
      <c r="M652" t="s">
        <v>3379</v>
      </c>
      <c r="N652">
        <v>10026</v>
      </c>
      <c r="O652" t="s">
        <v>3381</v>
      </c>
      <c r="P652" t="s">
        <v>3381</v>
      </c>
      <c r="S652">
        <v>21</v>
      </c>
      <c r="T652" t="s">
        <v>4196</v>
      </c>
      <c r="U652" t="s">
        <v>4224</v>
      </c>
      <c r="W652" t="s">
        <v>4242</v>
      </c>
      <c r="X652" t="s">
        <v>3382</v>
      </c>
      <c r="Y652" t="s">
        <v>3382</v>
      </c>
      <c r="AA652" t="s">
        <v>4258</v>
      </c>
      <c r="AB652" t="s">
        <v>4261</v>
      </c>
      <c r="AC652">
        <v>0</v>
      </c>
      <c r="AD652">
        <v>688</v>
      </c>
      <c r="AE652">
        <v>6.5</v>
      </c>
      <c r="AG652" t="s">
        <v>4903</v>
      </c>
      <c r="AI652" t="s">
        <v>5934</v>
      </c>
      <c r="AJ652">
        <v>15</v>
      </c>
      <c r="AL652">
        <v>2</v>
      </c>
      <c r="AM652">
        <v>0</v>
      </c>
      <c r="AN652">
        <v>256.18</v>
      </c>
      <c r="AS652" t="s">
        <v>6299</v>
      </c>
      <c r="AT652">
        <v>43320</v>
      </c>
      <c r="AX652" t="s">
        <v>6430</v>
      </c>
      <c r="BA652" t="s">
        <v>6515</v>
      </c>
      <c r="BD652" t="s">
        <v>314</v>
      </c>
    </row>
    <row r="653" spans="1:57">
      <c r="A653" s="1">
        <f>HYPERLINK("https://lsnyc.legalserver.org/matter/dynamic-profile/view/1875791","18-1875791")</f>
        <v>0</v>
      </c>
      <c r="B653" t="s">
        <v>59</v>
      </c>
      <c r="C653" t="s">
        <v>179</v>
      </c>
      <c r="D653" t="s">
        <v>214</v>
      </c>
      <c r="E653" t="s">
        <v>429</v>
      </c>
      <c r="G653" t="s">
        <v>1100</v>
      </c>
      <c r="H653" t="s">
        <v>1472</v>
      </c>
      <c r="J653" t="s">
        <v>2654</v>
      </c>
      <c r="K653" t="s">
        <v>3246</v>
      </c>
      <c r="L653" t="s">
        <v>3330</v>
      </c>
      <c r="M653" t="s">
        <v>3379</v>
      </c>
      <c r="N653">
        <v>10025</v>
      </c>
      <c r="O653" t="s">
        <v>3380</v>
      </c>
      <c r="P653" t="s">
        <v>3381</v>
      </c>
      <c r="Q653" t="s">
        <v>3383</v>
      </c>
      <c r="R653" t="s">
        <v>3895</v>
      </c>
      <c r="S653">
        <v>45</v>
      </c>
      <c r="T653" t="s">
        <v>4196</v>
      </c>
      <c r="U653" t="s">
        <v>4224</v>
      </c>
      <c r="W653" t="s">
        <v>4242</v>
      </c>
      <c r="X653" t="s">
        <v>3382</v>
      </c>
      <c r="Y653" t="s">
        <v>3382</v>
      </c>
      <c r="AA653" t="s">
        <v>4256</v>
      </c>
      <c r="AC653">
        <v>810</v>
      </c>
      <c r="AD653">
        <v>825.33</v>
      </c>
      <c r="AE653">
        <v>0.4</v>
      </c>
      <c r="AG653" t="s">
        <v>4904</v>
      </c>
      <c r="AI653" t="s">
        <v>5935</v>
      </c>
      <c r="AJ653">
        <v>46</v>
      </c>
      <c r="AK653" t="s">
        <v>6267</v>
      </c>
      <c r="AL653">
        <v>3</v>
      </c>
      <c r="AM653">
        <v>0</v>
      </c>
      <c r="AN653">
        <v>95.40000000000001</v>
      </c>
      <c r="AQ653" t="s">
        <v>6287</v>
      </c>
      <c r="AR653" t="s">
        <v>6293</v>
      </c>
      <c r="AS653" t="s">
        <v>6299</v>
      </c>
      <c r="AT653">
        <v>19824</v>
      </c>
      <c r="AV653" t="s">
        <v>3380</v>
      </c>
      <c r="AX653" t="s">
        <v>6435</v>
      </c>
      <c r="BA653" t="s">
        <v>6577</v>
      </c>
      <c r="BD653" t="s">
        <v>491</v>
      </c>
    </row>
    <row r="654" spans="1:57">
      <c r="A654" s="1">
        <f>HYPERLINK("https://lsnyc.legalserver.org/matter/dynamic-profile/view/1881316","18-1881316")</f>
        <v>0</v>
      </c>
      <c r="B654" t="s">
        <v>59</v>
      </c>
      <c r="C654" t="s">
        <v>179</v>
      </c>
      <c r="D654" t="s">
        <v>214</v>
      </c>
      <c r="E654" t="s">
        <v>439</v>
      </c>
      <c r="G654" t="s">
        <v>1101</v>
      </c>
      <c r="H654" t="s">
        <v>1801</v>
      </c>
      <c r="J654" t="s">
        <v>2655</v>
      </c>
      <c r="L654" t="s">
        <v>3330</v>
      </c>
      <c r="M654" t="s">
        <v>3379</v>
      </c>
      <c r="N654">
        <v>10025</v>
      </c>
      <c r="O654" t="s">
        <v>3381</v>
      </c>
      <c r="P654" t="s">
        <v>3381</v>
      </c>
      <c r="S654">
        <v>20</v>
      </c>
      <c r="U654" t="s">
        <v>4223</v>
      </c>
      <c r="W654" t="s">
        <v>4243</v>
      </c>
      <c r="X654" t="s">
        <v>3382</v>
      </c>
      <c r="Y654" t="s">
        <v>3382</v>
      </c>
      <c r="AA654" t="s">
        <v>4259</v>
      </c>
      <c r="AC654">
        <v>859</v>
      </c>
      <c r="AD654">
        <v>0</v>
      </c>
      <c r="AE654">
        <v>11.45</v>
      </c>
      <c r="AG654" t="s">
        <v>4905</v>
      </c>
      <c r="AI654" t="s">
        <v>5936</v>
      </c>
      <c r="AJ654">
        <v>0</v>
      </c>
      <c r="AL654">
        <v>1</v>
      </c>
      <c r="AM654">
        <v>0</v>
      </c>
      <c r="AN654">
        <v>164.74</v>
      </c>
      <c r="AQ654" t="s">
        <v>6287</v>
      </c>
      <c r="AS654" t="s">
        <v>6298</v>
      </c>
      <c r="AT654">
        <v>20000</v>
      </c>
      <c r="AX654" t="s">
        <v>6430</v>
      </c>
      <c r="BA654" t="s">
        <v>6477</v>
      </c>
      <c r="BD654" t="s">
        <v>236</v>
      </c>
    </row>
    <row r="655" spans="1:57">
      <c r="A655" s="1">
        <f>HYPERLINK("https://lsnyc.legalserver.org/matter/dynamic-profile/view/1904928","19-1904928")</f>
        <v>0</v>
      </c>
      <c r="B655" t="s">
        <v>59</v>
      </c>
      <c r="C655" t="s">
        <v>179</v>
      </c>
      <c r="D655" t="s">
        <v>214</v>
      </c>
      <c r="E655" t="s">
        <v>258</v>
      </c>
      <c r="G655" t="s">
        <v>1102</v>
      </c>
      <c r="H655" t="s">
        <v>1802</v>
      </c>
      <c r="J655" t="s">
        <v>2656</v>
      </c>
      <c r="K655" t="s">
        <v>3052</v>
      </c>
      <c r="L655" t="s">
        <v>3330</v>
      </c>
      <c r="M655" t="s">
        <v>3379</v>
      </c>
      <c r="N655">
        <v>10014</v>
      </c>
      <c r="O655" t="s">
        <v>3381</v>
      </c>
      <c r="P655" t="s">
        <v>3381</v>
      </c>
      <c r="Q655" t="s">
        <v>3384</v>
      </c>
      <c r="R655" t="s">
        <v>3896</v>
      </c>
      <c r="S655">
        <v>3</v>
      </c>
      <c r="T655" t="s">
        <v>4197</v>
      </c>
      <c r="U655" t="s">
        <v>4223</v>
      </c>
      <c r="W655" t="s">
        <v>4242</v>
      </c>
      <c r="X655" t="s">
        <v>3382</v>
      </c>
      <c r="Y655" t="s">
        <v>3382</v>
      </c>
      <c r="AA655" t="s">
        <v>4258</v>
      </c>
      <c r="AC655">
        <v>0</v>
      </c>
      <c r="AD655">
        <v>1000</v>
      </c>
      <c r="AE655">
        <v>3</v>
      </c>
      <c r="AG655" t="s">
        <v>4906</v>
      </c>
      <c r="AI655" t="s">
        <v>5937</v>
      </c>
      <c r="AJ655">
        <v>0</v>
      </c>
      <c r="AK655" t="s">
        <v>6274</v>
      </c>
      <c r="AL655">
        <v>1</v>
      </c>
      <c r="AM655">
        <v>0</v>
      </c>
      <c r="AN655">
        <v>155.64</v>
      </c>
      <c r="AR655" t="s">
        <v>5312</v>
      </c>
      <c r="AS655" t="s">
        <v>6298</v>
      </c>
      <c r="AT655">
        <v>19440</v>
      </c>
      <c r="AX655" t="s">
        <v>6430</v>
      </c>
      <c r="BA655" t="s">
        <v>6539</v>
      </c>
      <c r="BD655" t="s">
        <v>304</v>
      </c>
    </row>
    <row r="656" spans="1:57">
      <c r="A656" s="1">
        <f>HYPERLINK("https://lsnyc.legalserver.org/matter/dynamic-profile/view/1843593","17-1843593")</f>
        <v>0</v>
      </c>
      <c r="B656" t="s">
        <v>59</v>
      </c>
      <c r="C656" t="s">
        <v>180</v>
      </c>
      <c r="D656" t="s">
        <v>214</v>
      </c>
      <c r="E656" t="s">
        <v>477</v>
      </c>
      <c r="G656" t="s">
        <v>1103</v>
      </c>
      <c r="H656" t="s">
        <v>1803</v>
      </c>
      <c r="J656" t="s">
        <v>2657</v>
      </c>
      <c r="K656" t="s">
        <v>3247</v>
      </c>
      <c r="L656" t="s">
        <v>3330</v>
      </c>
      <c r="M656" t="s">
        <v>3379</v>
      </c>
      <c r="N656">
        <v>10036</v>
      </c>
      <c r="O656" t="s">
        <v>3381</v>
      </c>
      <c r="P656" t="s">
        <v>3381</v>
      </c>
      <c r="Q656" t="s">
        <v>3383</v>
      </c>
      <c r="R656" t="s">
        <v>3897</v>
      </c>
      <c r="S656">
        <v>1</v>
      </c>
      <c r="T656" t="s">
        <v>4197</v>
      </c>
      <c r="U656" t="s">
        <v>4223</v>
      </c>
      <c r="W656" t="s">
        <v>4243</v>
      </c>
      <c r="X656" t="s">
        <v>3382</v>
      </c>
      <c r="AA656" t="s">
        <v>4256</v>
      </c>
      <c r="AC656">
        <v>250</v>
      </c>
      <c r="AD656">
        <v>895</v>
      </c>
      <c r="AE656">
        <v>248.45</v>
      </c>
      <c r="AG656" t="s">
        <v>4907</v>
      </c>
      <c r="AH656" t="s">
        <v>5309</v>
      </c>
      <c r="AI656" t="s">
        <v>5938</v>
      </c>
      <c r="AJ656">
        <v>0</v>
      </c>
      <c r="AK656" t="s">
        <v>6267</v>
      </c>
      <c r="AL656">
        <v>1</v>
      </c>
      <c r="AM656">
        <v>0</v>
      </c>
      <c r="AN656">
        <v>86.06999999999999</v>
      </c>
      <c r="AQ656" t="s">
        <v>6287</v>
      </c>
      <c r="AR656" t="s">
        <v>6296</v>
      </c>
      <c r="AT656">
        <v>10380</v>
      </c>
      <c r="AX656" t="s">
        <v>6428</v>
      </c>
      <c r="BA656" t="s">
        <v>6511</v>
      </c>
      <c r="BD656" t="s">
        <v>490</v>
      </c>
    </row>
    <row r="657" spans="1:57">
      <c r="A657" s="1">
        <f>HYPERLINK("https://lsnyc.legalserver.org/matter/dynamic-profile/view/1882073","18-1882073")</f>
        <v>0</v>
      </c>
      <c r="B657" t="s">
        <v>59</v>
      </c>
      <c r="C657" t="s">
        <v>180</v>
      </c>
      <c r="D657" t="s">
        <v>214</v>
      </c>
      <c r="E657" t="s">
        <v>478</v>
      </c>
      <c r="G657" t="s">
        <v>1104</v>
      </c>
      <c r="H657" t="s">
        <v>938</v>
      </c>
      <c r="J657" t="s">
        <v>2658</v>
      </c>
      <c r="L657" t="s">
        <v>3330</v>
      </c>
      <c r="M657" t="s">
        <v>3379</v>
      </c>
      <c r="N657">
        <v>10031</v>
      </c>
      <c r="O657" t="s">
        <v>3381</v>
      </c>
      <c r="P657" t="s">
        <v>3381</v>
      </c>
      <c r="Q657" t="s">
        <v>3383</v>
      </c>
      <c r="R657" t="s">
        <v>3898</v>
      </c>
      <c r="S657">
        <v>0</v>
      </c>
      <c r="T657" t="s">
        <v>4196</v>
      </c>
      <c r="U657" t="s">
        <v>4223</v>
      </c>
      <c r="W657" t="s">
        <v>4243</v>
      </c>
      <c r="X657" t="s">
        <v>3382</v>
      </c>
      <c r="Y657" t="s">
        <v>3382</v>
      </c>
      <c r="AA657" t="s">
        <v>4256</v>
      </c>
      <c r="AC657">
        <v>0</v>
      </c>
      <c r="AD657">
        <v>967.6</v>
      </c>
      <c r="AE657">
        <v>9.5</v>
      </c>
      <c r="AG657" t="s">
        <v>4908</v>
      </c>
      <c r="AI657" t="s">
        <v>5939</v>
      </c>
      <c r="AJ657">
        <v>24</v>
      </c>
      <c r="AK657" t="s">
        <v>6267</v>
      </c>
      <c r="AL657">
        <v>1</v>
      </c>
      <c r="AM657">
        <v>1</v>
      </c>
      <c r="AN657">
        <v>51.03</v>
      </c>
      <c r="AQ657" t="s">
        <v>6288</v>
      </c>
      <c r="AS657" t="s">
        <v>6298</v>
      </c>
      <c r="AT657">
        <v>8400</v>
      </c>
      <c r="AX657" t="s">
        <v>6430</v>
      </c>
      <c r="BA657" t="s">
        <v>6480</v>
      </c>
      <c r="BD657" t="s">
        <v>415</v>
      </c>
    </row>
    <row r="658" spans="1:57">
      <c r="A658" s="1">
        <f>HYPERLINK("https://lsnyc.legalserver.org/matter/dynamic-profile/view/1835719","17-1835719")</f>
        <v>0</v>
      </c>
      <c r="B658" t="s">
        <v>59</v>
      </c>
      <c r="C658" t="s">
        <v>180</v>
      </c>
      <c r="D658" t="s">
        <v>214</v>
      </c>
      <c r="E658" t="s">
        <v>479</v>
      </c>
      <c r="G658" t="s">
        <v>1053</v>
      </c>
      <c r="H658" t="s">
        <v>1732</v>
      </c>
      <c r="J658" t="s">
        <v>2659</v>
      </c>
      <c r="K658" t="s">
        <v>3087</v>
      </c>
      <c r="L658" t="s">
        <v>3330</v>
      </c>
      <c r="M658" t="s">
        <v>3379</v>
      </c>
      <c r="N658">
        <v>10027</v>
      </c>
      <c r="O658" t="s">
        <v>3380</v>
      </c>
      <c r="P658" t="s">
        <v>3381</v>
      </c>
      <c r="R658" t="s">
        <v>3899</v>
      </c>
      <c r="S658">
        <v>0</v>
      </c>
      <c r="T658" t="s">
        <v>4196</v>
      </c>
      <c r="U658" t="s">
        <v>4223</v>
      </c>
      <c r="W658" t="s">
        <v>4242</v>
      </c>
      <c r="X658" t="s">
        <v>3382</v>
      </c>
      <c r="Y658" t="s">
        <v>3382</v>
      </c>
      <c r="AA658" t="s">
        <v>4258</v>
      </c>
      <c r="AC658">
        <v>0</v>
      </c>
      <c r="AD658">
        <v>0</v>
      </c>
      <c r="AE658">
        <v>45.8</v>
      </c>
      <c r="AG658" t="s">
        <v>4377</v>
      </c>
      <c r="AI658" t="s">
        <v>5940</v>
      </c>
      <c r="AJ658">
        <v>0</v>
      </c>
      <c r="AK658" t="s">
        <v>6270</v>
      </c>
      <c r="AL658">
        <v>1</v>
      </c>
      <c r="AM658">
        <v>1</v>
      </c>
      <c r="AN658">
        <v>134.48</v>
      </c>
      <c r="AQ658" t="s">
        <v>6288</v>
      </c>
      <c r="AS658" t="s">
        <v>6298</v>
      </c>
      <c r="AT658">
        <v>21840</v>
      </c>
      <c r="AX658" t="s">
        <v>6433</v>
      </c>
      <c r="BA658" t="s">
        <v>6477</v>
      </c>
      <c r="BD658" t="s">
        <v>6664</v>
      </c>
    </row>
    <row r="659" spans="1:57">
      <c r="A659" s="1">
        <f>HYPERLINK("https://lsnyc.legalserver.org/matter/dynamic-profile/view/1883996","18-1883996")</f>
        <v>0</v>
      </c>
      <c r="B659" t="s">
        <v>59</v>
      </c>
      <c r="C659" t="s">
        <v>180</v>
      </c>
      <c r="D659" t="s">
        <v>214</v>
      </c>
      <c r="E659" t="s">
        <v>480</v>
      </c>
      <c r="G659" t="s">
        <v>1105</v>
      </c>
      <c r="H659" t="s">
        <v>1804</v>
      </c>
      <c r="J659" t="s">
        <v>2660</v>
      </c>
      <c r="K659" t="s">
        <v>3248</v>
      </c>
      <c r="L659" t="s">
        <v>3330</v>
      </c>
      <c r="M659" t="s">
        <v>3379</v>
      </c>
      <c r="N659">
        <v>10027</v>
      </c>
      <c r="O659" t="s">
        <v>3380</v>
      </c>
      <c r="P659" t="s">
        <v>3380</v>
      </c>
      <c r="Q659" t="s">
        <v>3383</v>
      </c>
      <c r="R659" t="s">
        <v>3900</v>
      </c>
      <c r="S659">
        <v>20</v>
      </c>
      <c r="T659" t="s">
        <v>4196</v>
      </c>
      <c r="U659" t="s">
        <v>4223</v>
      </c>
      <c r="W659" t="s">
        <v>4242</v>
      </c>
      <c r="X659" t="s">
        <v>3382</v>
      </c>
      <c r="Y659" t="s">
        <v>3382</v>
      </c>
      <c r="AA659" t="s">
        <v>4258</v>
      </c>
      <c r="AB659" t="s">
        <v>4261</v>
      </c>
      <c r="AC659">
        <v>0</v>
      </c>
      <c r="AD659">
        <v>366</v>
      </c>
      <c r="AE659">
        <v>1.85</v>
      </c>
      <c r="AG659" t="s">
        <v>4909</v>
      </c>
      <c r="AI659" t="s">
        <v>5941</v>
      </c>
      <c r="AJ659">
        <v>0</v>
      </c>
      <c r="AK659" t="s">
        <v>6278</v>
      </c>
      <c r="AL659">
        <v>3</v>
      </c>
      <c r="AM659">
        <v>0</v>
      </c>
      <c r="AN659">
        <v>65.7</v>
      </c>
      <c r="AQ659" t="s">
        <v>6287</v>
      </c>
      <c r="AS659" t="s">
        <v>6298</v>
      </c>
      <c r="AT659">
        <v>13652.64</v>
      </c>
      <c r="AX659" t="s">
        <v>6438</v>
      </c>
      <c r="BA659" t="s">
        <v>6477</v>
      </c>
      <c r="BD659" t="s">
        <v>490</v>
      </c>
    </row>
    <row r="660" spans="1:57">
      <c r="A660" s="1">
        <f>HYPERLINK("https://lsnyc.legalserver.org/matter/dynamic-profile/view/1868534","18-1868534")</f>
        <v>0</v>
      </c>
      <c r="B660" t="s">
        <v>59</v>
      </c>
      <c r="C660" t="s">
        <v>180</v>
      </c>
      <c r="D660" t="s">
        <v>214</v>
      </c>
      <c r="E660" t="s">
        <v>481</v>
      </c>
      <c r="G660" t="s">
        <v>656</v>
      </c>
      <c r="H660" t="s">
        <v>1805</v>
      </c>
      <c r="J660" t="s">
        <v>2661</v>
      </c>
      <c r="K660">
        <v>8</v>
      </c>
      <c r="L660" t="s">
        <v>3330</v>
      </c>
      <c r="M660" t="s">
        <v>3379</v>
      </c>
      <c r="N660">
        <v>10026</v>
      </c>
      <c r="O660" t="s">
        <v>3382</v>
      </c>
      <c r="P660" t="s">
        <v>3381</v>
      </c>
      <c r="Q660" t="s">
        <v>3400</v>
      </c>
      <c r="S660">
        <v>10</v>
      </c>
      <c r="T660" t="s">
        <v>4196</v>
      </c>
      <c r="U660" t="s">
        <v>4223</v>
      </c>
      <c r="W660" t="s">
        <v>4242</v>
      </c>
      <c r="X660" t="s">
        <v>3382</v>
      </c>
      <c r="AA660" t="s">
        <v>4256</v>
      </c>
      <c r="AC660">
        <v>551.22</v>
      </c>
      <c r="AD660">
        <v>551.22</v>
      </c>
      <c r="AE660">
        <v>137.42</v>
      </c>
      <c r="AG660" t="s">
        <v>4910</v>
      </c>
      <c r="AI660" t="s">
        <v>5942</v>
      </c>
      <c r="AJ660">
        <v>0</v>
      </c>
      <c r="AK660" t="s">
        <v>6267</v>
      </c>
      <c r="AL660">
        <v>1</v>
      </c>
      <c r="AM660">
        <v>0</v>
      </c>
      <c r="AN660">
        <v>80.56</v>
      </c>
      <c r="AQ660" t="s">
        <v>6287</v>
      </c>
      <c r="AR660" t="s">
        <v>5312</v>
      </c>
      <c r="AT660">
        <v>9780</v>
      </c>
      <c r="AV660" t="s">
        <v>3382</v>
      </c>
      <c r="AX660" t="s">
        <v>6437</v>
      </c>
      <c r="BA660" t="s">
        <v>6511</v>
      </c>
      <c r="BD660" t="s">
        <v>225</v>
      </c>
    </row>
    <row r="661" spans="1:57">
      <c r="A661" s="1">
        <f>HYPERLINK("https://lsnyc.legalserver.org/matter/dynamic-profile/view/1903989","19-1903989")</f>
        <v>0</v>
      </c>
      <c r="B661" t="s">
        <v>59</v>
      </c>
      <c r="C661" t="s">
        <v>180</v>
      </c>
      <c r="D661" t="s">
        <v>214</v>
      </c>
      <c r="E661" t="s">
        <v>482</v>
      </c>
      <c r="G661" t="s">
        <v>1106</v>
      </c>
      <c r="H661" t="s">
        <v>1806</v>
      </c>
      <c r="J661" t="s">
        <v>2662</v>
      </c>
      <c r="K661" t="s">
        <v>3000</v>
      </c>
      <c r="L661" t="s">
        <v>3330</v>
      </c>
      <c r="M661" t="s">
        <v>3379</v>
      </c>
      <c r="N661">
        <v>10025</v>
      </c>
      <c r="O661" t="s">
        <v>3381</v>
      </c>
      <c r="P661" t="s">
        <v>3381</v>
      </c>
      <c r="Q661" t="s">
        <v>3384</v>
      </c>
      <c r="R661" t="s">
        <v>3901</v>
      </c>
      <c r="S661">
        <v>20</v>
      </c>
      <c r="T661" t="s">
        <v>4196</v>
      </c>
      <c r="U661" t="s">
        <v>4223</v>
      </c>
      <c r="W661" t="s">
        <v>4243</v>
      </c>
      <c r="X661" t="s">
        <v>3382</v>
      </c>
      <c r="Y661" t="s">
        <v>3382</v>
      </c>
      <c r="AA661" t="s">
        <v>4256</v>
      </c>
      <c r="AC661">
        <v>0</v>
      </c>
      <c r="AD661">
        <v>2045.07</v>
      </c>
      <c r="AE661">
        <v>7.55</v>
      </c>
      <c r="AG661" t="s">
        <v>4911</v>
      </c>
      <c r="AI661" t="s">
        <v>5943</v>
      </c>
      <c r="AJ661">
        <v>181</v>
      </c>
      <c r="AK661" t="s">
        <v>6267</v>
      </c>
      <c r="AL661">
        <v>1</v>
      </c>
      <c r="AM661">
        <v>0</v>
      </c>
      <c r="AN661">
        <v>149.88</v>
      </c>
      <c r="AS661" t="s">
        <v>6298</v>
      </c>
      <c r="AT661">
        <v>18720</v>
      </c>
      <c r="AX661" t="s">
        <v>6429</v>
      </c>
      <c r="BA661" t="s">
        <v>6477</v>
      </c>
      <c r="BD661" t="s">
        <v>253</v>
      </c>
    </row>
    <row r="662" spans="1:57">
      <c r="A662" s="1">
        <f>HYPERLINK("https://lsnyc.legalserver.org/matter/dynamic-profile/view/1889570","19-1889570")</f>
        <v>0</v>
      </c>
      <c r="B662" t="s">
        <v>60</v>
      </c>
      <c r="C662" t="s">
        <v>181</v>
      </c>
      <c r="D662" t="s">
        <v>215</v>
      </c>
      <c r="E662" t="s">
        <v>483</v>
      </c>
      <c r="F662" t="s">
        <v>234</v>
      </c>
      <c r="G662" t="s">
        <v>1107</v>
      </c>
      <c r="H662" t="s">
        <v>1438</v>
      </c>
      <c r="J662" t="s">
        <v>2663</v>
      </c>
      <c r="K662" t="s">
        <v>3149</v>
      </c>
      <c r="L662" t="s">
        <v>3335</v>
      </c>
      <c r="M662" t="s">
        <v>3379</v>
      </c>
      <c r="N662">
        <v>11693</v>
      </c>
      <c r="O662" t="s">
        <v>3382</v>
      </c>
      <c r="P662" t="s">
        <v>3380</v>
      </c>
      <c r="Q662" t="s">
        <v>3383</v>
      </c>
      <c r="R662" t="s">
        <v>3902</v>
      </c>
      <c r="S662">
        <v>7</v>
      </c>
      <c r="T662" t="s">
        <v>4199</v>
      </c>
      <c r="U662" t="s">
        <v>4225</v>
      </c>
      <c r="V662" t="s">
        <v>4230</v>
      </c>
      <c r="W662" t="s">
        <v>4245</v>
      </c>
      <c r="X662" t="s">
        <v>3382</v>
      </c>
      <c r="Y662" t="s">
        <v>3382</v>
      </c>
      <c r="AA662" t="s">
        <v>4256</v>
      </c>
      <c r="AB662" t="s">
        <v>4261</v>
      </c>
      <c r="AC662">
        <v>0</v>
      </c>
      <c r="AD662">
        <v>286</v>
      </c>
      <c r="AE662">
        <v>0.25</v>
      </c>
      <c r="AF662" t="s">
        <v>4268</v>
      </c>
      <c r="AG662" t="s">
        <v>4912</v>
      </c>
      <c r="AI662" t="s">
        <v>5944</v>
      </c>
      <c r="AJ662">
        <v>2</v>
      </c>
      <c r="AK662" t="s">
        <v>6274</v>
      </c>
      <c r="AL662">
        <v>2</v>
      </c>
      <c r="AM662">
        <v>0</v>
      </c>
      <c r="AN662">
        <v>52.94</v>
      </c>
      <c r="AQ662" t="s">
        <v>6287</v>
      </c>
      <c r="AR662" t="s">
        <v>6290</v>
      </c>
      <c r="AS662" t="s">
        <v>6299</v>
      </c>
      <c r="AT662">
        <v>8952</v>
      </c>
      <c r="AX662" t="s">
        <v>6416</v>
      </c>
      <c r="BA662" t="s">
        <v>6475</v>
      </c>
      <c r="BD662" t="s">
        <v>226</v>
      </c>
    </row>
    <row r="663" spans="1:57">
      <c r="A663" s="1">
        <f>HYPERLINK("https://lsnyc.legalserver.org/matter/dynamic-profile/view/1915103","19-1915103")</f>
        <v>0</v>
      </c>
      <c r="B663" t="s">
        <v>60</v>
      </c>
      <c r="C663" t="s">
        <v>181</v>
      </c>
      <c r="D663" t="s">
        <v>214</v>
      </c>
      <c r="E663" t="s">
        <v>275</v>
      </c>
      <c r="G663" t="s">
        <v>1081</v>
      </c>
      <c r="H663" t="s">
        <v>1807</v>
      </c>
      <c r="J663" t="s">
        <v>2664</v>
      </c>
      <c r="K663" t="s">
        <v>3249</v>
      </c>
      <c r="L663" t="s">
        <v>3333</v>
      </c>
      <c r="M663" t="s">
        <v>3379</v>
      </c>
      <c r="N663">
        <v>11434</v>
      </c>
      <c r="O663" t="s">
        <v>3380</v>
      </c>
      <c r="P663" t="s">
        <v>3381</v>
      </c>
      <c r="Q663" t="s">
        <v>3384</v>
      </c>
      <c r="R663" t="s">
        <v>3903</v>
      </c>
      <c r="S663">
        <v>17</v>
      </c>
      <c r="T663" t="s">
        <v>4196</v>
      </c>
      <c r="U663" t="s">
        <v>4224</v>
      </c>
      <c r="W663" t="s">
        <v>4246</v>
      </c>
      <c r="X663" t="s">
        <v>3382</v>
      </c>
      <c r="Y663" t="s">
        <v>3382</v>
      </c>
      <c r="AA663" t="s">
        <v>4256</v>
      </c>
      <c r="AC663">
        <v>0</v>
      </c>
      <c r="AD663">
        <v>1382.82</v>
      </c>
      <c r="AE663">
        <v>1.13</v>
      </c>
      <c r="AG663" t="s">
        <v>4913</v>
      </c>
      <c r="AI663" t="s">
        <v>5945</v>
      </c>
      <c r="AJ663">
        <v>200</v>
      </c>
      <c r="AK663" t="s">
        <v>6277</v>
      </c>
      <c r="AL663">
        <v>2</v>
      </c>
      <c r="AM663">
        <v>0</v>
      </c>
      <c r="AN663">
        <v>340.63</v>
      </c>
      <c r="AR663" t="s">
        <v>5312</v>
      </c>
      <c r="AS663" t="s">
        <v>6298</v>
      </c>
      <c r="AT663">
        <v>57600</v>
      </c>
      <c r="AX663" t="s">
        <v>6441</v>
      </c>
      <c r="BA663" t="s">
        <v>6477</v>
      </c>
      <c r="BD663" t="s">
        <v>275</v>
      </c>
      <c r="BE663" t="s">
        <v>6702</v>
      </c>
    </row>
    <row r="664" spans="1:57">
      <c r="A664" s="1">
        <f>HYPERLINK("https://lsnyc.legalserver.org/matter/dynamic-profile/view/1914995","19-1914995")</f>
        <v>0</v>
      </c>
      <c r="B664" t="s">
        <v>60</v>
      </c>
      <c r="C664" t="s">
        <v>181</v>
      </c>
      <c r="D664" t="s">
        <v>214</v>
      </c>
      <c r="E664" t="s">
        <v>237</v>
      </c>
      <c r="G664" t="s">
        <v>1108</v>
      </c>
      <c r="H664" t="s">
        <v>1404</v>
      </c>
      <c r="J664" t="s">
        <v>2665</v>
      </c>
      <c r="K664" t="s">
        <v>3250</v>
      </c>
      <c r="L664" t="s">
        <v>3333</v>
      </c>
      <c r="M664" t="s">
        <v>3379</v>
      </c>
      <c r="N664">
        <v>11433</v>
      </c>
      <c r="O664" t="s">
        <v>3380</v>
      </c>
      <c r="P664" t="s">
        <v>3381</v>
      </c>
      <c r="Q664" t="s">
        <v>3384</v>
      </c>
      <c r="R664" t="s">
        <v>3904</v>
      </c>
      <c r="S664">
        <v>1</v>
      </c>
      <c r="T664" t="s">
        <v>4197</v>
      </c>
      <c r="U664" t="s">
        <v>4224</v>
      </c>
      <c r="W664" t="s">
        <v>4246</v>
      </c>
      <c r="X664" t="s">
        <v>3382</v>
      </c>
      <c r="Y664" t="s">
        <v>3382</v>
      </c>
      <c r="AA664" t="s">
        <v>4256</v>
      </c>
      <c r="AC664">
        <v>0</v>
      </c>
      <c r="AD664">
        <v>2000</v>
      </c>
      <c r="AE664">
        <v>0.33</v>
      </c>
      <c r="AG664" t="s">
        <v>4914</v>
      </c>
      <c r="AI664" t="s">
        <v>5946</v>
      </c>
      <c r="AJ664">
        <v>3</v>
      </c>
      <c r="AK664" t="s">
        <v>6274</v>
      </c>
      <c r="AL664">
        <v>3</v>
      </c>
      <c r="AM664">
        <v>1</v>
      </c>
      <c r="AN664">
        <v>24.98</v>
      </c>
      <c r="AR664" t="s">
        <v>5312</v>
      </c>
      <c r="AS664" t="s">
        <v>6298</v>
      </c>
      <c r="AT664">
        <v>6432</v>
      </c>
      <c r="AX664" t="s">
        <v>6441</v>
      </c>
      <c r="BA664" t="s">
        <v>6485</v>
      </c>
      <c r="BD664" t="s">
        <v>237</v>
      </c>
      <c r="BE664" t="s">
        <v>6702</v>
      </c>
    </row>
    <row r="665" spans="1:57">
      <c r="A665" s="1">
        <f>HYPERLINK("https://lsnyc.legalserver.org/matter/dynamic-profile/view/1915107","19-1915107")</f>
        <v>0</v>
      </c>
      <c r="B665" t="s">
        <v>60</v>
      </c>
      <c r="C665" t="s">
        <v>181</v>
      </c>
      <c r="D665" t="s">
        <v>214</v>
      </c>
      <c r="E665" t="s">
        <v>275</v>
      </c>
      <c r="G665" t="s">
        <v>1077</v>
      </c>
      <c r="H665" t="s">
        <v>1525</v>
      </c>
      <c r="J665" t="s">
        <v>2666</v>
      </c>
      <c r="K665" t="s">
        <v>3251</v>
      </c>
      <c r="L665" t="s">
        <v>3333</v>
      </c>
      <c r="M665" t="s">
        <v>3379</v>
      </c>
      <c r="N665">
        <v>11433</v>
      </c>
      <c r="O665" t="s">
        <v>3380</v>
      </c>
      <c r="P665" t="s">
        <v>3381</v>
      </c>
      <c r="Q665" t="s">
        <v>3384</v>
      </c>
      <c r="R665" t="s">
        <v>3905</v>
      </c>
      <c r="S665">
        <v>30</v>
      </c>
      <c r="T665" t="s">
        <v>4196</v>
      </c>
      <c r="U665" t="s">
        <v>4224</v>
      </c>
      <c r="W665" t="s">
        <v>4246</v>
      </c>
      <c r="X665" t="s">
        <v>3382</v>
      </c>
      <c r="Y665" t="s">
        <v>3382</v>
      </c>
      <c r="AA665" t="s">
        <v>4258</v>
      </c>
      <c r="AC665">
        <v>0</v>
      </c>
      <c r="AD665">
        <v>215</v>
      </c>
      <c r="AE665">
        <v>0.63</v>
      </c>
      <c r="AG665" t="s">
        <v>4915</v>
      </c>
      <c r="AH665" t="s">
        <v>5310</v>
      </c>
      <c r="AI665" t="s">
        <v>5947</v>
      </c>
      <c r="AJ665">
        <v>0</v>
      </c>
      <c r="AK665" t="s">
        <v>6270</v>
      </c>
      <c r="AL665">
        <v>2</v>
      </c>
      <c r="AM665">
        <v>0</v>
      </c>
      <c r="AN665">
        <v>10.92</v>
      </c>
      <c r="AR665" t="s">
        <v>5312</v>
      </c>
      <c r="AS665" t="s">
        <v>6298</v>
      </c>
      <c r="AT665">
        <v>1846</v>
      </c>
      <c r="AX665" t="s">
        <v>6441</v>
      </c>
      <c r="BA665" t="s">
        <v>6564</v>
      </c>
      <c r="BD665" t="s">
        <v>217</v>
      </c>
      <c r="BE665" t="s">
        <v>6703</v>
      </c>
    </row>
    <row r="666" spans="1:57">
      <c r="A666" s="1">
        <f>HYPERLINK("https://lsnyc.legalserver.org/matter/dynamic-profile/view/1912947","19-1912947")</f>
        <v>0</v>
      </c>
      <c r="B666" t="s">
        <v>60</v>
      </c>
      <c r="C666" t="s">
        <v>181</v>
      </c>
      <c r="D666" t="s">
        <v>214</v>
      </c>
      <c r="E666" t="s">
        <v>305</v>
      </c>
      <c r="G666" t="s">
        <v>1109</v>
      </c>
      <c r="H666" t="s">
        <v>1578</v>
      </c>
      <c r="J666" t="s">
        <v>2667</v>
      </c>
      <c r="L666" t="s">
        <v>3336</v>
      </c>
      <c r="M666" t="s">
        <v>3379</v>
      </c>
      <c r="N666">
        <v>11429</v>
      </c>
      <c r="O666" t="s">
        <v>3380</v>
      </c>
      <c r="P666" t="s">
        <v>3381</v>
      </c>
      <c r="Q666" t="s">
        <v>3383</v>
      </c>
      <c r="R666" t="s">
        <v>3906</v>
      </c>
      <c r="S666">
        <v>6</v>
      </c>
      <c r="T666" t="s">
        <v>4197</v>
      </c>
      <c r="W666" t="s">
        <v>4245</v>
      </c>
      <c r="X666" t="s">
        <v>3382</v>
      </c>
      <c r="AA666" t="s">
        <v>4256</v>
      </c>
      <c r="AC666">
        <v>0</v>
      </c>
      <c r="AD666">
        <v>1019</v>
      </c>
      <c r="AE666">
        <v>1.5</v>
      </c>
      <c r="AG666" t="s">
        <v>4916</v>
      </c>
      <c r="AI666" t="s">
        <v>5948</v>
      </c>
      <c r="AJ666">
        <v>2</v>
      </c>
      <c r="AL666">
        <v>1</v>
      </c>
      <c r="AM666">
        <v>0</v>
      </c>
      <c r="AN666">
        <v>76.48</v>
      </c>
      <c r="AR666" t="s">
        <v>6290</v>
      </c>
      <c r="AT666">
        <v>9552</v>
      </c>
      <c r="AX666" t="s">
        <v>196</v>
      </c>
      <c r="BA666" t="s">
        <v>6499</v>
      </c>
      <c r="BD666" t="s">
        <v>305</v>
      </c>
    </row>
    <row r="667" spans="1:57">
      <c r="A667" s="1">
        <f>HYPERLINK("https://lsnyc.legalserver.org/matter/dynamic-profile/view/1843403","17-1843403")</f>
        <v>0</v>
      </c>
      <c r="B667" t="s">
        <v>60</v>
      </c>
      <c r="C667" t="s">
        <v>181</v>
      </c>
      <c r="D667" t="s">
        <v>214</v>
      </c>
      <c r="E667" t="s">
        <v>484</v>
      </c>
      <c r="G667" t="s">
        <v>1110</v>
      </c>
      <c r="H667" t="s">
        <v>1808</v>
      </c>
      <c r="J667" t="s">
        <v>2668</v>
      </c>
      <c r="K667" t="s">
        <v>3047</v>
      </c>
      <c r="L667" t="s">
        <v>3337</v>
      </c>
      <c r="M667" t="s">
        <v>3379</v>
      </c>
      <c r="N667">
        <v>11417</v>
      </c>
      <c r="O667" t="s">
        <v>3381</v>
      </c>
      <c r="P667" t="s">
        <v>3381</v>
      </c>
      <c r="Q667" t="s">
        <v>3386</v>
      </c>
      <c r="R667" t="s">
        <v>3907</v>
      </c>
      <c r="S667">
        <v>1</v>
      </c>
      <c r="T667" t="s">
        <v>4197</v>
      </c>
      <c r="U667" t="s">
        <v>4223</v>
      </c>
      <c r="W667" t="s">
        <v>4245</v>
      </c>
      <c r="X667" t="s">
        <v>3382</v>
      </c>
      <c r="Y667" t="s">
        <v>3382</v>
      </c>
      <c r="AA667" t="s">
        <v>4256</v>
      </c>
      <c r="AC667">
        <v>1300</v>
      </c>
      <c r="AD667">
        <v>1300</v>
      </c>
      <c r="AE667">
        <v>74.7</v>
      </c>
      <c r="AF667" t="s">
        <v>4275</v>
      </c>
      <c r="AG667" t="s">
        <v>4917</v>
      </c>
      <c r="AI667" t="s">
        <v>5949</v>
      </c>
      <c r="AJ667">
        <v>2</v>
      </c>
      <c r="AK667" t="s">
        <v>6274</v>
      </c>
      <c r="AL667">
        <v>2</v>
      </c>
      <c r="AM667">
        <v>3</v>
      </c>
      <c r="AN667">
        <v>76.79000000000001</v>
      </c>
      <c r="AR667" t="s">
        <v>5312</v>
      </c>
      <c r="AS667" t="s">
        <v>6298</v>
      </c>
      <c r="AT667">
        <v>22100</v>
      </c>
      <c r="AX667" t="s">
        <v>193</v>
      </c>
      <c r="BA667" t="s">
        <v>6473</v>
      </c>
      <c r="BD667" t="s">
        <v>6665</v>
      </c>
    </row>
    <row r="668" spans="1:57">
      <c r="A668" s="1">
        <f>HYPERLINK("https://lsnyc.legalserver.org/matter/dynamic-profile/view/1913116","19-1913116")</f>
        <v>0</v>
      </c>
      <c r="B668" t="s">
        <v>60</v>
      </c>
      <c r="C668" t="s">
        <v>181</v>
      </c>
      <c r="D668" t="s">
        <v>214</v>
      </c>
      <c r="E668" t="s">
        <v>259</v>
      </c>
      <c r="G668" t="s">
        <v>614</v>
      </c>
      <c r="H668" t="s">
        <v>1809</v>
      </c>
      <c r="J668" t="s">
        <v>2669</v>
      </c>
      <c r="K668" t="s">
        <v>3252</v>
      </c>
      <c r="L668" t="s">
        <v>3338</v>
      </c>
      <c r="M668" t="s">
        <v>3379</v>
      </c>
      <c r="N668">
        <v>11385</v>
      </c>
      <c r="O668" t="s">
        <v>3380</v>
      </c>
      <c r="P668" t="s">
        <v>3381</v>
      </c>
      <c r="Q668" t="s">
        <v>3384</v>
      </c>
      <c r="R668" t="s">
        <v>3908</v>
      </c>
      <c r="S668">
        <v>3</v>
      </c>
      <c r="T668" t="s">
        <v>4197</v>
      </c>
      <c r="U668" t="s">
        <v>4223</v>
      </c>
      <c r="W668" t="s">
        <v>4246</v>
      </c>
      <c r="X668" t="s">
        <v>3382</v>
      </c>
      <c r="AA668" t="s">
        <v>4256</v>
      </c>
      <c r="AC668">
        <v>0</v>
      </c>
      <c r="AD668">
        <v>900</v>
      </c>
      <c r="AE668">
        <v>1.87</v>
      </c>
      <c r="AG668" t="s">
        <v>4918</v>
      </c>
      <c r="AI668" t="s">
        <v>5950</v>
      </c>
      <c r="AJ668">
        <v>4</v>
      </c>
      <c r="AK668" t="s">
        <v>6274</v>
      </c>
      <c r="AL668">
        <v>3</v>
      </c>
      <c r="AM668">
        <v>0</v>
      </c>
      <c r="AN668">
        <v>191.37</v>
      </c>
      <c r="AR668" t="s">
        <v>5312</v>
      </c>
      <c r="AS668" t="s">
        <v>6299</v>
      </c>
      <c r="AT668">
        <v>40820</v>
      </c>
      <c r="AX668" t="s">
        <v>6441</v>
      </c>
      <c r="BA668" t="s">
        <v>6477</v>
      </c>
      <c r="BD668" t="s">
        <v>275</v>
      </c>
      <c r="BE668" t="s">
        <v>6702</v>
      </c>
    </row>
    <row r="669" spans="1:57">
      <c r="A669" s="1">
        <f>HYPERLINK("https://lsnyc.legalserver.org/matter/dynamic-profile/view/1888967","19-1888967")</f>
        <v>0</v>
      </c>
      <c r="B669" t="s">
        <v>60</v>
      </c>
      <c r="C669" t="s">
        <v>181</v>
      </c>
      <c r="D669" t="s">
        <v>215</v>
      </c>
      <c r="E669" t="s">
        <v>485</v>
      </c>
      <c r="F669" t="s">
        <v>234</v>
      </c>
      <c r="G669" t="s">
        <v>1111</v>
      </c>
      <c r="H669" t="s">
        <v>1810</v>
      </c>
      <c r="J669" t="s">
        <v>2670</v>
      </c>
      <c r="K669" t="s">
        <v>3082</v>
      </c>
      <c r="L669" t="s">
        <v>3339</v>
      </c>
      <c r="M669" t="s">
        <v>3379</v>
      </c>
      <c r="N669">
        <v>11378</v>
      </c>
      <c r="O669" t="s">
        <v>3382</v>
      </c>
      <c r="P669" t="s">
        <v>3380</v>
      </c>
      <c r="Q669" t="s">
        <v>3383</v>
      </c>
      <c r="R669" t="s">
        <v>3909</v>
      </c>
      <c r="S669">
        <v>1</v>
      </c>
      <c r="T669" t="s">
        <v>4196</v>
      </c>
      <c r="U669" t="s">
        <v>4225</v>
      </c>
      <c r="V669" t="s">
        <v>4230</v>
      </c>
      <c r="W669" t="s">
        <v>4245</v>
      </c>
      <c r="X669" t="s">
        <v>3382</v>
      </c>
      <c r="Y669" t="s">
        <v>3382</v>
      </c>
      <c r="AA669" t="s">
        <v>4256</v>
      </c>
      <c r="AB669" t="s">
        <v>4261</v>
      </c>
      <c r="AC669">
        <v>0</v>
      </c>
      <c r="AD669">
        <v>1500</v>
      </c>
      <c r="AE669">
        <v>0.25</v>
      </c>
      <c r="AF669" t="s">
        <v>4268</v>
      </c>
      <c r="AG669" t="s">
        <v>4919</v>
      </c>
      <c r="AI669" t="s">
        <v>5951</v>
      </c>
      <c r="AJ669">
        <v>26</v>
      </c>
      <c r="AK669" t="s">
        <v>6267</v>
      </c>
      <c r="AL669">
        <v>1</v>
      </c>
      <c r="AM669">
        <v>0</v>
      </c>
      <c r="AN669">
        <v>0</v>
      </c>
      <c r="AQ669" t="s">
        <v>6287</v>
      </c>
      <c r="AR669" t="s">
        <v>5312</v>
      </c>
      <c r="AS669" t="s">
        <v>6298</v>
      </c>
      <c r="AT669">
        <v>0</v>
      </c>
      <c r="AX669" t="s">
        <v>6416</v>
      </c>
      <c r="BA669" t="s">
        <v>6479</v>
      </c>
      <c r="BD669" t="s">
        <v>226</v>
      </c>
    </row>
    <row r="670" spans="1:57">
      <c r="A670" s="1">
        <f>HYPERLINK("https://lsnyc.legalserver.org/matter/dynamic-profile/view/1908517","19-1908517")</f>
        <v>0</v>
      </c>
      <c r="B670" t="s">
        <v>60</v>
      </c>
      <c r="C670" t="s">
        <v>181</v>
      </c>
      <c r="D670" t="s">
        <v>214</v>
      </c>
      <c r="E670" t="s">
        <v>301</v>
      </c>
      <c r="G670" t="s">
        <v>1112</v>
      </c>
      <c r="H670" t="s">
        <v>1811</v>
      </c>
      <c r="J670" t="s">
        <v>2671</v>
      </c>
      <c r="K670" t="s">
        <v>3253</v>
      </c>
      <c r="L670" t="s">
        <v>3340</v>
      </c>
      <c r="M670" t="s">
        <v>3379</v>
      </c>
      <c r="N670">
        <v>11377</v>
      </c>
      <c r="O670" t="s">
        <v>3380</v>
      </c>
      <c r="P670" t="s">
        <v>3381</v>
      </c>
      <c r="Q670" t="s">
        <v>3383</v>
      </c>
      <c r="R670" t="s">
        <v>3910</v>
      </c>
      <c r="S670">
        <v>10</v>
      </c>
      <c r="T670" t="s">
        <v>4196</v>
      </c>
      <c r="U670" t="s">
        <v>4224</v>
      </c>
      <c r="W670" t="s">
        <v>4245</v>
      </c>
      <c r="X670" t="s">
        <v>3382</v>
      </c>
      <c r="Y670" t="s">
        <v>3382</v>
      </c>
      <c r="AA670" t="s">
        <v>4256</v>
      </c>
      <c r="AB670" t="s">
        <v>4261</v>
      </c>
      <c r="AC670">
        <v>0</v>
      </c>
      <c r="AD670">
        <v>1399</v>
      </c>
      <c r="AE670">
        <v>8</v>
      </c>
      <c r="AG670" t="s">
        <v>4920</v>
      </c>
      <c r="AH670" t="s">
        <v>5311</v>
      </c>
      <c r="AI670" t="s">
        <v>5952</v>
      </c>
      <c r="AJ670">
        <v>6</v>
      </c>
      <c r="AK670" t="s">
        <v>6267</v>
      </c>
      <c r="AL670">
        <v>2</v>
      </c>
      <c r="AM670">
        <v>0</v>
      </c>
      <c r="AN670">
        <v>97.76000000000001</v>
      </c>
      <c r="AR670" t="s">
        <v>6293</v>
      </c>
      <c r="AS670" t="s">
        <v>6299</v>
      </c>
      <c r="AT670">
        <v>16532</v>
      </c>
      <c r="AX670" t="s">
        <v>184</v>
      </c>
      <c r="BA670" t="s">
        <v>6515</v>
      </c>
      <c r="BD670" t="s">
        <v>293</v>
      </c>
      <c r="BE670" t="s">
        <v>6702</v>
      </c>
    </row>
    <row r="671" spans="1:57">
      <c r="A671" s="1">
        <f>HYPERLINK("https://lsnyc.legalserver.org/matter/dynamic-profile/view/1884811","18-1884811")</f>
        <v>0</v>
      </c>
      <c r="B671" t="s">
        <v>60</v>
      </c>
      <c r="C671" t="s">
        <v>181</v>
      </c>
      <c r="D671" t="s">
        <v>215</v>
      </c>
      <c r="E671" t="s">
        <v>374</v>
      </c>
      <c r="F671" t="s">
        <v>234</v>
      </c>
      <c r="G671" t="s">
        <v>1113</v>
      </c>
      <c r="H671" t="s">
        <v>1812</v>
      </c>
      <c r="J671" t="s">
        <v>2672</v>
      </c>
      <c r="K671" t="s">
        <v>3254</v>
      </c>
      <c r="L671" t="s">
        <v>3341</v>
      </c>
      <c r="M671" t="s">
        <v>3379</v>
      </c>
      <c r="N671">
        <v>11373</v>
      </c>
      <c r="O671" t="s">
        <v>3382</v>
      </c>
      <c r="P671" t="s">
        <v>3382</v>
      </c>
      <c r="Q671" t="s">
        <v>3394</v>
      </c>
      <c r="S671">
        <v>8</v>
      </c>
      <c r="T671" t="s">
        <v>4203</v>
      </c>
      <c r="U671" t="s">
        <v>4225</v>
      </c>
      <c r="V671" t="s">
        <v>4230</v>
      </c>
      <c r="W671" t="s">
        <v>4246</v>
      </c>
      <c r="X671" t="s">
        <v>3382</v>
      </c>
      <c r="Y671" t="s">
        <v>3382</v>
      </c>
      <c r="AA671" t="s">
        <v>4256</v>
      </c>
      <c r="AB671" t="s">
        <v>4261</v>
      </c>
      <c r="AC671">
        <v>0</v>
      </c>
      <c r="AD671">
        <v>1050</v>
      </c>
      <c r="AE671">
        <v>0.8</v>
      </c>
      <c r="AF671" t="s">
        <v>4268</v>
      </c>
      <c r="AG671" t="s">
        <v>4921</v>
      </c>
      <c r="AI671" t="s">
        <v>5953</v>
      </c>
      <c r="AJ671">
        <v>126</v>
      </c>
      <c r="AK671" t="s">
        <v>6267</v>
      </c>
      <c r="AL671">
        <v>2</v>
      </c>
      <c r="AM671">
        <v>0</v>
      </c>
      <c r="AN671">
        <v>145.81</v>
      </c>
      <c r="AQ671" t="s">
        <v>6287</v>
      </c>
      <c r="AR671" t="s">
        <v>5312</v>
      </c>
      <c r="AS671" t="s">
        <v>6299</v>
      </c>
      <c r="AT671">
        <v>24000</v>
      </c>
      <c r="AX671" t="s">
        <v>6416</v>
      </c>
      <c r="BA671" t="s">
        <v>6482</v>
      </c>
      <c r="BD671" t="s">
        <v>372</v>
      </c>
    </row>
    <row r="672" spans="1:57">
      <c r="A672" s="1">
        <f>HYPERLINK("https://lsnyc.legalserver.org/matter/dynamic-profile/view/1912314","19-1912314")</f>
        <v>0</v>
      </c>
      <c r="B672" t="s">
        <v>60</v>
      </c>
      <c r="C672" t="s">
        <v>181</v>
      </c>
      <c r="D672" t="s">
        <v>214</v>
      </c>
      <c r="E672" t="s">
        <v>248</v>
      </c>
      <c r="G672" t="s">
        <v>1114</v>
      </c>
      <c r="H672" t="s">
        <v>1813</v>
      </c>
      <c r="J672" t="s">
        <v>2673</v>
      </c>
      <c r="L672" t="s">
        <v>3342</v>
      </c>
      <c r="M672" t="s">
        <v>3379</v>
      </c>
      <c r="N672">
        <v>11370</v>
      </c>
      <c r="O672" t="s">
        <v>3382</v>
      </c>
      <c r="P672" t="s">
        <v>3381</v>
      </c>
      <c r="Q672" t="s">
        <v>3394</v>
      </c>
      <c r="R672" t="s">
        <v>3911</v>
      </c>
      <c r="S672">
        <v>28</v>
      </c>
      <c r="T672" t="s">
        <v>4197</v>
      </c>
      <c r="U672" t="s">
        <v>4225</v>
      </c>
      <c r="W672" t="s">
        <v>4245</v>
      </c>
      <c r="X672" t="s">
        <v>3382</v>
      </c>
      <c r="Y672" t="s">
        <v>3382</v>
      </c>
      <c r="AA672" t="s">
        <v>4256</v>
      </c>
      <c r="AB672" t="s">
        <v>4261</v>
      </c>
      <c r="AC672">
        <v>0</v>
      </c>
      <c r="AD672">
        <v>925</v>
      </c>
      <c r="AE672">
        <v>4.45</v>
      </c>
      <c r="AG672" t="s">
        <v>4922</v>
      </c>
      <c r="AI672" t="s">
        <v>5954</v>
      </c>
      <c r="AJ672">
        <v>0</v>
      </c>
      <c r="AK672" t="s">
        <v>6274</v>
      </c>
      <c r="AL672">
        <v>1</v>
      </c>
      <c r="AM672">
        <v>0</v>
      </c>
      <c r="AN672">
        <v>148.82</v>
      </c>
      <c r="AR672" t="s">
        <v>5312</v>
      </c>
      <c r="AT672">
        <v>18588</v>
      </c>
      <c r="AX672" t="s">
        <v>196</v>
      </c>
      <c r="BA672" t="s">
        <v>6487</v>
      </c>
      <c r="BD672" t="s">
        <v>218</v>
      </c>
    </row>
    <row r="673" spans="1:57">
      <c r="A673" s="1">
        <f>HYPERLINK("https://lsnyc.legalserver.org/matter/dynamic-profile/view/1909554","19-1909554")</f>
        <v>0</v>
      </c>
      <c r="B673" t="s">
        <v>60</v>
      </c>
      <c r="C673" t="s">
        <v>181</v>
      </c>
      <c r="D673" t="s">
        <v>214</v>
      </c>
      <c r="E673" t="s">
        <v>304</v>
      </c>
      <c r="G673" t="s">
        <v>1115</v>
      </c>
      <c r="H673" t="s">
        <v>931</v>
      </c>
      <c r="J673" t="s">
        <v>2674</v>
      </c>
      <c r="K673" t="s">
        <v>3255</v>
      </c>
      <c r="L673" t="s">
        <v>3343</v>
      </c>
      <c r="M673" t="s">
        <v>3379</v>
      </c>
      <c r="N673">
        <v>11368</v>
      </c>
      <c r="O673" t="s">
        <v>3380</v>
      </c>
      <c r="P673" t="s">
        <v>3381</v>
      </c>
      <c r="Q673" t="s">
        <v>3383</v>
      </c>
      <c r="R673" t="s">
        <v>3912</v>
      </c>
      <c r="S673">
        <v>5</v>
      </c>
      <c r="T673" t="s">
        <v>4196</v>
      </c>
      <c r="U673" t="s">
        <v>4224</v>
      </c>
      <c r="W673" t="s">
        <v>4245</v>
      </c>
      <c r="X673" t="s">
        <v>3382</v>
      </c>
      <c r="Y673" t="s">
        <v>3382</v>
      </c>
      <c r="AA673" t="s">
        <v>4256</v>
      </c>
      <c r="AB673" t="s">
        <v>4261</v>
      </c>
      <c r="AC673">
        <v>0</v>
      </c>
      <c r="AD673">
        <v>2386</v>
      </c>
      <c r="AE673">
        <v>3.3</v>
      </c>
      <c r="AG673" t="s">
        <v>4923</v>
      </c>
      <c r="AI673" t="s">
        <v>5955</v>
      </c>
      <c r="AJ673">
        <v>400</v>
      </c>
      <c r="AK673" t="s">
        <v>6267</v>
      </c>
      <c r="AL673">
        <v>4</v>
      </c>
      <c r="AM673">
        <v>0</v>
      </c>
      <c r="AN673">
        <v>87.15000000000001</v>
      </c>
      <c r="AR673" t="s">
        <v>5312</v>
      </c>
      <c r="AT673">
        <v>22440</v>
      </c>
      <c r="AX673" t="s">
        <v>196</v>
      </c>
      <c r="BA673" t="s">
        <v>6537</v>
      </c>
      <c r="BD673" t="s">
        <v>267</v>
      </c>
      <c r="BE673" t="s">
        <v>6702</v>
      </c>
    </row>
    <row r="674" spans="1:57">
      <c r="A674" s="1">
        <f>HYPERLINK("https://lsnyc.legalserver.org/matter/dynamic-profile/view/1864796","18-1864796")</f>
        <v>0</v>
      </c>
      <c r="B674" t="s">
        <v>60</v>
      </c>
      <c r="C674" t="s">
        <v>181</v>
      </c>
      <c r="D674" t="s">
        <v>214</v>
      </c>
      <c r="E674" t="s">
        <v>486</v>
      </c>
      <c r="G674" t="s">
        <v>1116</v>
      </c>
      <c r="H674" t="s">
        <v>1814</v>
      </c>
      <c r="J674" t="s">
        <v>2675</v>
      </c>
      <c r="K674" t="s">
        <v>3256</v>
      </c>
      <c r="L674" t="s">
        <v>3344</v>
      </c>
      <c r="M674" t="s">
        <v>3379</v>
      </c>
      <c r="N674">
        <v>11364</v>
      </c>
      <c r="O674" t="s">
        <v>3380</v>
      </c>
      <c r="P674" t="s">
        <v>3381</v>
      </c>
      <c r="Q674" t="s">
        <v>3383</v>
      </c>
      <c r="R674" t="s">
        <v>3913</v>
      </c>
      <c r="S674">
        <v>10</v>
      </c>
      <c r="T674" t="s">
        <v>4196</v>
      </c>
      <c r="U674" t="s">
        <v>4223</v>
      </c>
      <c r="W674" t="s">
        <v>4245</v>
      </c>
      <c r="X674" t="s">
        <v>3382</v>
      </c>
      <c r="Y674" t="s">
        <v>3382</v>
      </c>
      <c r="AA674" t="s">
        <v>4256</v>
      </c>
      <c r="AC674">
        <v>992.52</v>
      </c>
      <c r="AD674">
        <v>992.52</v>
      </c>
      <c r="AE674">
        <v>50.15</v>
      </c>
      <c r="AG674" t="s">
        <v>4434</v>
      </c>
      <c r="AH674" t="s">
        <v>3406</v>
      </c>
      <c r="AI674" t="s">
        <v>5956</v>
      </c>
      <c r="AJ674">
        <v>4</v>
      </c>
      <c r="AK674" t="s">
        <v>6267</v>
      </c>
      <c r="AL674">
        <v>2</v>
      </c>
      <c r="AM674">
        <v>0</v>
      </c>
      <c r="AN674">
        <v>0</v>
      </c>
      <c r="AQ674" t="s">
        <v>6287</v>
      </c>
      <c r="AR674" t="s">
        <v>5312</v>
      </c>
      <c r="AS674" t="s">
        <v>6298</v>
      </c>
      <c r="AT674">
        <v>0</v>
      </c>
      <c r="AU674" t="s">
        <v>3406</v>
      </c>
      <c r="AV674" t="s">
        <v>3380</v>
      </c>
      <c r="AX674" t="s">
        <v>6442</v>
      </c>
      <c r="BA674" t="s">
        <v>6479</v>
      </c>
      <c r="BD674" t="s">
        <v>223</v>
      </c>
    </row>
    <row r="675" spans="1:57">
      <c r="A675" s="1">
        <f>HYPERLINK("https://lsnyc.legalserver.org/matter/dynamic-profile/view/1897277","19-1897277")</f>
        <v>0</v>
      </c>
      <c r="B675" t="s">
        <v>60</v>
      </c>
      <c r="C675" t="s">
        <v>182</v>
      </c>
      <c r="D675" t="s">
        <v>214</v>
      </c>
      <c r="E675" t="s">
        <v>332</v>
      </c>
      <c r="G675" t="s">
        <v>1117</v>
      </c>
      <c r="H675" t="s">
        <v>1815</v>
      </c>
      <c r="J675" t="s">
        <v>2676</v>
      </c>
      <c r="K675" t="s">
        <v>3257</v>
      </c>
      <c r="L675" t="s">
        <v>3333</v>
      </c>
      <c r="M675" t="s">
        <v>3379</v>
      </c>
      <c r="N675">
        <v>11434</v>
      </c>
      <c r="O675" t="s">
        <v>3380</v>
      </c>
      <c r="P675" t="s">
        <v>3380</v>
      </c>
      <c r="Q675" t="s">
        <v>3384</v>
      </c>
      <c r="R675" t="s">
        <v>3914</v>
      </c>
      <c r="S675">
        <v>1</v>
      </c>
      <c r="T675" t="s">
        <v>4197</v>
      </c>
      <c r="U675" t="s">
        <v>4223</v>
      </c>
      <c r="W675" t="s">
        <v>4246</v>
      </c>
      <c r="X675" t="s">
        <v>3382</v>
      </c>
      <c r="Y675" t="s">
        <v>3382</v>
      </c>
      <c r="AA675" t="s">
        <v>4256</v>
      </c>
      <c r="AB675" t="s">
        <v>4261</v>
      </c>
      <c r="AC675">
        <v>0</v>
      </c>
      <c r="AD675">
        <v>1268</v>
      </c>
      <c r="AE675">
        <v>20</v>
      </c>
      <c r="AG675" t="s">
        <v>4924</v>
      </c>
      <c r="AI675" t="s">
        <v>5957</v>
      </c>
      <c r="AJ675">
        <v>85</v>
      </c>
      <c r="AK675" t="s">
        <v>6267</v>
      </c>
      <c r="AL675">
        <v>1</v>
      </c>
      <c r="AM675">
        <v>1</v>
      </c>
      <c r="AN675">
        <v>0</v>
      </c>
      <c r="AR675" t="s">
        <v>6289</v>
      </c>
      <c r="AS675" t="s">
        <v>6298</v>
      </c>
      <c r="AT675">
        <v>0</v>
      </c>
      <c r="AX675" t="s">
        <v>192</v>
      </c>
      <c r="BA675" t="s">
        <v>6479</v>
      </c>
      <c r="BD675" t="s">
        <v>219</v>
      </c>
    </row>
    <row r="676" spans="1:57">
      <c r="A676" s="1">
        <f>HYPERLINK("https://lsnyc.legalserver.org/matter/dynamic-profile/view/1899451","19-1899451")</f>
        <v>0</v>
      </c>
      <c r="B676" t="s">
        <v>60</v>
      </c>
      <c r="C676" t="s">
        <v>182</v>
      </c>
      <c r="D676" t="s">
        <v>214</v>
      </c>
      <c r="E676" t="s">
        <v>254</v>
      </c>
      <c r="G676" t="s">
        <v>835</v>
      </c>
      <c r="H676" t="s">
        <v>1496</v>
      </c>
      <c r="J676" t="s">
        <v>2677</v>
      </c>
      <c r="K676" t="s">
        <v>3060</v>
      </c>
      <c r="L676" t="s">
        <v>3333</v>
      </c>
      <c r="M676" t="s">
        <v>3379</v>
      </c>
      <c r="N676">
        <v>11434</v>
      </c>
      <c r="O676" t="s">
        <v>3380</v>
      </c>
      <c r="P676" t="s">
        <v>3381</v>
      </c>
      <c r="Q676" t="s">
        <v>3384</v>
      </c>
      <c r="R676" t="s">
        <v>3915</v>
      </c>
      <c r="S676">
        <v>26</v>
      </c>
      <c r="T676" t="s">
        <v>4196</v>
      </c>
      <c r="U676" t="s">
        <v>4223</v>
      </c>
      <c r="W676" t="s">
        <v>4246</v>
      </c>
      <c r="X676" t="s">
        <v>3382</v>
      </c>
      <c r="Y676" t="s">
        <v>3382</v>
      </c>
      <c r="AA676" t="s">
        <v>4256</v>
      </c>
      <c r="AB676" t="s">
        <v>4261</v>
      </c>
      <c r="AC676">
        <v>0</v>
      </c>
      <c r="AD676">
        <v>1020.36</v>
      </c>
      <c r="AE676">
        <v>7.68</v>
      </c>
      <c r="AG676" t="s">
        <v>4925</v>
      </c>
      <c r="AI676" t="s">
        <v>5448</v>
      </c>
      <c r="AJ676">
        <v>0</v>
      </c>
      <c r="AK676" t="s">
        <v>6277</v>
      </c>
      <c r="AL676">
        <v>2</v>
      </c>
      <c r="AM676">
        <v>0</v>
      </c>
      <c r="AN676">
        <v>358.37</v>
      </c>
      <c r="AO676" t="s">
        <v>323</v>
      </c>
      <c r="AP676" t="s">
        <v>6283</v>
      </c>
      <c r="AR676" t="s">
        <v>5312</v>
      </c>
      <c r="AS676" t="s">
        <v>6298</v>
      </c>
      <c r="AT676">
        <v>60600</v>
      </c>
      <c r="AX676" t="s">
        <v>184</v>
      </c>
      <c r="BA676" t="s">
        <v>6477</v>
      </c>
      <c r="BD676" t="s">
        <v>219</v>
      </c>
      <c r="BE676" t="s">
        <v>6702</v>
      </c>
    </row>
    <row r="677" spans="1:57">
      <c r="A677" s="1">
        <f>HYPERLINK("https://lsnyc.legalserver.org/matter/dynamic-profile/view/1895879","19-1895879")</f>
        <v>0</v>
      </c>
      <c r="B677" t="s">
        <v>60</v>
      </c>
      <c r="C677" t="s">
        <v>182</v>
      </c>
      <c r="D677" t="s">
        <v>214</v>
      </c>
      <c r="E677" t="s">
        <v>336</v>
      </c>
      <c r="G677" t="s">
        <v>690</v>
      </c>
      <c r="H677" t="s">
        <v>1816</v>
      </c>
      <c r="J677" t="s">
        <v>2678</v>
      </c>
      <c r="K677" t="s">
        <v>3091</v>
      </c>
      <c r="L677" t="s">
        <v>3333</v>
      </c>
      <c r="M677" t="s">
        <v>3379</v>
      </c>
      <c r="N677">
        <v>11433</v>
      </c>
      <c r="O677" t="s">
        <v>3380</v>
      </c>
      <c r="P677" t="s">
        <v>3380</v>
      </c>
      <c r="Q677" t="s">
        <v>3384</v>
      </c>
      <c r="R677" t="s">
        <v>3916</v>
      </c>
      <c r="S677">
        <v>8</v>
      </c>
      <c r="T677" t="s">
        <v>4197</v>
      </c>
      <c r="U677" t="s">
        <v>4223</v>
      </c>
      <c r="W677" t="s">
        <v>4246</v>
      </c>
      <c r="X677" t="s">
        <v>3382</v>
      </c>
      <c r="Y677" t="s">
        <v>3382</v>
      </c>
      <c r="AA677" t="s">
        <v>4258</v>
      </c>
      <c r="AB677" t="s">
        <v>4261</v>
      </c>
      <c r="AC677">
        <v>0</v>
      </c>
      <c r="AD677">
        <v>0</v>
      </c>
      <c r="AE677">
        <v>20.5</v>
      </c>
      <c r="AG677" t="s">
        <v>4579</v>
      </c>
      <c r="AI677" t="s">
        <v>5958</v>
      </c>
      <c r="AJ677">
        <v>0</v>
      </c>
      <c r="AK677" t="s">
        <v>6278</v>
      </c>
      <c r="AL677">
        <v>1</v>
      </c>
      <c r="AM677">
        <v>0</v>
      </c>
      <c r="AN677">
        <v>200.16</v>
      </c>
      <c r="AR677" t="s">
        <v>5312</v>
      </c>
      <c r="AS677" t="s">
        <v>6298</v>
      </c>
      <c r="AT677">
        <v>25000</v>
      </c>
      <c r="AX677" t="s">
        <v>6396</v>
      </c>
      <c r="BA677" t="s">
        <v>6477</v>
      </c>
      <c r="BD677" t="s">
        <v>224</v>
      </c>
    </row>
    <row r="678" spans="1:57">
      <c r="A678" s="1">
        <f>HYPERLINK("https://lsnyc.legalserver.org/matter/dynamic-profile/view/1902402","19-1902402")</f>
        <v>0</v>
      </c>
      <c r="B678" t="s">
        <v>60</v>
      </c>
      <c r="C678" t="s">
        <v>182</v>
      </c>
      <c r="D678" t="s">
        <v>214</v>
      </c>
      <c r="E678" t="s">
        <v>263</v>
      </c>
      <c r="G678" t="s">
        <v>1118</v>
      </c>
      <c r="H678" t="s">
        <v>1332</v>
      </c>
      <c r="J678" t="s">
        <v>2679</v>
      </c>
      <c r="K678" t="s">
        <v>3258</v>
      </c>
      <c r="L678" t="s">
        <v>3333</v>
      </c>
      <c r="M678" t="s">
        <v>3379</v>
      </c>
      <c r="N678">
        <v>11433</v>
      </c>
      <c r="O678" t="s">
        <v>3380</v>
      </c>
      <c r="P678" t="s">
        <v>3381</v>
      </c>
      <c r="Q678" t="s">
        <v>3384</v>
      </c>
      <c r="R678" t="s">
        <v>3917</v>
      </c>
      <c r="S678">
        <v>1</v>
      </c>
      <c r="T678" t="s">
        <v>4197</v>
      </c>
      <c r="U678" t="s">
        <v>4223</v>
      </c>
      <c r="W678" t="s">
        <v>4246</v>
      </c>
      <c r="X678" t="s">
        <v>3382</v>
      </c>
      <c r="Y678" t="s">
        <v>3382</v>
      </c>
      <c r="AA678" t="s">
        <v>4256</v>
      </c>
      <c r="AC678">
        <v>0</v>
      </c>
      <c r="AD678">
        <v>800</v>
      </c>
      <c r="AE678">
        <v>8.34</v>
      </c>
      <c r="AG678" t="s">
        <v>4926</v>
      </c>
      <c r="AH678" t="s">
        <v>5312</v>
      </c>
      <c r="AI678" t="s">
        <v>5959</v>
      </c>
      <c r="AJ678">
        <v>0</v>
      </c>
      <c r="AK678" t="s">
        <v>6274</v>
      </c>
      <c r="AL678">
        <v>1</v>
      </c>
      <c r="AM678">
        <v>0</v>
      </c>
      <c r="AN678">
        <v>96.08</v>
      </c>
      <c r="AR678" t="s">
        <v>5312</v>
      </c>
      <c r="AS678" t="s">
        <v>6299</v>
      </c>
      <c r="AT678">
        <v>12000</v>
      </c>
      <c r="AX678" t="s">
        <v>6441</v>
      </c>
      <c r="BA678" t="s">
        <v>6477</v>
      </c>
      <c r="BD678" t="s">
        <v>366</v>
      </c>
      <c r="BE678" t="s">
        <v>6702</v>
      </c>
    </row>
    <row r="679" spans="1:57">
      <c r="A679" s="1">
        <f>HYPERLINK("https://lsnyc.legalserver.org/matter/dynamic-profile/view/1914018","19-1914018")</f>
        <v>0</v>
      </c>
      <c r="B679" t="s">
        <v>60</v>
      </c>
      <c r="C679" t="s">
        <v>182</v>
      </c>
      <c r="D679" t="s">
        <v>214</v>
      </c>
      <c r="E679" t="s">
        <v>249</v>
      </c>
      <c r="G679" t="s">
        <v>1119</v>
      </c>
      <c r="H679" t="s">
        <v>1817</v>
      </c>
      <c r="J679" t="s">
        <v>2680</v>
      </c>
      <c r="L679" t="s">
        <v>3333</v>
      </c>
      <c r="M679" t="s">
        <v>3379</v>
      </c>
      <c r="N679">
        <v>11432</v>
      </c>
      <c r="O679" t="s">
        <v>3380</v>
      </c>
      <c r="P679" t="s">
        <v>3381</v>
      </c>
      <c r="Q679" t="s">
        <v>3383</v>
      </c>
      <c r="R679" t="s">
        <v>3918</v>
      </c>
      <c r="S679">
        <v>-1</v>
      </c>
      <c r="T679" t="s">
        <v>4205</v>
      </c>
      <c r="U679" t="s">
        <v>4225</v>
      </c>
      <c r="W679" t="s">
        <v>4245</v>
      </c>
      <c r="X679" t="s">
        <v>3382</v>
      </c>
      <c r="Y679" t="s">
        <v>3382</v>
      </c>
      <c r="AA679" t="s">
        <v>4256</v>
      </c>
      <c r="AC679">
        <v>0</v>
      </c>
      <c r="AD679">
        <v>0</v>
      </c>
      <c r="AE679">
        <v>6.93</v>
      </c>
      <c r="AG679" t="s">
        <v>4927</v>
      </c>
      <c r="AI679" t="s">
        <v>5960</v>
      </c>
      <c r="AJ679">
        <v>1</v>
      </c>
      <c r="AL679">
        <v>1</v>
      </c>
      <c r="AM679">
        <v>3</v>
      </c>
      <c r="AN679">
        <v>94.45</v>
      </c>
      <c r="AR679" t="s">
        <v>5312</v>
      </c>
      <c r="AS679" t="s">
        <v>6298</v>
      </c>
      <c r="AT679">
        <v>24320</v>
      </c>
      <c r="AX679" t="s">
        <v>6441</v>
      </c>
      <c r="BA679" t="s">
        <v>6477</v>
      </c>
      <c r="BD679" t="s">
        <v>243</v>
      </c>
    </row>
    <row r="680" spans="1:57">
      <c r="A680" s="1">
        <f>HYPERLINK("https://lsnyc.legalserver.org/matter/dynamic-profile/view/1888096","19-1888096")</f>
        <v>0</v>
      </c>
      <c r="B680" t="s">
        <v>60</v>
      </c>
      <c r="C680" t="s">
        <v>182</v>
      </c>
      <c r="D680" t="s">
        <v>214</v>
      </c>
      <c r="E680" t="s">
        <v>487</v>
      </c>
      <c r="G680" t="s">
        <v>1120</v>
      </c>
      <c r="H680" t="s">
        <v>1325</v>
      </c>
      <c r="J680" t="s">
        <v>2681</v>
      </c>
      <c r="K680" t="s">
        <v>3259</v>
      </c>
      <c r="L680" t="s">
        <v>3340</v>
      </c>
      <c r="M680" t="s">
        <v>3379</v>
      </c>
      <c r="N680">
        <v>11377</v>
      </c>
      <c r="O680" t="s">
        <v>3380</v>
      </c>
      <c r="P680" t="s">
        <v>3380</v>
      </c>
      <c r="Q680" t="s">
        <v>3383</v>
      </c>
      <c r="R680" t="s">
        <v>3919</v>
      </c>
      <c r="S680">
        <v>0</v>
      </c>
      <c r="T680" t="s">
        <v>4197</v>
      </c>
      <c r="U680" t="s">
        <v>4224</v>
      </c>
      <c r="W680" t="s">
        <v>4245</v>
      </c>
      <c r="X680" t="s">
        <v>3382</v>
      </c>
      <c r="Y680" t="s">
        <v>3382</v>
      </c>
      <c r="AA680" t="s">
        <v>4256</v>
      </c>
      <c r="AC680">
        <v>0</v>
      </c>
      <c r="AD680">
        <v>0</v>
      </c>
      <c r="AE680">
        <v>0.6</v>
      </c>
      <c r="AG680" t="s">
        <v>4928</v>
      </c>
      <c r="AI680" t="s">
        <v>5961</v>
      </c>
      <c r="AJ680">
        <v>0</v>
      </c>
      <c r="AL680">
        <v>2</v>
      </c>
      <c r="AM680">
        <v>0</v>
      </c>
      <c r="AN680">
        <v>115.13</v>
      </c>
      <c r="AQ680" t="s">
        <v>6287</v>
      </c>
      <c r="AS680" t="s">
        <v>6298</v>
      </c>
      <c r="AT680">
        <v>18950</v>
      </c>
      <c r="AX680" t="s">
        <v>184</v>
      </c>
      <c r="BA680" t="s">
        <v>6477</v>
      </c>
      <c r="BD680" t="s">
        <v>257</v>
      </c>
    </row>
    <row r="681" spans="1:57">
      <c r="A681" s="1">
        <f>HYPERLINK("https://lsnyc.legalserver.org/matter/dynamic-profile/view/1880680","18-1880680")</f>
        <v>0</v>
      </c>
      <c r="B681" t="s">
        <v>60</v>
      </c>
      <c r="C681" t="s">
        <v>182</v>
      </c>
      <c r="D681" t="s">
        <v>214</v>
      </c>
      <c r="E681" t="s">
        <v>428</v>
      </c>
      <c r="G681" t="s">
        <v>934</v>
      </c>
      <c r="H681" t="s">
        <v>1818</v>
      </c>
      <c r="J681" t="s">
        <v>2682</v>
      </c>
      <c r="K681" t="s">
        <v>3114</v>
      </c>
      <c r="L681" t="s">
        <v>3341</v>
      </c>
      <c r="M681" t="s">
        <v>3379</v>
      </c>
      <c r="N681">
        <v>11373</v>
      </c>
      <c r="O681" t="s">
        <v>3380</v>
      </c>
      <c r="P681" t="s">
        <v>3380</v>
      </c>
      <c r="Q681" t="s">
        <v>3383</v>
      </c>
      <c r="R681" t="s">
        <v>3920</v>
      </c>
      <c r="S681">
        <v>3</v>
      </c>
      <c r="T681" t="s">
        <v>4196</v>
      </c>
      <c r="U681" t="s">
        <v>4223</v>
      </c>
      <c r="W681" t="s">
        <v>4245</v>
      </c>
      <c r="X681" t="s">
        <v>3382</v>
      </c>
      <c r="Y681" t="s">
        <v>3382</v>
      </c>
      <c r="AA681" t="s">
        <v>4256</v>
      </c>
      <c r="AC681">
        <v>650</v>
      </c>
      <c r="AD681">
        <v>1800</v>
      </c>
      <c r="AE681">
        <v>30.2</v>
      </c>
      <c r="AG681" t="s">
        <v>4929</v>
      </c>
      <c r="AH681" t="s">
        <v>5313</v>
      </c>
      <c r="AI681" t="s">
        <v>5962</v>
      </c>
      <c r="AJ681">
        <v>63</v>
      </c>
      <c r="AK681" t="s">
        <v>6266</v>
      </c>
      <c r="AL681">
        <v>2</v>
      </c>
      <c r="AM681">
        <v>0</v>
      </c>
      <c r="AN681">
        <v>85.05</v>
      </c>
      <c r="AQ681" t="s">
        <v>6287</v>
      </c>
      <c r="AS681" t="s">
        <v>6298</v>
      </c>
      <c r="AT681">
        <v>14000</v>
      </c>
      <c r="AX681" t="s">
        <v>184</v>
      </c>
      <c r="BA681" t="s">
        <v>6475</v>
      </c>
      <c r="BD681" t="s">
        <v>219</v>
      </c>
    </row>
    <row r="682" spans="1:57">
      <c r="A682" s="1">
        <f>HYPERLINK("https://lsnyc.legalserver.org/matter/dynamic-profile/view/1912380","19-1912380")</f>
        <v>0</v>
      </c>
      <c r="B682" t="s">
        <v>60</v>
      </c>
      <c r="C682" t="s">
        <v>182</v>
      </c>
      <c r="D682" t="s">
        <v>214</v>
      </c>
      <c r="E682" t="s">
        <v>248</v>
      </c>
      <c r="G682" t="s">
        <v>1121</v>
      </c>
      <c r="H682" t="s">
        <v>1819</v>
      </c>
      <c r="J682" t="s">
        <v>2683</v>
      </c>
      <c r="K682" t="s">
        <v>3260</v>
      </c>
      <c r="L682" t="s">
        <v>3341</v>
      </c>
      <c r="M682" t="s">
        <v>3379</v>
      </c>
      <c r="N682">
        <v>11373</v>
      </c>
      <c r="O682" t="s">
        <v>3381</v>
      </c>
      <c r="P682" t="s">
        <v>3381</v>
      </c>
      <c r="Q682" t="s">
        <v>3384</v>
      </c>
      <c r="R682" t="s">
        <v>3921</v>
      </c>
      <c r="S682">
        <v>14</v>
      </c>
      <c r="T682" t="s">
        <v>4196</v>
      </c>
      <c r="U682" t="s">
        <v>4223</v>
      </c>
      <c r="W682" t="s">
        <v>4246</v>
      </c>
      <c r="X682" t="s">
        <v>3382</v>
      </c>
      <c r="Y682" t="s">
        <v>3382</v>
      </c>
      <c r="AA682" t="s">
        <v>4256</v>
      </c>
      <c r="AB682" t="s">
        <v>4263</v>
      </c>
      <c r="AC682">
        <v>0</v>
      </c>
      <c r="AD682">
        <v>1990</v>
      </c>
      <c r="AE682">
        <v>24.8</v>
      </c>
      <c r="AG682" t="s">
        <v>4522</v>
      </c>
      <c r="AI682" t="s">
        <v>5963</v>
      </c>
      <c r="AJ682">
        <v>0</v>
      </c>
      <c r="AK682" t="s">
        <v>6267</v>
      </c>
      <c r="AL682">
        <v>2</v>
      </c>
      <c r="AM682">
        <v>0</v>
      </c>
      <c r="AN682">
        <v>227.71</v>
      </c>
      <c r="AO682" t="s">
        <v>293</v>
      </c>
      <c r="AP682" t="s">
        <v>6283</v>
      </c>
      <c r="AS682" t="s">
        <v>6298</v>
      </c>
      <c r="AT682">
        <v>38506</v>
      </c>
      <c r="AX682" t="s">
        <v>182</v>
      </c>
      <c r="BA682" t="s">
        <v>6502</v>
      </c>
      <c r="BD682" t="s">
        <v>222</v>
      </c>
    </row>
    <row r="683" spans="1:57">
      <c r="A683" s="1">
        <f>HYPERLINK("https://lsnyc.legalserver.org/matter/dynamic-profile/view/0829546","17-0829546")</f>
        <v>0</v>
      </c>
      <c r="B683" t="s">
        <v>60</v>
      </c>
      <c r="C683" t="s">
        <v>182</v>
      </c>
      <c r="D683" t="s">
        <v>214</v>
      </c>
      <c r="E683" t="s">
        <v>488</v>
      </c>
      <c r="G683" t="s">
        <v>1055</v>
      </c>
      <c r="H683" t="s">
        <v>1820</v>
      </c>
      <c r="J683" t="s">
        <v>2684</v>
      </c>
      <c r="K683" t="s">
        <v>3261</v>
      </c>
      <c r="L683" t="s">
        <v>3345</v>
      </c>
      <c r="M683" t="s">
        <v>3379</v>
      </c>
      <c r="N683">
        <v>11360</v>
      </c>
      <c r="O683" t="s">
        <v>3381</v>
      </c>
      <c r="P683" t="s">
        <v>3381</v>
      </c>
      <c r="Q683" t="s">
        <v>3383</v>
      </c>
      <c r="R683" t="s">
        <v>3922</v>
      </c>
      <c r="S683">
        <v>61</v>
      </c>
      <c r="T683" t="s">
        <v>4197</v>
      </c>
      <c r="U683" t="s">
        <v>4223</v>
      </c>
      <c r="W683" t="s">
        <v>4245</v>
      </c>
      <c r="X683" t="s">
        <v>3382</v>
      </c>
      <c r="Y683" t="s">
        <v>3382</v>
      </c>
      <c r="AA683" t="s">
        <v>4256</v>
      </c>
      <c r="AC683">
        <v>900</v>
      </c>
      <c r="AD683">
        <v>900</v>
      </c>
      <c r="AE683">
        <v>122.9</v>
      </c>
      <c r="AG683" t="s">
        <v>4930</v>
      </c>
      <c r="AH683" t="s">
        <v>5312</v>
      </c>
      <c r="AI683" t="s">
        <v>5964</v>
      </c>
      <c r="AJ683">
        <v>60</v>
      </c>
      <c r="AK683" t="s">
        <v>6275</v>
      </c>
      <c r="AL683">
        <v>1</v>
      </c>
      <c r="AM683">
        <v>0</v>
      </c>
      <c r="AN683">
        <v>0</v>
      </c>
      <c r="AQ683" t="s">
        <v>6287</v>
      </c>
      <c r="AR683" t="s">
        <v>3391</v>
      </c>
      <c r="AT683">
        <v>0</v>
      </c>
      <c r="AX683" t="s">
        <v>6443</v>
      </c>
      <c r="BA683" t="s">
        <v>6479</v>
      </c>
      <c r="BD683" t="s">
        <v>295</v>
      </c>
    </row>
    <row r="684" spans="1:57">
      <c r="A684" s="1">
        <f>HYPERLINK("https://lsnyc.legalserver.org/matter/dynamic-profile/view/1911692","19-1911692")</f>
        <v>0</v>
      </c>
      <c r="B684" t="s">
        <v>60</v>
      </c>
      <c r="C684" t="s">
        <v>182</v>
      </c>
      <c r="D684" t="s">
        <v>214</v>
      </c>
      <c r="E684" t="s">
        <v>313</v>
      </c>
      <c r="G684" t="s">
        <v>1122</v>
      </c>
      <c r="H684" t="s">
        <v>1821</v>
      </c>
      <c r="J684" t="s">
        <v>2685</v>
      </c>
      <c r="L684" t="s">
        <v>3346</v>
      </c>
      <c r="M684" t="s">
        <v>3379</v>
      </c>
      <c r="N684">
        <v>11106</v>
      </c>
      <c r="O684" t="s">
        <v>3382</v>
      </c>
      <c r="P684" t="s">
        <v>3381</v>
      </c>
      <c r="Q684" t="s">
        <v>3391</v>
      </c>
      <c r="R684" t="s">
        <v>3923</v>
      </c>
      <c r="S684">
        <v>10</v>
      </c>
      <c r="T684" t="s">
        <v>4205</v>
      </c>
      <c r="U684" t="s">
        <v>4225</v>
      </c>
      <c r="W684" t="s">
        <v>4245</v>
      </c>
      <c r="X684" t="s">
        <v>3382</v>
      </c>
      <c r="Y684" t="s">
        <v>3382</v>
      </c>
      <c r="Z684" t="s">
        <v>4255</v>
      </c>
      <c r="AA684" t="s">
        <v>4256</v>
      </c>
      <c r="AC684">
        <v>0</v>
      </c>
      <c r="AD684">
        <v>0</v>
      </c>
      <c r="AE684">
        <v>2.23</v>
      </c>
      <c r="AG684" t="s">
        <v>4931</v>
      </c>
      <c r="AI684" t="s">
        <v>5965</v>
      </c>
      <c r="AJ684">
        <v>2</v>
      </c>
      <c r="AL684">
        <v>1</v>
      </c>
      <c r="AM684">
        <v>1</v>
      </c>
      <c r="AN684">
        <v>215.26</v>
      </c>
      <c r="AR684" t="s">
        <v>5312</v>
      </c>
      <c r="AS684" t="s">
        <v>6298</v>
      </c>
      <c r="AT684">
        <v>36400</v>
      </c>
      <c r="AX684" t="s">
        <v>6441</v>
      </c>
      <c r="BA684" t="s">
        <v>6477</v>
      </c>
      <c r="BD684" t="s">
        <v>504</v>
      </c>
      <c r="BE684" t="s">
        <v>5312</v>
      </c>
    </row>
    <row r="685" spans="1:57">
      <c r="A685" s="1">
        <f>HYPERLINK("https://lsnyc.legalserver.org/matter/dynamic-profile/view/1913898","19-1913898")</f>
        <v>0</v>
      </c>
      <c r="B685" t="s">
        <v>60</v>
      </c>
      <c r="C685" t="s">
        <v>183</v>
      </c>
      <c r="D685" t="s">
        <v>214</v>
      </c>
      <c r="E685" t="s">
        <v>222</v>
      </c>
      <c r="G685" t="s">
        <v>1123</v>
      </c>
      <c r="H685" t="s">
        <v>1478</v>
      </c>
      <c r="J685" t="s">
        <v>2686</v>
      </c>
      <c r="K685" t="s">
        <v>3136</v>
      </c>
      <c r="L685" t="s">
        <v>3333</v>
      </c>
      <c r="M685" t="s">
        <v>3379</v>
      </c>
      <c r="N685">
        <v>11434</v>
      </c>
      <c r="O685" t="s">
        <v>3380</v>
      </c>
      <c r="P685" t="s">
        <v>3381</v>
      </c>
      <c r="Q685" t="s">
        <v>3383</v>
      </c>
      <c r="R685" t="s">
        <v>3924</v>
      </c>
      <c r="S685">
        <v>3</v>
      </c>
      <c r="T685" t="s">
        <v>4197</v>
      </c>
      <c r="U685" t="s">
        <v>4224</v>
      </c>
      <c r="W685" t="s">
        <v>4246</v>
      </c>
      <c r="X685" t="s">
        <v>3382</v>
      </c>
      <c r="Y685" t="s">
        <v>3382</v>
      </c>
      <c r="AA685" t="s">
        <v>4258</v>
      </c>
      <c r="AC685">
        <v>0</v>
      </c>
      <c r="AD685">
        <v>501</v>
      </c>
      <c r="AE685">
        <v>0.33</v>
      </c>
      <c r="AG685" t="s">
        <v>4932</v>
      </c>
      <c r="AH685" t="s">
        <v>5314</v>
      </c>
      <c r="AI685" t="s">
        <v>5966</v>
      </c>
      <c r="AJ685">
        <v>0</v>
      </c>
      <c r="AK685" t="s">
        <v>6278</v>
      </c>
      <c r="AL685">
        <v>1</v>
      </c>
      <c r="AM685">
        <v>0</v>
      </c>
      <c r="AN685">
        <v>0</v>
      </c>
      <c r="AR685" t="s">
        <v>5312</v>
      </c>
      <c r="AS685" t="s">
        <v>6298</v>
      </c>
      <c r="AT685">
        <v>0</v>
      </c>
      <c r="AX685" t="s">
        <v>6441</v>
      </c>
      <c r="BA685" t="s">
        <v>6486</v>
      </c>
      <c r="BD685" t="s">
        <v>222</v>
      </c>
      <c r="BE685" t="s">
        <v>6702</v>
      </c>
    </row>
    <row r="686" spans="1:57">
      <c r="A686" s="1">
        <f>HYPERLINK("https://lsnyc.legalserver.org/matter/dynamic-profile/view/0810220","16-0810220")</f>
        <v>0</v>
      </c>
      <c r="B686" t="s">
        <v>60</v>
      </c>
      <c r="C686" t="s">
        <v>183</v>
      </c>
      <c r="D686" t="s">
        <v>214</v>
      </c>
      <c r="E686" t="s">
        <v>489</v>
      </c>
      <c r="G686" t="s">
        <v>808</v>
      </c>
      <c r="H686" t="s">
        <v>1822</v>
      </c>
      <c r="J686" t="s">
        <v>2687</v>
      </c>
      <c r="K686" t="s">
        <v>3262</v>
      </c>
      <c r="L686" t="s">
        <v>3333</v>
      </c>
      <c r="M686" t="s">
        <v>3379</v>
      </c>
      <c r="N686">
        <v>11434</v>
      </c>
      <c r="O686" t="s">
        <v>3381</v>
      </c>
      <c r="P686" t="s">
        <v>3381</v>
      </c>
      <c r="S686">
        <v>0</v>
      </c>
      <c r="U686" t="s">
        <v>4225</v>
      </c>
      <c r="W686" t="s">
        <v>4245</v>
      </c>
      <c r="X686" t="s">
        <v>3382</v>
      </c>
      <c r="AA686" t="s">
        <v>4260</v>
      </c>
      <c r="AC686">
        <v>0</v>
      </c>
      <c r="AD686">
        <v>0</v>
      </c>
      <c r="AE686">
        <v>1.3</v>
      </c>
      <c r="AG686" t="s">
        <v>4933</v>
      </c>
      <c r="AI686" t="s">
        <v>5967</v>
      </c>
      <c r="AJ686">
        <v>0</v>
      </c>
      <c r="AL686">
        <v>1</v>
      </c>
      <c r="AM686">
        <v>0</v>
      </c>
      <c r="AN686">
        <v>262.63</v>
      </c>
      <c r="AT686">
        <v>31200</v>
      </c>
      <c r="AX686" t="s">
        <v>187</v>
      </c>
      <c r="BA686" t="s">
        <v>6477</v>
      </c>
      <c r="BD686" t="s">
        <v>234</v>
      </c>
    </row>
    <row r="687" spans="1:57">
      <c r="A687" s="1">
        <f>HYPERLINK("https://lsnyc.legalserver.org/matter/dynamic-profile/view/1891950","19-1891950")</f>
        <v>0</v>
      </c>
      <c r="B687" t="s">
        <v>60</v>
      </c>
      <c r="C687" t="s">
        <v>183</v>
      </c>
      <c r="D687" t="s">
        <v>214</v>
      </c>
      <c r="E687" t="s">
        <v>361</v>
      </c>
      <c r="G687" t="s">
        <v>928</v>
      </c>
      <c r="H687" t="s">
        <v>1657</v>
      </c>
      <c r="J687" t="s">
        <v>2688</v>
      </c>
      <c r="K687" t="s">
        <v>3166</v>
      </c>
      <c r="L687" t="s">
        <v>3347</v>
      </c>
      <c r="M687" t="s">
        <v>3379</v>
      </c>
      <c r="N687">
        <v>11423</v>
      </c>
      <c r="O687" t="s">
        <v>3380</v>
      </c>
      <c r="P687" t="s">
        <v>3380</v>
      </c>
      <c r="Q687" t="s">
        <v>3383</v>
      </c>
      <c r="R687" t="s">
        <v>3925</v>
      </c>
      <c r="S687">
        <v>16</v>
      </c>
      <c r="T687" t="s">
        <v>4196</v>
      </c>
      <c r="U687" t="s">
        <v>4224</v>
      </c>
      <c r="W687" t="s">
        <v>4245</v>
      </c>
      <c r="X687" t="s">
        <v>3382</v>
      </c>
      <c r="Y687" t="s">
        <v>3382</v>
      </c>
      <c r="AA687" t="s">
        <v>4256</v>
      </c>
      <c r="AC687">
        <v>0</v>
      </c>
      <c r="AD687">
        <v>1000</v>
      </c>
      <c r="AE687">
        <v>0.7</v>
      </c>
      <c r="AG687" t="s">
        <v>4934</v>
      </c>
      <c r="AH687" t="s">
        <v>5315</v>
      </c>
      <c r="AI687" t="s">
        <v>5968</v>
      </c>
      <c r="AJ687">
        <v>7</v>
      </c>
      <c r="AK687" t="s">
        <v>6266</v>
      </c>
      <c r="AL687">
        <v>2</v>
      </c>
      <c r="AM687">
        <v>0</v>
      </c>
      <c r="AN687">
        <v>325.25</v>
      </c>
      <c r="AQ687" t="s">
        <v>6287</v>
      </c>
      <c r="AR687" t="s">
        <v>5312</v>
      </c>
      <c r="AS687" t="s">
        <v>6298</v>
      </c>
      <c r="AT687">
        <v>55000</v>
      </c>
      <c r="AX687" t="s">
        <v>184</v>
      </c>
      <c r="BA687" t="s">
        <v>6515</v>
      </c>
      <c r="BD687" t="s">
        <v>234</v>
      </c>
    </row>
    <row r="688" spans="1:57">
      <c r="A688" s="1">
        <f>HYPERLINK("https://lsnyc.legalserver.org/matter/dynamic-profile/view/1890246","19-1890246")</f>
        <v>0</v>
      </c>
      <c r="B688" t="s">
        <v>60</v>
      </c>
      <c r="C688" t="s">
        <v>183</v>
      </c>
      <c r="D688" t="s">
        <v>215</v>
      </c>
      <c r="E688" t="s">
        <v>490</v>
      </c>
      <c r="F688" t="s">
        <v>579</v>
      </c>
      <c r="G688" t="s">
        <v>1124</v>
      </c>
      <c r="H688" t="s">
        <v>1823</v>
      </c>
      <c r="J688" t="s">
        <v>2689</v>
      </c>
      <c r="L688" t="s">
        <v>3348</v>
      </c>
      <c r="M688" t="s">
        <v>3379</v>
      </c>
      <c r="N688">
        <v>11421</v>
      </c>
      <c r="O688" t="s">
        <v>3381</v>
      </c>
      <c r="P688" t="s">
        <v>3381</v>
      </c>
      <c r="Q688" t="s">
        <v>3383</v>
      </c>
      <c r="R688" t="s">
        <v>3926</v>
      </c>
      <c r="S688">
        <v>2</v>
      </c>
      <c r="T688" t="s">
        <v>4197</v>
      </c>
      <c r="U688" t="s">
        <v>4225</v>
      </c>
      <c r="V688" t="s">
        <v>4230</v>
      </c>
      <c r="W688" t="s">
        <v>4245</v>
      </c>
      <c r="X688" t="s">
        <v>3382</v>
      </c>
      <c r="AA688" t="s">
        <v>4256</v>
      </c>
      <c r="AC688">
        <v>0</v>
      </c>
      <c r="AD688">
        <v>1250</v>
      </c>
      <c r="AE688">
        <v>2.2</v>
      </c>
      <c r="AF688" t="s">
        <v>4268</v>
      </c>
      <c r="AG688" t="s">
        <v>4935</v>
      </c>
      <c r="AH688" t="s">
        <v>5316</v>
      </c>
      <c r="AI688" t="s">
        <v>5969</v>
      </c>
      <c r="AJ688">
        <v>0</v>
      </c>
      <c r="AK688" t="s">
        <v>6274</v>
      </c>
      <c r="AL688">
        <v>1</v>
      </c>
      <c r="AM688">
        <v>1</v>
      </c>
      <c r="AN688">
        <v>64.67</v>
      </c>
      <c r="AQ688" t="s">
        <v>6288</v>
      </c>
      <c r="AR688" t="s">
        <v>5312</v>
      </c>
      <c r="AS688" t="s">
        <v>6304</v>
      </c>
      <c r="AT688">
        <v>10936</v>
      </c>
      <c r="AX688" t="s">
        <v>196</v>
      </c>
      <c r="BA688" t="s">
        <v>6483</v>
      </c>
      <c r="BD688" t="s">
        <v>234</v>
      </c>
    </row>
    <row r="689" spans="1:57">
      <c r="A689" s="1">
        <f>HYPERLINK("https://lsnyc.legalserver.org/matter/dynamic-profile/view/1879895","18-1879895")</f>
        <v>0</v>
      </c>
      <c r="B689" t="s">
        <v>60</v>
      </c>
      <c r="C689" t="s">
        <v>183</v>
      </c>
      <c r="D689" t="s">
        <v>214</v>
      </c>
      <c r="E689" t="s">
        <v>491</v>
      </c>
      <c r="G689" t="s">
        <v>1125</v>
      </c>
      <c r="H689" t="s">
        <v>1824</v>
      </c>
      <c r="J689" t="s">
        <v>2690</v>
      </c>
      <c r="K689" t="s">
        <v>3263</v>
      </c>
      <c r="L689" t="s">
        <v>3349</v>
      </c>
      <c r="M689" t="s">
        <v>3379</v>
      </c>
      <c r="N689">
        <v>11418</v>
      </c>
      <c r="O689" t="s">
        <v>3380</v>
      </c>
      <c r="P689" t="s">
        <v>3380</v>
      </c>
      <c r="Q689" t="s">
        <v>3383</v>
      </c>
      <c r="R689" t="s">
        <v>3927</v>
      </c>
      <c r="S689">
        <v>1</v>
      </c>
      <c r="T689" t="s">
        <v>4197</v>
      </c>
      <c r="U689" t="s">
        <v>4224</v>
      </c>
      <c r="W689" t="s">
        <v>4245</v>
      </c>
      <c r="X689" t="s">
        <v>3382</v>
      </c>
      <c r="Y689" t="s">
        <v>3382</v>
      </c>
      <c r="AA689" t="s">
        <v>4256</v>
      </c>
      <c r="AC689">
        <v>1650</v>
      </c>
      <c r="AD689">
        <v>1650</v>
      </c>
      <c r="AE689">
        <v>1.25</v>
      </c>
      <c r="AG689" t="s">
        <v>4936</v>
      </c>
      <c r="AI689" t="s">
        <v>5970</v>
      </c>
      <c r="AJ689">
        <v>2</v>
      </c>
      <c r="AL689">
        <v>2</v>
      </c>
      <c r="AM689">
        <v>3</v>
      </c>
      <c r="AN689">
        <v>99.93000000000001</v>
      </c>
      <c r="AQ689" t="s">
        <v>6286</v>
      </c>
      <c r="AR689" t="s">
        <v>5312</v>
      </c>
      <c r="AS689" t="s">
        <v>6298</v>
      </c>
      <c r="AT689">
        <v>29400</v>
      </c>
      <c r="AX689" t="s">
        <v>184</v>
      </c>
      <c r="BA689" t="s">
        <v>6474</v>
      </c>
      <c r="BD689" t="s">
        <v>250</v>
      </c>
    </row>
    <row r="690" spans="1:57">
      <c r="A690" s="1">
        <f>HYPERLINK("https://lsnyc.legalserver.org/matter/dynamic-profile/view/1911855","19-1911855")</f>
        <v>0</v>
      </c>
      <c r="B690" t="s">
        <v>60</v>
      </c>
      <c r="C690" t="s">
        <v>183</v>
      </c>
      <c r="D690" t="s">
        <v>214</v>
      </c>
      <c r="E690" t="s">
        <v>342</v>
      </c>
      <c r="G690" t="s">
        <v>1126</v>
      </c>
      <c r="H690" t="s">
        <v>1825</v>
      </c>
      <c r="J690" t="s">
        <v>2691</v>
      </c>
      <c r="K690" t="s">
        <v>3246</v>
      </c>
      <c r="L690" t="s">
        <v>3350</v>
      </c>
      <c r="M690" t="s">
        <v>3379</v>
      </c>
      <c r="N690">
        <v>11415</v>
      </c>
      <c r="O690" t="s">
        <v>3380</v>
      </c>
      <c r="P690" t="s">
        <v>3381</v>
      </c>
      <c r="Q690" t="s">
        <v>3383</v>
      </c>
      <c r="R690" t="s">
        <v>3928</v>
      </c>
      <c r="S690">
        <v>-1</v>
      </c>
      <c r="T690" t="s">
        <v>4197</v>
      </c>
      <c r="U690" t="s">
        <v>4224</v>
      </c>
      <c r="W690" t="s">
        <v>4245</v>
      </c>
      <c r="X690" t="s">
        <v>3382</v>
      </c>
      <c r="Y690" t="s">
        <v>3382</v>
      </c>
      <c r="AA690" t="s">
        <v>4256</v>
      </c>
      <c r="AC690">
        <v>0</v>
      </c>
      <c r="AD690">
        <v>761</v>
      </c>
      <c r="AE690">
        <v>1.58</v>
      </c>
      <c r="AG690" t="s">
        <v>4937</v>
      </c>
      <c r="AI690" t="s">
        <v>5971</v>
      </c>
      <c r="AJ690">
        <v>20</v>
      </c>
      <c r="AK690" t="s">
        <v>6267</v>
      </c>
      <c r="AL690">
        <v>1</v>
      </c>
      <c r="AM690">
        <v>0</v>
      </c>
      <c r="AN690">
        <v>192.15</v>
      </c>
      <c r="AR690" t="s">
        <v>5312</v>
      </c>
      <c r="AS690" t="s">
        <v>6298</v>
      </c>
      <c r="AT690">
        <v>24000</v>
      </c>
      <c r="AX690" t="s">
        <v>6441</v>
      </c>
      <c r="BA690" t="s">
        <v>6539</v>
      </c>
      <c r="BD690" t="s">
        <v>342</v>
      </c>
      <c r="BE690" t="s">
        <v>6702</v>
      </c>
    </row>
    <row r="691" spans="1:57">
      <c r="A691" s="1">
        <f>HYPERLINK("https://lsnyc.legalserver.org/matter/dynamic-profile/view/0816870","16-0816870")</f>
        <v>0</v>
      </c>
      <c r="B691" t="s">
        <v>60</v>
      </c>
      <c r="C691" t="s">
        <v>183</v>
      </c>
      <c r="D691" t="s">
        <v>214</v>
      </c>
      <c r="E691" t="s">
        <v>492</v>
      </c>
      <c r="G691" t="s">
        <v>1127</v>
      </c>
      <c r="H691" t="s">
        <v>1826</v>
      </c>
      <c r="J691" t="s">
        <v>2692</v>
      </c>
      <c r="K691" t="s">
        <v>3264</v>
      </c>
      <c r="L691" t="s">
        <v>3350</v>
      </c>
      <c r="M691" t="s">
        <v>3379</v>
      </c>
      <c r="N691">
        <v>11415</v>
      </c>
      <c r="O691" t="s">
        <v>3381</v>
      </c>
      <c r="P691" t="s">
        <v>3381</v>
      </c>
      <c r="S691">
        <v>0</v>
      </c>
      <c r="W691" t="s">
        <v>4245</v>
      </c>
      <c r="X691" t="s">
        <v>3382</v>
      </c>
      <c r="AA691" t="s">
        <v>4260</v>
      </c>
      <c r="AC691">
        <v>0</v>
      </c>
      <c r="AD691">
        <v>0</v>
      </c>
      <c r="AE691">
        <v>0.6</v>
      </c>
      <c r="AG691" t="s">
        <v>4938</v>
      </c>
      <c r="AI691" t="s">
        <v>5972</v>
      </c>
      <c r="AJ691">
        <v>0</v>
      </c>
      <c r="AL691">
        <v>1</v>
      </c>
      <c r="AM691">
        <v>1</v>
      </c>
      <c r="AN691">
        <v>64.64</v>
      </c>
      <c r="AS691" t="s">
        <v>6298</v>
      </c>
      <c r="AT691">
        <v>10356</v>
      </c>
      <c r="AX691" t="s">
        <v>6444</v>
      </c>
      <c r="BA691" t="s">
        <v>6554</v>
      </c>
      <c r="BD691" t="s">
        <v>234</v>
      </c>
    </row>
    <row r="692" spans="1:57">
      <c r="A692" s="1">
        <f>HYPERLINK("https://lsnyc.legalserver.org/matter/dynamic-profile/view/1889298","19-1889298")</f>
        <v>0</v>
      </c>
      <c r="B692" t="s">
        <v>60</v>
      </c>
      <c r="C692" t="s">
        <v>183</v>
      </c>
      <c r="D692" t="s">
        <v>214</v>
      </c>
      <c r="E692" t="s">
        <v>493</v>
      </c>
      <c r="G692" t="s">
        <v>614</v>
      </c>
      <c r="H692" t="s">
        <v>1827</v>
      </c>
      <c r="J692" t="s">
        <v>2693</v>
      </c>
      <c r="K692" t="s">
        <v>3199</v>
      </c>
      <c r="L692" t="s">
        <v>3338</v>
      </c>
      <c r="M692" t="s">
        <v>3379</v>
      </c>
      <c r="N692">
        <v>11385</v>
      </c>
      <c r="O692" t="s">
        <v>3380</v>
      </c>
      <c r="P692" t="s">
        <v>3380</v>
      </c>
      <c r="Q692" t="s">
        <v>3386</v>
      </c>
      <c r="R692" t="s">
        <v>3929</v>
      </c>
      <c r="S692">
        <v>11</v>
      </c>
      <c r="T692" t="s">
        <v>4197</v>
      </c>
      <c r="U692" t="s">
        <v>4224</v>
      </c>
      <c r="W692" t="s">
        <v>4245</v>
      </c>
      <c r="X692" t="s">
        <v>3382</v>
      </c>
      <c r="Y692" t="s">
        <v>3382</v>
      </c>
      <c r="AA692" t="s">
        <v>4256</v>
      </c>
      <c r="AC692">
        <v>0</v>
      </c>
      <c r="AD692">
        <v>1730</v>
      </c>
      <c r="AE692">
        <v>2.1</v>
      </c>
      <c r="AG692" t="s">
        <v>4939</v>
      </c>
      <c r="AI692" t="s">
        <v>5973</v>
      </c>
      <c r="AJ692">
        <v>2</v>
      </c>
      <c r="AK692" t="s">
        <v>6266</v>
      </c>
      <c r="AL692">
        <v>2</v>
      </c>
      <c r="AM692">
        <v>0</v>
      </c>
      <c r="AN692">
        <v>183.32</v>
      </c>
      <c r="AQ692" t="s">
        <v>6287</v>
      </c>
      <c r="AR692" t="s">
        <v>6290</v>
      </c>
      <c r="AS692" t="s">
        <v>6299</v>
      </c>
      <c r="AT692">
        <v>31000</v>
      </c>
      <c r="AX692" t="s">
        <v>184</v>
      </c>
      <c r="BA692" t="s">
        <v>6477</v>
      </c>
      <c r="BD692" t="s">
        <v>313</v>
      </c>
    </row>
    <row r="693" spans="1:57">
      <c r="A693" s="1">
        <f>HYPERLINK("https://lsnyc.legalserver.org/matter/dynamic-profile/view/1884689","18-1884689")</f>
        <v>0</v>
      </c>
      <c r="B693" t="s">
        <v>60</v>
      </c>
      <c r="C693" t="s">
        <v>183</v>
      </c>
      <c r="D693" t="s">
        <v>215</v>
      </c>
      <c r="E693" t="s">
        <v>494</v>
      </c>
      <c r="F693" t="s">
        <v>579</v>
      </c>
      <c r="G693" t="s">
        <v>1128</v>
      </c>
      <c r="H693" t="s">
        <v>1828</v>
      </c>
      <c r="J693" t="s">
        <v>2694</v>
      </c>
      <c r="K693" t="s">
        <v>3243</v>
      </c>
      <c r="L693" t="s">
        <v>3351</v>
      </c>
      <c r="M693" t="s">
        <v>3379</v>
      </c>
      <c r="N693">
        <v>11379</v>
      </c>
      <c r="O693" t="s">
        <v>3380</v>
      </c>
      <c r="P693" t="s">
        <v>3380</v>
      </c>
      <c r="Q693" t="s">
        <v>3383</v>
      </c>
      <c r="R693" t="s">
        <v>3930</v>
      </c>
      <c r="S693">
        <v>1</v>
      </c>
      <c r="T693" t="s">
        <v>4196</v>
      </c>
      <c r="U693" t="s">
        <v>4225</v>
      </c>
      <c r="V693" t="s">
        <v>4230</v>
      </c>
      <c r="W693" t="s">
        <v>4245</v>
      </c>
      <c r="X693" t="s">
        <v>3382</v>
      </c>
      <c r="Y693" t="s">
        <v>3382</v>
      </c>
      <c r="AA693" t="s">
        <v>4256</v>
      </c>
      <c r="AC693">
        <v>0</v>
      </c>
      <c r="AD693">
        <v>2200</v>
      </c>
      <c r="AE693">
        <v>1</v>
      </c>
      <c r="AF693" t="s">
        <v>4268</v>
      </c>
      <c r="AG693" t="s">
        <v>4940</v>
      </c>
      <c r="AH693" t="s">
        <v>5317</v>
      </c>
      <c r="AI693" t="s">
        <v>5974</v>
      </c>
      <c r="AJ693">
        <v>0</v>
      </c>
      <c r="AK693" t="s">
        <v>6266</v>
      </c>
      <c r="AL693">
        <v>1</v>
      </c>
      <c r="AM693">
        <v>4</v>
      </c>
      <c r="AN693">
        <v>52.21</v>
      </c>
      <c r="AQ693" t="s">
        <v>6286</v>
      </c>
      <c r="AR693" t="s">
        <v>5312</v>
      </c>
      <c r="AS693" t="s">
        <v>6299</v>
      </c>
      <c r="AT693">
        <v>15360</v>
      </c>
      <c r="AX693" t="s">
        <v>184</v>
      </c>
      <c r="BA693" t="s">
        <v>6477</v>
      </c>
      <c r="BD693" t="s">
        <v>355</v>
      </c>
    </row>
    <row r="694" spans="1:57">
      <c r="A694" s="1">
        <f>HYPERLINK("https://lsnyc.legalserver.org/matter/dynamic-profile/view/1889552","19-1889552")</f>
        <v>0</v>
      </c>
      <c r="B694" t="s">
        <v>60</v>
      </c>
      <c r="C694" t="s">
        <v>183</v>
      </c>
      <c r="D694" t="s">
        <v>214</v>
      </c>
      <c r="E694" t="s">
        <v>483</v>
      </c>
      <c r="G694" t="s">
        <v>1129</v>
      </c>
      <c r="H694" t="s">
        <v>1746</v>
      </c>
      <c r="J694" t="s">
        <v>2695</v>
      </c>
      <c r="K694" t="s">
        <v>3265</v>
      </c>
      <c r="L694" t="s">
        <v>3351</v>
      </c>
      <c r="M694" t="s">
        <v>3379</v>
      </c>
      <c r="N694">
        <v>11379</v>
      </c>
      <c r="O694" t="s">
        <v>3380</v>
      </c>
      <c r="P694" t="s">
        <v>3380</v>
      </c>
      <c r="Q694" t="s">
        <v>3383</v>
      </c>
      <c r="R694" t="s">
        <v>3931</v>
      </c>
      <c r="S694">
        <v>39</v>
      </c>
      <c r="T694" t="s">
        <v>4196</v>
      </c>
      <c r="U694" t="s">
        <v>4224</v>
      </c>
      <c r="W694" t="s">
        <v>4245</v>
      </c>
      <c r="X694" t="s">
        <v>3382</v>
      </c>
      <c r="Y694" t="s">
        <v>3382</v>
      </c>
      <c r="AA694" t="s">
        <v>4256</v>
      </c>
      <c r="AC694">
        <v>0</v>
      </c>
      <c r="AD694">
        <v>1153</v>
      </c>
      <c r="AE694">
        <v>0.85</v>
      </c>
      <c r="AG694" t="s">
        <v>4941</v>
      </c>
      <c r="AH694" t="s">
        <v>5318</v>
      </c>
      <c r="AI694" t="s">
        <v>5975</v>
      </c>
      <c r="AJ694">
        <v>0</v>
      </c>
      <c r="AK694" t="s">
        <v>6266</v>
      </c>
      <c r="AL694">
        <v>1</v>
      </c>
      <c r="AM694">
        <v>0</v>
      </c>
      <c r="AN694">
        <v>105.68</v>
      </c>
      <c r="AQ694" t="s">
        <v>6287</v>
      </c>
      <c r="AR694" t="s">
        <v>6293</v>
      </c>
      <c r="AS694" t="s">
        <v>6299</v>
      </c>
      <c r="AT694">
        <v>13200</v>
      </c>
      <c r="AX694" t="s">
        <v>184</v>
      </c>
      <c r="BA694" t="s">
        <v>3391</v>
      </c>
      <c r="BD694" t="s">
        <v>234</v>
      </c>
    </row>
    <row r="695" spans="1:57">
      <c r="A695" s="1">
        <f>HYPERLINK("https://lsnyc.legalserver.org/matter/dynamic-profile/view/1891902","19-1891902")</f>
        <v>0</v>
      </c>
      <c r="B695" t="s">
        <v>60</v>
      </c>
      <c r="C695" t="s">
        <v>183</v>
      </c>
      <c r="D695" t="s">
        <v>215</v>
      </c>
      <c r="E695" t="s">
        <v>361</v>
      </c>
      <c r="F695" t="s">
        <v>579</v>
      </c>
      <c r="G695" t="s">
        <v>767</v>
      </c>
      <c r="H695" t="s">
        <v>1829</v>
      </c>
      <c r="J695" t="s">
        <v>2696</v>
      </c>
      <c r="K695" t="s">
        <v>3037</v>
      </c>
      <c r="L695" t="s">
        <v>3352</v>
      </c>
      <c r="M695" t="s">
        <v>3379</v>
      </c>
      <c r="N695">
        <v>11372</v>
      </c>
      <c r="O695" t="s">
        <v>3380</v>
      </c>
      <c r="P695" t="s">
        <v>3380</v>
      </c>
      <c r="Q695" t="s">
        <v>3383</v>
      </c>
      <c r="R695" t="s">
        <v>3932</v>
      </c>
      <c r="S695">
        <v>2</v>
      </c>
      <c r="T695" t="s">
        <v>4196</v>
      </c>
      <c r="U695" t="s">
        <v>4224</v>
      </c>
      <c r="V695" t="s">
        <v>4230</v>
      </c>
      <c r="W695" t="s">
        <v>4245</v>
      </c>
      <c r="X695" t="s">
        <v>3382</v>
      </c>
      <c r="Y695" t="s">
        <v>3382</v>
      </c>
      <c r="AA695" t="s">
        <v>4256</v>
      </c>
      <c r="AC695">
        <v>0</v>
      </c>
      <c r="AD695">
        <v>1181.75</v>
      </c>
      <c r="AE695">
        <v>1.05</v>
      </c>
      <c r="AF695" t="s">
        <v>4268</v>
      </c>
      <c r="AG695" t="s">
        <v>4942</v>
      </c>
      <c r="AI695" t="s">
        <v>5976</v>
      </c>
      <c r="AJ695">
        <v>0</v>
      </c>
      <c r="AK695" t="s">
        <v>6266</v>
      </c>
      <c r="AL695">
        <v>1</v>
      </c>
      <c r="AM695">
        <v>0</v>
      </c>
      <c r="AN695">
        <v>124.9</v>
      </c>
      <c r="AQ695" t="s">
        <v>6287</v>
      </c>
      <c r="AR695" t="s">
        <v>5312</v>
      </c>
      <c r="AS695" t="s">
        <v>6298</v>
      </c>
      <c r="AT695">
        <v>15600</v>
      </c>
      <c r="AX695" t="s">
        <v>184</v>
      </c>
      <c r="BA695" t="s">
        <v>6477</v>
      </c>
      <c r="BD695" t="s">
        <v>579</v>
      </c>
    </row>
    <row r="696" spans="1:57">
      <c r="A696" s="1">
        <f>HYPERLINK("https://lsnyc.legalserver.org/matter/dynamic-profile/view/1889538","19-1889538")</f>
        <v>0</v>
      </c>
      <c r="B696" t="s">
        <v>60</v>
      </c>
      <c r="C696" t="s">
        <v>183</v>
      </c>
      <c r="D696" t="s">
        <v>214</v>
      </c>
      <c r="E696" t="s">
        <v>483</v>
      </c>
      <c r="G696" t="s">
        <v>1130</v>
      </c>
      <c r="H696" t="s">
        <v>1830</v>
      </c>
      <c r="J696" t="s">
        <v>2697</v>
      </c>
      <c r="K696" t="s">
        <v>3110</v>
      </c>
      <c r="L696" t="s">
        <v>3343</v>
      </c>
      <c r="M696" t="s">
        <v>3379</v>
      </c>
      <c r="N696">
        <v>11368</v>
      </c>
      <c r="O696" t="s">
        <v>3380</v>
      </c>
      <c r="P696" t="s">
        <v>3380</v>
      </c>
      <c r="Q696" t="s">
        <v>3383</v>
      </c>
      <c r="R696" t="s">
        <v>3933</v>
      </c>
      <c r="S696">
        <v>4</v>
      </c>
      <c r="T696" t="s">
        <v>4197</v>
      </c>
      <c r="U696" t="s">
        <v>4224</v>
      </c>
      <c r="W696" t="s">
        <v>4245</v>
      </c>
      <c r="X696" t="s">
        <v>3382</v>
      </c>
      <c r="Y696" t="s">
        <v>3382</v>
      </c>
      <c r="AA696" t="s">
        <v>4256</v>
      </c>
      <c r="AC696">
        <v>0</v>
      </c>
      <c r="AD696">
        <v>1350</v>
      </c>
      <c r="AE696">
        <v>0.6</v>
      </c>
      <c r="AG696" t="s">
        <v>4943</v>
      </c>
      <c r="AH696" t="s">
        <v>5319</v>
      </c>
      <c r="AI696" t="s">
        <v>5977</v>
      </c>
      <c r="AJ696">
        <v>2</v>
      </c>
      <c r="AK696" t="s">
        <v>6266</v>
      </c>
      <c r="AL696">
        <v>1</v>
      </c>
      <c r="AM696">
        <v>1</v>
      </c>
      <c r="AN696">
        <v>17.84</v>
      </c>
      <c r="AQ696" t="s">
        <v>6286</v>
      </c>
      <c r="AR696" t="s">
        <v>5312</v>
      </c>
      <c r="AS696" t="s">
        <v>6298</v>
      </c>
      <c r="AT696">
        <v>3016</v>
      </c>
      <c r="AX696" t="s">
        <v>184</v>
      </c>
      <c r="BA696" t="s">
        <v>6564</v>
      </c>
      <c r="BD696" t="s">
        <v>483</v>
      </c>
    </row>
    <row r="697" spans="1:57">
      <c r="A697" s="1">
        <f>HYPERLINK("https://lsnyc.legalserver.org/matter/dynamic-profile/view/1911761","19-1911761")</f>
        <v>0</v>
      </c>
      <c r="B697" t="s">
        <v>60</v>
      </c>
      <c r="C697" t="s">
        <v>183</v>
      </c>
      <c r="D697" t="s">
        <v>214</v>
      </c>
      <c r="E697" t="s">
        <v>313</v>
      </c>
      <c r="G697" t="s">
        <v>641</v>
      </c>
      <c r="H697" t="s">
        <v>1831</v>
      </c>
      <c r="J697" t="s">
        <v>2698</v>
      </c>
      <c r="L697" t="s">
        <v>3343</v>
      </c>
      <c r="M697" t="s">
        <v>3379</v>
      </c>
      <c r="N697">
        <v>11368</v>
      </c>
      <c r="O697" t="s">
        <v>3380</v>
      </c>
      <c r="P697" t="s">
        <v>3381</v>
      </c>
      <c r="Q697" t="s">
        <v>3383</v>
      </c>
      <c r="R697" t="s">
        <v>3934</v>
      </c>
      <c r="S697">
        <v>2</v>
      </c>
      <c r="T697" t="s">
        <v>4197</v>
      </c>
      <c r="U697" t="s">
        <v>4224</v>
      </c>
      <c r="W697" t="s">
        <v>4245</v>
      </c>
      <c r="X697" t="s">
        <v>3382</v>
      </c>
      <c r="Y697" t="s">
        <v>3382</v>
      </c>
      <c r="AA697" t="s">
        <v>4256</v>
      </c>
      <c r="AC697">
        <v>0</v>
      </c>
      <c r="AD697">
        <v>2400</v>
      </c>
      <c r="AE697">
        <v>2.5</v>
      </c>
      <c r="AG697" t="s">
        <v>4944</v>
      </c>
      <c r="AI697" t="s">
        <v>5978</v>
      </c>
      <c r="AJ697">
        <v>1</v>
      </c>
      <c r="AK697" t="s">
        <v>6274</v>
      </c>
      <c r="AL697">
        <v>3</v>
      </c>
      <c r="AM697">
        <v>0</v>
      </c>
      <c r="AN697">
        <v>116.46</v>
      </c>
      <c r="AR697" t="s">
        <v>5312</v>
      </c>
      <c r="AS697" t="s">
        <v>6299</v>
      </c>
      <c r="AT697">
        <v>24840</v>
      </c>
      <c r="AX697" t="s">
        <v>6441</v>
      </c>
      <c r="BA697" t="s">
        <v>6480</v>
      </c>
      <c r="BD697" t="s">
        <v>275</v>
      </c>
      <c r="BE697" t="s">
        <v>6702</v>
      </c>
    </row>
    <row r="698" spans="1:57">
      <c r="A698" s="1">
        <f>HYPERLINK("https://lsnyc.legalserver.org/matter/dynamic-profile/view/1880722","18-1880722")</f>
        <v>0</v>
      </c>
      <c r="B698" t="s">
        <v>60</v>
      </c>
      <c r="C698" t="s">
        <v>183</v>
      </c>
      <c r="D698" t="s">
        <v>214</v>
      </c>
      <c r="E698" t="s">
        <v>428</v>
      </c>
      <c r="G698" t="s">
        <v>1131</v>
      </c>
      <c r="H698" t="s">
        <v>1832</v>
      </c>
      <c r="J698" t="s">
        <v>2699</v>
      </c>
      <c r="K698" t="s">
        <v>3038</v>
      </c>
      <c r="L698" t="s">
        <v>3353</v>
      </c>
      <c r="M698" t="s">
        <v>3379</v>
      </c>
      <c r="N698">
        <v>11365</v>
      </c>
      <c r="O698" t="s">
        <v>3380</v>
      </c>
      <c r="P698" t="s">
        <v>3380</v>
      </c>
      <c r="Q698" t="s">
        <v>3383</v>
      </c>
      <c r="R698" t="s">
        <v>3935</v>
      </c>
      <c r="S698">
        <v>9</v>
      </c>
      <c r="T698" t="s">
        <v>4196</v>
      </c>
      <c r="U698" t="s">
        <v>4224</v>
      </c>
      <c r="W698" t="s">
        <v>4245</v>
      </c>
      <c r="X698" t="s">
        <v>3382</v>
      </c>
      <c r="Y698" t="s">
        <v>3382</v>
      </c>
      <c r="AA698" t="s">
        <v>4256</v>
      </c>
      <c r="AC698">
        <v>1395</v>
      </c>
      <c r="AD698">
        <v>1395</v>
      </c>
      <c r="AE698">
        <v>0.7</v>
      </c>
      <c r="AG698" t="s">
        <v>4945</v>
      </c>
      <c r="AI698" t="s">
        <v>5979</v>
      </c>
      <c r="AJ698">
        <v>9</v>
      </c>
      <c r="AK698" t="s">
        <v>6266</v>
      </c>
      <c r="AL698">
        <v>1</v>
      </c>
      <c r="AM698">
        <v>1</v>
      </c>
      <c r="AN698">
        <v>121.51</v>
      </c>
      <c r="AQ698" t="s">
        <v>6288</v>
      </c>
      <c r="AS698" t="s">
        <v>6298</v>
      </c>
      <c r="AT698">
        <v>20000</v>
      </c>
      <c r="AX698" t="s">
        <v>184</v>
      </c>
      <c r="BA698" t="s">
        <v>6477</v>
      </c>
      <c r="BD698" t="s">
        <v>279</v>
      </c>
    </row>
    <row r="699" spans="1:57">
      <c r="A699" s="1">
        <f>HYPERLINK("https://lsnyc.legalserver.org/matter/dynamic-profile/view/1843345","17-1843345")</f>
        <v>0</v>
      </c>
      <c r="B699" t="s">
        <v>60</v>
      </c>
      <c r="C699" t="s">
        <v>183</v>
      </c>
      <c r="D699" t="s">
        <v>214</v>
      </c>
      <c r="E699" t="s">
        <v>484</v>
      </c>
      <c r="G699" t="s">
        <v>666</v>
      </c>
      <c r="H699" t="s">
        <v>1833</v>
      </c>
      <c r="J699" t="s">
        <v>2700</v>
      </c>
      <c r="K699" t="s">
        <v>3266</v>
      </c>
      <c r="L699" t="s">
        <v>3354</v>
      </c>
      <c r="M699" t="s">
        <v>3379</v>
      </c>
      <c r="N699">
        <v>11356</v>
      </c>
      <c r="O699" t="s">
        <v>3381</v>
      </c>
      <c r="P699" t="s">
        <v>3381</v>
      </c>
      <c r="S699">
        <v>0</v>
      </c>
      <c r="W699" t="s">
        <v>4245</v>
      </c>
      <c r="X699" t="s">
        <v>3382</v>
      </c>
      <c r="AA699" t="s">
        <v>4256</v>
      </c>
      <c r="AC699">
        <v>0</v>
      </c>
      <c r="AD699">
        <v>0</v>
      </c>
      <c r="AE699">
        <v>0.6</v>
      </c>
      <c r="AG699" t="s">
        <v>4946</v>
      </c>
      <c r="AI699" t="s">
        <v>5980</v>
      </c>
      <c r="AJ699">
        <v>0</v>
      </c>
      <c r="AL699">
        <v>2</v>
      </c>
      <c r="AM699">
        <v>2</v>
      </c>
      <c r="AN699">
        <v>84.55</v>
      </c>
      <c r="AT699">
        <v>20800</v>
      </c>
      <c r="AX699" t="s">
        <v>6443</v>
      </c>
      <c r="BA699" t="s">
        <v>6477</v>
      </c>
      <c r="BD699" t="s">
        <v>6666</v>
      </c>
    </row>
    <row r="700" spans="1:57">
      <c r="A700" s="1">
        <f>HYPERLINK("https://lsnyc.legalserver.org/matter/dynamic-profile/view/1889284","19-1889284")</f>
        <v>0</v>
      </c>
      <c r="B700" t="s">
        <v>60</v>
      </c>
      <c r="C700" t="s">
        <v>183</v>
      </c>
      <c r="D700" t="s">
        <v>214</v>
      </c>
      <c r="E700" t="s">
        <v>493</v>
      </c>
      <c r="G700" t="s">
        <v>1132</v>
      </c>
      <c r="H700" t="s">
        <v>1834</v>
      </c>
      <c r="J700" t="s">
        <v>2701</v>
      </c>
      <c r="K700" t="s">
        <v>3267</v>
      </c>
      <c r="L700" t="s">
        <v>3355</v>
      </c>
      <c r="M700" t="s">
        <v>3379</v>
      </c>
      <c r="N700">
        <v>11355</v>
      </c>
      <c r="O700" t="s">
        <v>3380</v>
      </c>
      <c r="P700" t="s">
        <v>3380</v>
      </c>
      <c r="Q700" t="s">
        <v>3383</v>
      </c>
      <c r="R700" t="s">
        <v>3936</v>
      </c>
      <c r="S700">
        <v>7</v>
      </c>
      <c r="T700" t="s">
        <v>4197</v>
      </c>
      <c r="U700" t="s">
        <v>4225</v>
      </c>
      <c r="W700" t="s">
        <v>4245</v>
      </c>
      <c r="X700" t="s">
        <v>3382</v>
      </c>
      <c r="Y700" t="s">
        <v>3382</v>
      </c>
      <c r="AA700" t="s">
        <v>4256</v>
      </c>
      <c r="AC700">
        <v>0</v>
      </c>
      <c r="AD700">
        <v>1900</v>
      </c>
      <c r="AE700">
        <v>2.45</v>
      </c>
      <c r="AG700" t="s">
        <v>4947</v>
      </c>
      <c r="AI700" t="s">
        <v>5981</v>
      </c>
      <c r="AJ700">
        <v>0</v>
      </c>
      <c r="AK700" t="s">
        <v>6266</v>
      </c>
      <c r="AL700">
        <v>1</v>
      </c>
      <c r="AM700">
        <v>3</v>
      </c>
      <c r="AN700">
        <v>93.2</v>
      </c>
      <c r="AQ700" t="s">
        <v>6288</v>
      </c>
      <c r="AR700" t="s">
        <v>5312</v>
      </c>
      <c r="AS700" t="s">
        <v>6298</v>
      </c>
      <c r="AT700">
        <v>24000</v>
      </c>
      <c r="AX700" t="s">
        <v>184</v>
      </c>
      <c r="BA700" t="s">
        <v>6477</v>
      </c>
      <c r="BD700" t="s">
        <v>250</v>
      </c>
    </row>
    <row r="701" spans="1:57">
      <c r="A701" s="1">
        <f>HYPERLINK("https://lsnyc.legalserver.org/matter/dynamic-profile/view/1909863","19-1909863")</f>
        <v>0</v>
      </c>
      <c r="B701" t="s">
        <v>60</v>
      </c>
      <c r="C701" t="s">
        <v>183</v>
      </c>
      <c r="D701" t="s">
        <v>214</v>
      </c>
      <c r="E701" t="s">
        <v>495</v>
      </c>
      <c r="G701" t="s">
        <v>899</v>
      </c>
      <c r="H701" t="s">
        <v>1835</v>
      </c>
      <c r="J701" t="s">
        <v>2702</v>
      </c>
      <c r="K701" t="s">
        <v>2998</v>
      </c>
      <c r="L701" t="s">
        <v>3346</v>
      </c>
      <c r="M701" t="s">
        <v>3379</v>
      </c>
      <c r="N701">
        <v>11102</v>
      </c>
      <c r="O701" t="s">
        <v>3381</v>
      </c>
      <c r="P701" t="s">
        <v>3381</v>
      </c>
      <c r="Q701" t="s">
        <v>3387</v>
      </c>
      <c r="S701">
        <v>40</v>
      </c>
      <c r="T701" t="s">
        <v>4201</v>
      </c>
      <c r="U701" t="s">
        <v>4228</v>
      </c>
      <c r="W701" t="s">
        <v>4245</v>
      </c>
      <c r="X701" t="s">
        <v>3382</v>
      </c>
      <c r="Y701" t="s">
        <v>3380</v>
      </c>
      <c r="AA701" t="s">
        <v>4256</v>
      </c>
      <c r="AB701" t="s">
        <v>4266</v>
      </c>
      <c r="AC701">
        <v>0</v>
      </c>
      <c r="AD701">
        <v>552</v>
      </c>
      <c r="AE701">
        <v>3</v>
      </c>
      <c r="AG701" t="s">
        <v>4948</v>
      </c>
      <c r="AI701" t="s">
        <v>5982</v>
      </c>
      <c r="AJ701">
        <v>0</v>
      </c>
      <c r="AK701" t="s">
        <v>6273</v>
      </c>
      <c r="AL701">
        <v>4</v>
      </c>
      <c r="AM701">
        <v>2</v>
      </c>
      <c r="AN701">
        <v>48.01</v>
      </c>
      <c r="AS701" t="s">
        <v>6298</v>
      </c>
      <c r="AT701">
        <v>16608</v>
      </c>
      <c r="AX701" t="s">
        <v>201</v>
      </c>
      <c r="BA701" t="s">
        <v>6501</v>
      </c>
      <c r="BD701" t="s">
        <v>300</v>
      </c>
    </row>
    <row r="702" spans="1:57">
      <c r="A702" s="1">
        <f>HYPERLINK("https://lsnyc.legalserver.org/matter/dynamic-profile/view/1884055","18-1884055")</f>
        <v>0</v>
      </c>
      <c r="B702" t="s">
        <v>60</v>
      </c>
      <c r="C702" t="s">
        <v>184</v>
      </c>
      <c r="D702" t="s">
        <v>214</v>
      </c>
      <c r="E702" t="s">
        <v>480</v>
      </c>
      <c r="G702" t="s">
        <v>843</v>
      </c>
      <c r="H702" t="s">
        <v>1836</v>
      </c>
      <c r="J702" t="s">
        <v>2703</v>
      </c>
      <c r="K702" t="s">
        <v>3101</v>
      </c>
      <c r="L702" t="s">
        <v>3333</v>
      </c>
      <c r="M702" t="s">
        <v>3379</v>
      </c>
      <c r="N702">
        <v>11436</v>
      </c>
      <c r="O702" t="s">
        <v>3380</v>
      </c>
      <c r="P702" t="s">
        <v>3380</v>
      </c>
      <c r="Q702" t="s">
        <v>3383</v>
      </c>
      <c r="R702" t="s">
        <v>3937</v>
      </c>
      <c r="S702">
        <v>5</v>
      </c>
      <c r="T702" t="s">
        <v>4197</v>
      </c>
      <c r="U702" t="s">
        <v>4224</v>
      </c>
      <c r="W702" t="s">
        <v>4245</v>
      </c>
      <c r="X702" t="s">
        <v>3382</v>
      </c>
      <c r="Y702" t="s">
        <v>3382</v>
      </c>
      <c r="AA702" t="s">
        <v>4256</v>
      </c>
      <c r="AC702">
        <v>0</v>
      </c>
      <c r="AD702">
        <v>1300</v>
      </c>
      <c r="AE702">
        <v>0.2</v>
      </c>
      <c r="AG702" t="s">
        <v>4949</v>
      </c>
      <c r="AH702" t="s">
        <v>5320</v>
      </c>
      <c r="AI702" t="s">
        <v>5983</v>
      </c>
      <c r="AJ702">
        <v>0</v>
      </c>
      <c r="AL702">
        <v>2</v>
      </c>
      <c r="AM702">
        <v>0</v>
      </c>
      <c r="AN702">
        <v>12.15</v>
      </c>
      <c r="AQ702" t="s">
        <v>6287</v>
      </c>
      <c r="AR702" t="s">
        <v>5312</v>
      </c>
      <c r="AS702" t="s">
        <v>6298</v>
      </c>
      <c r="AT702">
        <v>2000</v>
      </c>
      <c r="AX702" t="s">
        <v>184</v>
      </c>
      <c r="BA702" t="s">
        <v>6564</v>
      </c>
      <c r="BD702" t="s">
        <v>234</v>
      </c>
    </row>
    <row r="703" spans="1:57">
      <c r="A703" s="1">
        <f>HYPERLINK("https://lsnyc.legalserver.org/matter/dynamic-profile/view/1877497","18-1877497")</f>
        <v>0</v>
      </c>
      <c r="B703" t="s">
        <v>60</v>
      </c>
      <c r="C703" t="s">
        <v>184</v>
      </c>
      <c r="D703" t="s">
        <v>214</v>
      </c>
      <c r="E703" t="s">
        <v>472</v>
      </c>
      <c r="G703" t="s">
        <v>806</v>
      </c>
      <c r="H703" t="s">
        <v>1837</v>
      </c>
      <c r="J703" t="s">
        <v>2704</v>
      </c>
      <c r="K703">
        <v>1</v>
      </c>
      <c r="L703" t="s">
        <v>3347</v>
      </c>
      <c r="M703" t="s">
        <v>3379</v>
      </c>
      <c r="N703">
        <v>11423</v>
      </c>
      <c r="O703" t="s">
        <v>3380</v>
      </c>
      <c r="P703" t="s">
        <v>3381</v>
      </c>
      <c r="Q703" t="s">
        <v>3383</v>
      </c>
      <c r="R703" t="s">
        <v>3938</v>
      </c>
      <c r="S703">
        <v>3</v>
      </c>
      <c r="T703" t="s">
        <v>4196</v>
      </c>
      <c r="U703" t="s">
        <v>4224</v>
      </c>
      <c r="W703" t="s">
        <v>4245</v>
      </c>
      <c r="X703" t="s">
        <v>3382</v>
      </c>
      <c r="Y703" t="s">
        <v>3382</v>
      </c>
      <c r="AA703" t="s">
        <v>4256</v>
      </c>
      <c r="AC703">
        <v>39.12</v>
      </c>
      <c r="AD703">
        <v>1995</v>
      </c>
      <c r="AE703">
        <v>0.15</v>
      </c>
      <c r="AG703" t="s">
        <v>4950</v>
      </c>
      <c r="AH703" t="s">
        <v>5321</v>
      </c>
      <c r="AI703" t="s">
        <v>5984</v>
      </c>
      <c r="AJ703">
        <v>40</v>
      </c>
      <c r="AK703" t="s">
        <v>6266</v>
      </c>
      <c r="AL703">
        <v>1</v>
      </c>
      <c r="AM703">
        <v>4</v>
      </c>
      <c r="AN703">
        <v>25.7</v>
      </c>
      <c r="AQ703" t="s">
        <v>6286</v>
      </c>
      <c r="AR703" t="s">
        <v>6291</v>
      </c>
      <c r="AS703" t="s">
        <v>6298</v>
      </c>
      <c r="AT703">
        <v>7562</v>
      </c>
      <c r="AV703" t="s">
        <v>3380</v>
      </c>
      <c r="AX703" t="s">
        <v>184</v>
      </c>
      <c r="BA703" t="s">
        <v>3391</v>
      </c>
      <c r="BD703" t="s">
        <v>234</v>
      </c>
    </row>
    <row r="704" spans="1:57">
      <c r="A704" s="1">
        <f>HYPERLINK("https://lsnyc.legalserver.org/matter/dynamic-profile/view/1886242","18-1886242")</f>
        <v>0</v>
      </c>
      <c r="B704" t="s">
        <v>60</v>
      </c>
      <c r="C704" t="s">
        <v>184</v>
      </c>
      <c r="D704" t="s">
        <v>214</v>
      </c>
      <c r="E704" t="s">
        <v>443</v>
      </c>
      <c r="G704" t="s">
        <v>680</v>
      </c>
      <c r="H704" t="s">
        <v>1838</v>
      </c>
      <c r="J704" t="s">
        <v>2705</v>
      </c>
      <c r="K704" t="s">
        <v>3259</v>
      </c>
      <c r="L704" t="s">
        <v>3349</v>
      </c>
      <c r="M704" t="s">
        <v>3379</v>
      </c>
      <c r="N704">
        <v>11418</v>
      </c>
      <c r="O704" t="s">
        <v>3380</v>
      </c>
      <c r="P704" t="s">
        <v>3380</v>
      </c>
      <c r="Q704" t="s">
        <v>3383</v>
      </c>
      <c r="R704" t="s">
        <v>3939</v>
      </c>
      <c r="S704">
        <v>21</v>
      </c>
      <c r="T704" t="s">
        <v>4197</v>
      </c>
      <c r="U704" t="s">
        <v>4224</v>
      </c>
      <c r="W704" t="s">
        <v>4245</v>
      </c>
      <c r="X704" t="s">
        <v>3382</v>
      </c>
      <c r="Y704" t="s">
        <v>3382</v>
      </c>
      <c r="AA704" t="s">
        <v>4256</v>
      </c>
      <c r="AC704">
        <v>0</v>
      </c>
      <c r="AD704">
        <v>1400</v>
      </c>
      <c r="AE704">
        <v>0.05</v>
      </c>
      <c r="AG704" t="s">
        <v>4951</v>
      </c>
      <c r="AH704" t="s">
        <v>5322</v>
      </c>
      <c r="AI704" t="s">
        <v>5985</v>
      </c>
      <c r="AJ704">
        <v>0</v>
      </c>
      <c r="AK704" t="s">
        <v>6266</v>
      </c>
      <c r="AL704">
        <v>1</v>
      </c>
      <c r="AM704">
        <v>0</v>
      </c>
      <c r="AN704">
        <v>79.08</v>
      </c>
      <c r="AQ704" t="s">
        <v>6287</v>
      </c>
      <c r="AR704" t="s">
        <v>6290</v>
      </c>
      <c r="AS704" t="s">
        <v>6298</v>
      </c>
      <c r="AT704">
        <v>9600</v>
      </c>
      <c r="AX704" t="s">
        <v>184</v>
      </c>
      <c r="BA704" t="s">
        <v>6477</v>
      </c>
      <c r="BD704" t="s">
        <v>579</v>
      </c>
    </row>
    <row r="705" spans="1:57">
      <c r="A705" s="1">
        <f>HYPERLINK("https://lsnyc.legalserver.org/matter/dynamic-profile/view/1887399","19-1887399")</f>
        <v>0</v>
      </c>
      <c r="B705" t="s">
        <v>60</v>
      </c>
      <c r="C705" t="s">
        <v>184</v>
      </c>
      <c r="D705" t="s">
        <v>214</v>
      </c>
      <c r="E705" t="s">
        <v>496</v>
      </c>
      <c r="G705" t="s">
        <v>1133</v>
      </c>
      <c r="H705" t="s">
        <v>1360</v>
      </c>
      <c r="J705" t="s">
        <v>2706</v>
      </c>
      <c r="K705" t="s">
        <v>3268</v>
      </c>
      <c r="L705" t="s">
        <v>3356</v>
      </c>
      <c r="M705" t="s">
        <v>3379</v>
      </c>
      <c r="N705">
        <v>11413</v>
      </c>
      <c r="O705" t="s">
        <v>3380</v>
      </c>
      <c r="P705" t="s">
        <v>3380</v>
      </c>
      <c r="Q705" t="s">
        <v>3383</v>
      </c>
      <c r="R705" t="s">
        <v>3940</v>
      </c>
      <c r="S705">
        <v>3</v>
      </c>
      <c r="T705" t="s">
        <v>4197</v>
      </c>
      <c r="U705" t="s">
        <v>4224</v>
      </c>
      <c r="W705" t="s">
        <v>4245</v>
      </c>
      <c r="X705" t="s">
        <v>3382</v>
      </c>
      <c r="Y705" t="s">
        <v>3382</v>
      </c>
      <c r="AA705" t="s">
        <v>4256</v>
      </c>
      <c r="AC705">
        <v>0</v>
      </c>
      <c r="AD705">
        <v>1400</v>
      </c>
      <c r="AE705">
        <v>0.05</v>
      </c>
      <c r="AG705" t="s">
        <v>4558</v>
      </c>
      <c r="AH705" t="s">
        <v>5323</v>
      </c>
      <c r="AI705" t="s">
        <v>5986</v>
      </c>
      <c r="AJ705">
        <v>0</v>
      </c>
      <c r="AK705" t="s">
        <v>6266</v>
      </c>
      <c r="AL705">
        <v>2</v>
      </c>
      <c r="AM705">
        <v>1</v>
      </c>
      <c r="AN705">
        <v>181.17</v>
      </c>
      <c r="AQ705" t="s">
        <v>6286</v>
      </c>
      <c r="AR705" t="s">
        <v>5312</v>
      </c>
      <c r="AS705" t="s">
        <v>6298</v>
      </c>
      <c r="AT705">
        <v>37648</v>
      </c>
      <c r="AX705" t="s">
        <v>184</v>
      </c>
      <c r="BA705" t="s">
        <v>6477</v>
      </c>
      <c r="BD705" t="s">
        <v>579</v>
      </c>
    </row>
    <row r="706" spans="1:57">
      <c r="A706" s="1">
        <f>HYPERLINK("https://lsnyc.legalserver.org/matter/dynamic-profile/view/1879547","18-1879547")</f>
        <v>0</v>
      </c>
      <c r="B706" t="s">
        <v>60</v>
      </c>
      <c r="C706" t="s">
        <v>184</v>
      </c>
      <c r="D706" t="s">
        <v>214</v>
      </c>
      <c r="E706" t="s">
        <v>461</v>
      </c>
      <c r="G706" t="s">
        <v>936</v>
      </c>
      <c r="H706" t="s">
        <v>1839</v>
      </c>
      <c r="J706" t="s">
        <v>2707</v>
      </c>
      <c r="L706" t="s">
        <v>3357</v>
      </c>
      <c r="M706" t="s">
        <v>3379</v>
      </c>
      <c r="N706">
        <v>11385</v>
      </c>
      <c r="O706" t="s">
        <v>3380</v>
      </c>
      <c r="P706" t="s">
        <v>3380</v>
      </c>
      <c r="Q706" t="s">
        <v>3383</v>
      </c>
      <c r="R706" t="s">
        <v>3941</v>
      </c>
      <c r="S706">
        <v>11</v>
      </c>
      <c r="T706" t="s">
        <v>4197</v>
      </c>
      <c r="U706" t="s">
        <v>4224</v>
      </c>
      <c r="W706" t="s">
        <v>4245</v>
      </c>
      <c r="X706" t="s">
        <v>3382</v>
      </c>
      <c r="Y706" t="s">
        <v>3382</v>
      </c>
      <c r="AA706" t="s">
        <v>4256</v>
      </c>
      <c r="AC706">
        <v>1475</v>
      </c>
      <c r="AD706">
        <v>1475</v>
      </c>
      <c r="AE706">
        <v>0.1</v>
      </c>
      <c r="AG706" t="s">
        <v>4952</v>
      </c>
      <c r="AH706" t="s">
        <v>5324</v>
      </c>
      <c r="AI706" t="s">
        <v>5987</v>
      </c>
      <c r="AJ706">
        <v>0</v>
      </c>
      <c r="AK706" t="s">
        <v>6266</v>
      </c>
      <c r="AL706">
        <v>2</v>
      </c>
      <c r="AM706">
        <v>2</v>
      </c>
      <c r="AN706">
        <v>72</v>
      </c>
      <c r="AQ706" t="s">
        <v>6286</v>
      </c>
      <c r="AR706" t="s">
        <v>5312</v>
      </c>
      <c r="AS706" t="s">
        <v>6298</v>
      </c>
      <c r="AT706">
        <v>18072</v>
      </c>
      <c r="AX706" t="s">
        <v>184</v>
      </c>
      <c r="BA706" t="s">
        <v>6509</v>
      </c>
      <c r="BD706" t="s">
        <v>579</v>
      </c>
    </row>
    <row r="707" spans="1:57">
      <c r="A707" s="1">
        <f>HYPERLINK("https://lsnyc.legalserver.org/matter/dynamic-profile/view/1877482","18-1877482")</f>
        <v>0</v>
      </c>
      <c r="B707" t="s">
        <v>60</v>
      </c>
      <c r="C707" t="s">
        <v>184</v>
      </c>
      <c r="D707" t="s">
        <v>214</v>
      </c>
      <c r="E707" t="s">
        <v>472</v>
      </c>
      <c r="G707" t="s">
        <v>1134</v>
      </c>
      <c r="H707" t="s">
        <v>1840</v>
      </c>
      <c r="J707" t="s">
        <v>2708</v>
      </c>
      <c r="K707" t="s">
        <v>3122</v>
      </c>
      <c r="L707" t="s">
        <v>3338</v>
      </c>
      <c r="M707" t="s">
        <v>3379</v>
      </c>
      <c r="N707">
        <v>11385</v>
      </c>
      <c r="O707" t="s">
        <v>3380</v>
      </c>
      <c r="P707" t="s">
        <v>3381</v>
      </c>
      <c r="Q707" t="s">
        <v>3383</v>
      </c>
      <c r="R707" t="s">
        <v>3942</v>
      </c>
      <c r="S707">
        <v>48</v>
      </c>
      <c r="T707" t="s">
        <v>4196</v>
      </c>
      <c r="U707" t="s">
        <v>4224</v>
      </c>
      <c r="W707" t="s">
        <v>4246</v>
      </c>
      <c r="X707" t="s">
        <v>3382</v>
      </c>
      <c r="Y707" t="s">
        <v>3382</v>
      </c>
      <c r="AA707" t="s">
        <v>4256</v>
      </c>
      <c r="AC707">
        <v>815.67</v>
      </c>
      <c r="AD707">
        <v>815.67</v>
      </c>
      <c r="AE707">
        <v>0</v>
      </c>
      <c r="AG707" t="s">
        <v>4953</v>
      </c>
      <c r="AH707" t="s">
        <v>5325</v>
      </c>
      <c r="AI707" t="s">
        <v>5988</v>
      </c>
      <c r="AJ707">
        <v>6</v>
      </c>
      <c r="AK707" t="s">
        <v>6266</v>
      </c>
      <c r="AL707">
        <v>2</v>
      </c>
      <c r="AM707">
        <v>0</v>
      </c>
      <c r="AN707">
        <v>22.9</v>
      </c>
      <c r="AQ707" t="s">
        <v>6287</v>
      </c>
      <c r="AR707" t="s">
        <v>5312</v>
      </c>
      <c r="AS707" t="s">
        <v>6298</v>
      </c>
      <c r="AT707">
        <v>3770</v>
      </c>
      <c r="AV707" t="s">
        <v>3380</v>
      </c>
      <c r="AX707" t="s">
        <v>184</v>
      </c>
      <c r="BA707" t="s">
        <v>6478</v>
      </c>
    </row>
    <row r="708" spans="1:57">
      <c r="A708" s="1">
        <f>HYPERLINK("https://lsnyc.legalserver.org/matter/dynamic-profile/view/1887407","19-1887407")</f>
        <v>0</v>
      </c>
      <c r="B708" t="s">
        <v>60</v>
      </c>
      <c r="C708" t="s">
        <v>184</v>
      </c>
      <c r="D708" t="s">
        <v>214</v>
      </c>
      <c r="E708" t="s">
        <v>496</v>
      </c>
      <c r="G708" t="s">
        <v>1135</v>
      </c>
      <c r="H708" t="s">
        <v>1841</v>
      </c>
      <c r="J708" t="s">
        <v>2709</v>
      </c>
      <c r="K708" t="s">
        <v>3257</v>
      </c>
      <c r="L708" t="s">
        <v>3343</v>
      </c>
      <c r="M708" t="s">
        <v>3379</v>
      </c>
      <c r="N708">
        <v>11368</v>
      </c>
      <c r="O708" t="s">
        <v>3380</v>
      </c>
      <c r="P708" t="s">
        <v>3380</v>
      </c>
      <c r="Q708" t="s">
        <v>3383</v>
      </c>
      <c r="R708" t="s">
        <v>3943</v>
      </c>
      <c r="S708">
        <v>1</v>
      </c>
      <c r="T708" t="s">
        <v>4196</v>
      </c>
      <c r="U708" t="s">
        <v>4224</v>
      </c>
      <c r="W708" t="s">
        <v>4245</v>
      </c>
      <c r="X708" t="s">
        <v>3382</v>
      </c>
      <c r="Y708" t="s">
        <v>3382</v>
      </c>
      <c r="AA708" t="s">
        <v>4256</v>
      </c>
      <c r="AC708">
        <v>0</v>
      </c>
      <c r="AD708">
        <v>1996</v>
      </c>
      <c r="AE708">
        <v>0.1</v>
      </c>
      <c r="AG708" t="s">
        <v>4954</v>
      </c>
      <c r="AI708" t="s">
        <v>5989</v>
      </c>
      <c r="AJ708">
        <v>234</v>
      </c>
      <c r="AK708" t="s">
        <v>6266</v>
      </c>
      <c r="AL708">
        <v>2</v>
      </c>
      <c r="AM708">
        <v>1</v>
      </c>
      <c r="AN708">
        <v>95.28</v>
      </c>
      <c r="AQ708" t="s">
        <v>6286</v>
      </c>
      <c r="AR708" t="s">
        <v>5312</v>
      </c>
      <c r="AS708" t="s">
        <v>6298</v>
      </c>
      <c r="AT708">
        <v>19800</v>
      </c>
      <c r="AX708" t="s">
        <v>184</v>
      </c>
      <c r="BA708" t="s">
        <v>6502</v>
      </c>
      <c r="BD708" t="s">
        <v>579</v>
      </c>
    </row>
    <row r="709" spans="1:57">
      <c r="A709" s="1">
        <f>HYPERLINK("https://lsnyc.legalserver.org/matter/dynamic-profile/view/1910479","19-1910479")</f>
        <v>0</v>
      </c>
      <c r="B709" t="s">
        <v>60</v>
      </c>
      <c r="C709" t="s">
        <v>185</v>
      </c>
      <c r="D709" t="s">
        <v>214</v>
      </c>
      <c r="E709" t="s">
        <v>223</v>
      </c>
      <c r="G709" t="s">
        <v>1136</v>
      </c>
      <c r="H709" t="s">
        <v>1842</v>
      </c>
      <c r="J709" t="s">
        <v>2710</v>
      </c>
      <c r="K709" t="s">
        <v>3045</v>
      </c>
      <c r="L709" t="s">
        <v>3358</v>
      </c>
      <c r="M709" t="s">
        <v>3379</v>
      </c>
      <c r="N709">
        <v>11693</v>
      </c>
      <c r="O709" t="s">
        <v>3381</v>
      </c>
      <c r="P709" t="s">
        <v>3381</v>
      </c>
      <c r="S709">
        <v>3</v>
      </c>
      <c r="T709" t="s">
        <v>4196</v>
      </c>
      <c r="U709" t="s">
        <v>4225</v>
      </c>
      <c r="W709" t="s">
        <v>4245</v>
      </c>
      <c r="X709" t="s">
        <v>3382</v>
      </c>
      <c r="Y709" t="s">
        <v>3382</v>
      </c>
      <c r="AA709" t="s">
        <v>4256</v>
      </c>
      <c r="AC709">
        <v>0</v>
      </c>
      <c r="AD709">
        <v>1800</v>
      </c>
      <c r="AE709">
        <v>1.4</v>
      </c>
      <c r="AG709" t="s">
        <v>4955</v>
      </c>
      <c r="AI709" t="s">
        <v>5990</v>
      </c>
      <c r="AJ709">
        <v>0</v>
      </c>
      <c r="AL709">
        <v>1</v>
      </c>
      <c r="AM709">
        <v>0</v>
      </c>
      <c r="AN709">
        <v>0</v>
      </c>
      <c r="AS709" t="s">
        <v>6298</v>
      </c>
      <c r="AT709">
        <v>0</v>
      </c>
      <c r="AX709" t="s">
        <v>188</v>
      </c>
      <c r="BA709" t="s">
        <v>6486</v>
      </c>
      <c r="BD709" t="s">
        <v>223</v>
      </c>
    </row>
    <row r="710" spans="1:57">
      <c r="A710" s="1">
        <f>HYPERLINK("https://lsnyc.legalserver.org/matter/dynamic-profile/view/1908473","19-1908473")</f>
        <v>0</v>
      </c>
      <c r="B710" t="s">
        <v>60</v>
      </c>
      <c r="C710" t="s">
        <v>185</v>
      </c>
      <c r="D710" t="s">
        <v>214</v>
      </c>
      <c r="E710" t="s">
        <v>301</v>
      </c>
      <c r="G710" t="s">
        <v>1137</v>
      </c>
      <c r="H710" t="s">
        <v>1843</v>
      </c>
      <c r="J710" t="s">
        <v>2711</v>
      </c>
      <c r="K710">
        <v>1</v>
      </c>
      <c r="L710" t="s">
        <v>3333</v>
      </c>
      <c r="M710" t="s">
        <v>3379</v>
      </c>
      <c r="N710">
        <v>11434</v>
      </c>
      <c r="O710" t="s">
        <v>3380</v>
      </c>
      <c r="P710" t="s">
        <v>3381</v>
      </c>
      <c r="Q710" t="s">
        <v>3384</v>
      </c>
      <c r="R710" t="s">
        <v>3944</v>
      </c>
      <c r="S710">
        <v>2</v>
      </c>
      <c r="T710" t="s">
        <v>4197</v>
      </c>
      <c r="U710" t="s">
        <v>4225</v>
      </c>
      <c r="W710" t="s">
        <v>4246</v>
      </c>
      <c r="X710" t="s">
        <v>3382</v>
      </c>
      <c r="Y710" t="s">
        <v>3382</v>
      </c>
      <c r="AA710" t="s">
        <v>4256</v>
      </c>
      <c r="AC710">
        <v>0</v>
      </c>
      <c r="AD710">
        <v>800</v>
      </c>
      <c r="AE710">
        <v>4.01</v>
      </c>
      <c r="AG710" t="s">
        <v>4956</v>
      </c>
      <c r="AJ710">
        <v>8</v>
      </c>
      <c r="AL710">
        <v>1</v>
      </c>
      <c r="AM710">
        <v>0</v>
      </c>
      <c r="AN710">
        <v>0</v>
      </c>
      <c r="AR710" t="s">
        <v>6290</v>
      </c>
      <c r="AS710" t="s">
        <v>6298</v>
      </c>
      <c r="AT710">
        <v>0</v>
      </c>
      <c r="AX710" t="s">
        <v>6441</v>
      </c>
      <c r="BA710" t="s">
        <v>6479</v>
      </c>
      <c r="BD710" t="s">
        <v>223</v>
      </c>
      <c r="BE710" t="s">
        <v>6702</v>
      </c>
    </row>
    <row r="711" spans="1:57">
      <c r="A711" s="1">
        <f>HYPERLINK("https://lsnyc.legalserver.org/matter/dynamic-profile/view/1913421","19-1913421")</f>
        <v>0</v>
      </c>
      <c r="B711" t="s">
        <v>60</v>
      </c>
      <c r="C711" t="s">
        <v>185</v>
      </c>
      <c r="D711" t="s">
        <v>214</v>
      </c>
      <c r="E711" t="s">
        <v>316</v>
      </c>
      <c r="G711" t="s">
        <v>1138</v>
      </c>
      <c r="H711" t="s">
        <v>1844</v>
      </c>
      <c r="J711" t="s">
        <v>2712</v>
      </c>
      <c r="K711">
        <v>406</v>
      </c>
      <c r="L711" t="s">
        <v>3333</v>
      </c>
      <c r="M711" t="s">
        <v>3379</v>
      </c>
      <c r="N711">
        <v>11434</v>
      </c>
      <c r="O711" t="s">
        <v>3380</v>
      </c>
      <c r="P711" t="s">
        <v>3381</v>
      </c>
      <c r="Q711" t="s">
        <v>3384</v>
      </c>
      <c r="R711" t="s">
        <v>3945</v>
      </c>
      <c r="S711">
        <v>2</v>
      </c>
      <c r="T711" t="s">
        <v>4196</v>
      </c>
      <c r="U711" t="s">
        <v>4223</v>
      </c>
      <c r="W711" t="s">
        <v>4246</v>
      </c>
      <c r="X711" t="s">
        <v>3382</v>
      </c>
      <c r="Y711" t="s">
        <v>3382</v>
      </c>
      <c r="AA711" t="s">
        <v>4256</v>
      </c>
      <c r="AC711">
        <v>0</v>
      </c>
      <c r="AD711">
        <v>958.36</v>
      </c>
      <c r="AE711">
        <v>4.23</v>
      </c>
      <c r="AG711" t="s">
        <v>4957</v>
      </c>
      <c r="AI711" t="s">
        <v>5991</v>
      </c>
      <c r="AJ711">
        <v>0</v>
      </c>
      <c r="AK711" t="s">
        <v>6266</v>
      </c>
      <c r="AL711">
        <v>1</v>
      </c>
      <c r="AM711">
        <v>0</v>
      </c>
      <c r="AN711">
        <v>158.53</v>
      </c>
      <c r="AS711" t="s">
        <v>6298</v>
      </c>
      <c r="AT711">
        <v>19800</v>
      </c>
      <c r="AX711" t="s">
        <v>6441</v>
      </c>
      <c r="BA711" t="s">
        <v>6492</v>
      </c>
      <c r="BD711" t="s">
        <v>231</v>
      </c>
      <c r="BE711" t="s">
        <v>6702</v>
      </c>
    </row>
    <row r="712" spans="1:57">
      <c r="A712" s="1">
        <f>HYPERLINK("https://lsnyc.legalserver.org/matter/dynamic-profile/view/1914184","19-1914184")</f>
        <v>0</v>
      </c>
      <c r="B712" t="s">
        <v>60</v>
      </c>
      <c r="C712" t="s">
        <v>185</v>
      </c>
      <c r="D712" t="s">
        <v>214</v>
      </c>
      <c r="E712" t="s">
        <v>219</v>
      </c>
      <c r="G712" t="s">
        <v>767</v>
      </c>
      <c r="H712" t="s">
        <v>1431</v>
      </c>
      <c r="J712" t="s">
        <v>2668</v>
      </c>
      <c r="K712" t="s">
        <v>3047</v>
      </c>
      <c r="L712" t="s">
        <v>3337</v>
      </c>
      <c r="M712" t="s">
        <v>3379</v>
      </c>
      <c r="N712">
        <v>11417</v>
      </c>
      <c r="O712" t="s">
        <v>3381</v>
      </c>
      <c r="P712" t="s">
        <v>3381</v>
      </c>
      <c r="Q712" t="s">
        <v>3383</v>
      </c>
      <c r="R712" t="s">
        <v>3946</v>
      </c>
      <c r="S712">
        <v>1</v>
      </c>
      <c r="T712" t="s">
        <v>4197</v>
      </c>
      <c r="U712" t="s">
        <v>4224</v>
      </c>
      <c r="W712" t="s">
        <v>4245</v>
      </c>
      <c r="X712" t="s">
        <v>3382</v>
      </c>
      <c r="Y712" t="s">
        <v>3382</v>
      </c>
      <c r="AA712" t="s">
        <v>4256</v>
      </c>
      <c r="AC712">
        <v>0</v>
      </c>
      <c r="AD712">
        <v>1500</v>
      </c>
      <c r="AE712">
        <v>1</v>
      </c>
      <c r="AG712" t="s">
        <v>4958</v>
      </c>
      <c r="AJ712">
        <v>2</v>
      </c>
      <c r="AK712" t="s">
        <v>6274</v>
      </c>
      <c r="AL712">
        <v>2</v>
      </c>
      <c r="AM712">
        <v>2</v>
      </c>
      <c r="AN712">
        <v>100.97</v>
      </c>
      <c r="AR712" t="s">
        <v>5312</v>
      </c>
      <c r="AS712" t="s">
        <v>6299</v>
      </c>
      <c r="AT712">
        <v>26000</v>
      </c>
      <c r="AX712" t="s">
        <v>6441</v>
      </c>
      <c r="BA712" t="s">
        <v>6477</v>
      </c>
      <c r="BD712" t="s">
        <v>227</v>
      </c>
    </row>
    <row r="713" spans="1:57">
      <c r="A713" s="1">
        <f>HYPERLINK("https://lsnyc.legalserver.org/matter/dynamic-profile/view/1912945","19-1912945")</f>
        <v>0</v>
      </c>
      <c r="B713" t="s">
        <v>60</v>
      </c>
      <c r="C713" t="s">
        <v>186</v>
      </c>
      <c r="D713" t="s">
        <v>214</v>
      </c>
      <c r="E713" t="s">
        <v>305</v>
      </c>
      <c r="G713" t="s">
        <v>1139</v>
      </c>
      <c r="H713" t="s">
        <v>1449</v>
      </c>
      <c r="J713" t="s">
        <v>2713</v>
      </c>
      <c r="L713" t="s">
        <v>3333</v>
      </c>
      <c r="M713" t="s">
        <v>3379</v>
      </c>
      <c r="N713">
        <v>11434</v>
      </c>
      <c r="O713" t="s">
        <v>3380</v>
      </c>
      <c r="P713" t="s">
        <v>3381</v>
      </c>
      <c r="R713" t="s">
        <v>3947</v>
      </c>
      <c r="S713">
        <v>2</v>
      </c>
      <c r="T713" t="s">
        <v>4196</v>
      </c>
      <c r="W713" t="s">
        <v>4245</v>
      </c>
      <c r="X713" t="s">
        <v>3382</v>
      </c>
      <c r="AA713" t="s">
        <v>4256</v>
      </c>
      <c r="AC713">
        <v>0</v>
      </c>
      <c r="AD713">
        <v>1515</v>
      </c>
      <c r="AE713">
        <v>5</v>
      </c>
      <c r="AG713" t="s">
        <v>4959</v>
      </c>
      <c r="AI713" t="s">
        <v>5992</v>
      </c>
      <c r="AJ713">
        <v>2</v>
      </c>
      <c r="AL713">
        <v>1</v>
      </c>
      <c r="AM713">
        <v>1</v>
      </c>
      <c r="AN713">
        <v>14.99</v>
      </c>
      <c r="AT713">
        <v>2535</v>
      </c>
      <c r="AX713" t="s">
        <v>196</v>
      </c>
      <c r="BA713" t="s">
        <v>6483</v>
      </c>
      <c r="BD713" t="s">
        <v>275</v>
      </c>
    </row>
    <row r="714" spans="1:57">
      <c r="A714" s="1">
        <f>HYPERLINK("https://lsnyc.legalserver.org/matter/dynamic-profile/view/1902921","19-1902921")</f>
        <v>0</v>
      </c>
      <c r="B714" t="s">
        <v>60</v>
      </c>
      <c r="C714" t="s">
        <v>187</v>
      </c>
      <c r="D714" t="s">
        <v>214</v>
      </c>
      <c r="E714" t="s">
        <v>264</v>
      </c>
      <c r="G714" t="s">
        <v>1140</v>
      </c>
      <c r="H714" t="s">
        <v>1845</v>
      </c>
      <c r="J714" t="s">
        <v>2714</v>
      </c>
      <c r="K714" t="s">
        <v>3149</v>
      </c>
      <c r="L714" t="s">
        <v>3333</v>
      </c>
      <c r="M714" t="s">
        <v>3379</v>
      </c>
      <c r="N714">
        <v>11436</v>
      </c>
      <c r="O714" t="s">
        <v>3380</v>
      </c>
      <c r="P714" t="s">
        <v>3381</v>
      </c>
      <c r="Q714" t="s">
        <v>3383</v>
      </c>
      <c r="R714" t="s">
        <v>3948</v>
      </c>
      <c r="S714">
        <v>1</v>
      </c>
      <c r="T714" t="s">
        <v>4197</v>
      </c>
      <c r="U714" t="s">
        <v>4223</v>
      </c>
      <c r="W714" t="s">
        <v>4245</v>
      </c>
      <c r="X714" t="s">
        <v>3382</v>
      </c>
      <c r="Y714" t="s">
        <v>3382</v>
      </c>
      <c r="AA714" t="s">
        <v>4256</v>
      </c>
      <c r="AB714" t="s">
        <v>4261</v>
      </c>
      <c r="AC714">
        <v>0</v>
      </c>
      <c r="AD714">
        <v>1500</v>
      </c>
      <c r="AE714">
        <v>10.7</v>
      </c>
      <c r="AG714" t="s">
        <v>4960</v>
      </c>
      <c r="AI714" t="s">
        <v>5993</v>
      </c>
      <c r="AJ714">
        <v>1</v>
      </c>
      <c r="AK714" t="s">
        <v>6274</v>
      </c>
      <c r="AL714">
        <v>4</v>
      </c>
      <c r="AM714">
        <v>0</v>
      </c>
      <c r="AN714">
        <v>117.16</v>
      </c>
      <c r="AR714" t="s">
        <v>5312</v>
      </c>
      <c r="AS714" t="s">
        <v>6298</v>
      </c>
      <c r="AT714">
        <v>30168</v>
      </c>
      <c r="AX714" t="s">
        <v>6441</v>
      </c>
      <c r="BA714" t="s">
        <v>6476</v>
      </c>
      <c r="BD714" t="s">
        <v>295</v>
      </c>
      <c r="BE714" t="s">
        <v>6702</v>
      </c>
    </row>
    <row r="715" spans="1:57">
      <c r="A715" s="1">
        <f>HYPERLINK("https://lsnyc.legalserver.org/matter/dynamic-profile/view/0807777","16-0807777")</f>
        <v>0</v>
      </c>
      <c r="B715" t="s">
        <v>60</v>
      </c>
      <c r="C715" t="s">
        <v>187</v>
      </c>
      <c r="D715" t="s">
        <v>214</v>
      </c>
      <c r="E715" t="s">
        <v>497</v>
      </c>
      <c r="G715" t="s">
        <v>1141</v>
      </c>
      <c r="H715" t="s">
        <v>1389</v>
      </c>
      <c r="J715" t="s">
        <v>2715</v>
      </c>
      <c r="K715" t="s">
        <v>3269</v>
      </c>
      <c r="L715" t="s">
        <v>3333</v>
      </c>
      <c r="M715" t="s">
        <v>3379</v>
      </c>
      <c r="N715">
        <v>11435</v>
      </c>
      <c r="O715" t="s">
        <v>3381</v>
      </c>
      <c r="P715" t="s">
        <v>3381</v>
      </c>
      <c r="S715">
        <v>0</v>
      </c>
      <c r="W715" t="s">
        <v>4245</v>
      </c>
      <c r="X715" t="s">
        <v>3382</v>
      </c>
      <c r="AA715" t="s">
        <v>4256</v>
      </c>
      <c r="AC715">
        <v>0</v>
      </c>
      <c r="AD715">
        <v>0</v>
      </c>
      <c r="AE715">
        <v>0</v>
      </c>
      <c r="AG715" t="s">
        <v>4961</v>
      </c>
      <c r="AI715" t="s">
        <v>5994</v>
      </c>
      <c r="AJ715">
        <v>0</v>
      </c>
      <c r="AL715">
        <v>4</v>
      </c>
      <c r="AM715">
        <v>2</v>
      </c>
      <c r="AN715">
        <v>73.66</v>
      </c>
      <c r="AS715" t="s">
        <v>6299</v>
      </c>
      <c r="AT715">
        <v>24000</v>
      </c>
      <c r="AX715" t="s">
        <v>187</v>
      </c>
      <c r="BA715" t="s">
        <v>6477</v>
      </c>
    </row>
    <row r="716" spans="1:57">
      <c r="A716" s="1">
        <f>HYPERLINK("https://lsnyc.legalserver.org/matter/dynamic-profile/view/1906980","19-1906980")</f>
        <v>0</v>
      </c>
      <c r="B716" t="s">
        <v>60</v>
      </c>
      <c r="C716" t="s">
        <v>187</v>
      </c>
      <c r="D716" t="s">
        <v>214</v>
      </c>
      <c r="E716" t="s">
        <v>498</v>
      </c>
      <c r="G716" t="s">
        <v>1142</v>
      </c>
      <c r="H716" t="s">
        <v>1846</v>
      </c>
      <c r="J716" t="s">
        <v>2716</v>
      </c>
      <c r="K716" t="s">
        <v>3270</v>
      </c>
      <c r="L716" t="s">
        <v>3333</v>
      </c>
      <c r="M716" t="s">
        <v>3379</v>
      </c>
      <c r="N716">
        <v>11434</v>
      </c>
      <c r="O716" t="s">
        <v>3380</v>
      </c>
      <c r="P716" t="s">
        <v>3381</v>
      </c>
      <c r="Q716" t="s">
        <v>3383</v>
      </c>
      <c r="R716" t="s">
        <v>3949</v>
      </c>
      <c r="S716">
        <v>2</v>
      </c>
      <c r="T716" t="s">
        <v>4197</v>
      </c>
      <c r="U716" t="s">
        <v>4223</v>
      </c>
      <c r="W716" t="s">
        <v>4245</v>
      </c>
      <c r="X716" t="s">
        <v>3382</v>
      </c>
      <c r="Y716" t="s">
        <v>3380</v>
      </c>
      <c r="AA716" t="s">
        <v>4256</v>
      </c>
      <c r="AC716">
        <v>0</v>
      </c>
      <c r="AD716">
        <v>0</v>
      </c>
      <c r="AE716">
        <v>20.2</v>
      </c>
      <c r="AG716" t="s">
        <v>4962</v>
      </c>
      <c r="AI716" t="s">
        <v>5995</v>
      </c>
      <c r="AJ716">
        <v>1</v>
      </c>
      <c r="AK716" t="s">
        <v>6274</v>
      </c>
      <c r="AL716">
        <v>1</v>
      </c>
      <c r="AM716">
        <v>0</v>
      </c>
      <c r="AN716">
        <v>131.43</v>
      </c>
      <c r="AR716" t="s">
        <v>5312</v>
      </c>
      <c r="AT716">
        <v>16416</v>
      </c>
      <c r="AX716" t="s">
        <v>196</v>
      </c>
      <c r="BA716" t="s">
        <v>6477</v>
      </c>
      <c r="BD716" t="s">
        <v>284</v>
      </c>
      <c r="BE716" t="s">
        <v>6702</v>
      </c>
    </row>
    <row r="717" spans="1:57">
      <c r="A717" s="1">
        <f>HYPERLINK("https://lsnyc.legalserver.org/matter/dynamic-profile/view/1901735","19-1901735")</f>
        <v>0</v>
      </c>
      <c r="B717" t="s">
        <v>60</v>
      </c>
      <c r="C717" t="s">
        <v>187</v>
      </c>
      <c r="D717" t="s">
        <v>214</v>
      </c>
      <c r="E717" t="s">
        <v>277</v>
      </c>
      <c r="G717" t="s">
        <v>1143</v>
      </c>
      <c r="H717" t="s">
        <v>1847</v>
      </c>
      <c r="J717" t="s">
        <v>2717</v>
      </c>
      <c r="K717" t="s">
        <v>3150</v>
      </c>
      <c r="L717" t="s">
        <v>3333</v>
      </c>
      <c r="M717" t="s">
        <v>3379</v>
      </c>
      <c r="N717">
        <v>11434</v>
      </c>
      <c r="O717" t="s">
        <v>3380</v>
      </c>
      <c r="P717" t="s">
        <v>3381</v>
      </c>
      <c r="Q717" t="s">
        <v>3386</v>
      </c>
      <c r="R717" t="s">
        <v>3950</v>
      </c>
      <c r="S717">
        <v>14</v>
      </c>
      <c r="T717" t="s">
        <v>4196</v>
      </c>
      <c r="U717" t="s">
        <v>4223</v>
      </c>
      <c r="W717" t="s">
        <v>4246</v>
      </c>
      <c r="X717" t="s">
        <v>3382</v>
      </c>
      <c r="Y717" t="s">
        <v>3380</v>
      </c>
      <c r="AA717" t="s">
        <v>4256</v>
      </c>
      <c r="AB717" t="s">
        <v>4261</v>
      </c>
      <c r="AC717">
        <v>0</v>
      </c>
      <c r="AD717">
        <v>743</v>
      </c>
      <c r="AE717">
        <v>10.35</v>
      </c>
      <c r="AG717" t="s">
        <v>4963</v>
      </c>
      <c r="AH717" t="s">
        <v>5312</v>
      </c>
      <c r="AI717" t="s">
        <v>5996</v>
      </c>
      <c r="AJ717">
        <v>5860</v>
      </c>
      <c r="AK717" t="s">
        <v>6266</v>
      </c>
      <c r="AL717">
        <v>1</v>
      </c>
      <c r="AM717">
        <v>0</v>
      </c>
      <c r="AN717">
        <v>0</v>
      </c>
      <c r="AR717" t="s">
        <v>5312</v>
      </c>
      <c r="AS717" t="s">
        <v>6298</v>
      </c>
      <c r="AT717">
        <v>0</v>
      </c>
      <c r="AX717" t="s">
        <v>6441</v>
      </c>
      <c r="AY717" t="s">
        <v>6461</v>
      </c>
      <c r="AZ717" t="s">
        <v>6466</v>
      </c>
      <c r="BA717" t="s">
        <v>6479</v>
      </c>
      <c r="BB717" t="s">
        <v>6602</v>
      </c>
      <c r="BC717" t="s">
        <v>6624</v>
      </c>
      <c r="BD717" t="s">
        <v>387</v>
      </c>
      <c r="BE717" t="s">
        <v>6702</v>
      </c>
    </row>
    <row r="718" spans="1:57">
      <c r="A718" s="1">
        <f>HYPERLINK("https://lsnyc.legalserver.org/matter/dynamic-profile/view/1903593","19-1903593")</f>
        <v>0</v>
      </c>
      <c r="B718" t="s">
        <v>60</v>
      </c>
      <c r="C718" t="s">
        <v>187</v>
      </c>
      <c r="D718" t="s">
        <v>214</v>
      </c>
      <c r="E718" t="s">
        <v>499</v>
      </c>
      <c r="G718" t="s">
        <v>1144</v>
      </c>
      <c r="H718" t="s">
        <v>1848</v>
      </c>
      <c r="J718" t="s">
        <v>2718</v>
      </c>
      <c r="K718" t="s">
        <v>3040</v>
      </c>
      <c r="L718" t="s">
        <v>3333</v>
      </c>
      <c r="M718" t="s">
        <v>3379</v>
      </c>
      <c r="N718">
        <v>11434</v>
      </c>
      <c r="O718" t="s">
        <v>3380</v>
      </c>
      <c r="P718" t="s">
        <v>3381</v>
      </c>
      <c r="Q718" t="s">
        <v>3384</v>
      </c>
      <c r="R718" t="s">
        <v>3951</v>
      </c>
      <c r="S718">
        <v>7</v>
      </c>
      <c r="T718" t="s">
        <v>4196</v>
      </c>
      <c r="U718" t="s">
        <v>4223</v>
      </c>
      <c r="W718" t="s">
        <v>4246</v>
      </c>
      <c r="X718" t="s">
        <v>3382</v>
      </c>
      <c r="AA718" t="s">
        <v>4256</v>
      </c>
      <c r="AC718">
        <v>0</v>
      </c>
      <c r="AD718">
        <v>214.1</v>
      </c>
      <c r="AE718">
        <v>9.67</v>
      </c>
      <c r="AG718" t="s">
        <v>4964</v>
      </c>
      <c r="AI718" t="s">
        <v>5997</v>
      </c>
      <c r="AJ718">
        <v>0</v>
      </c>
      <c r="AL718">
        <v>1</v>
      </c>
      <c r="AM718">
        <v>0</v>
      </c>
      <c r="AN718">
        <v>74.65000000000001</v>
      </c>
      <c r="AR718" t="s">
        <v>5312</v>
      </c>
      <c r="AS718" t="s">
        <v>6298</v>
      </c>
      <c r="AT718">
        <v>9324</v>
      </c>
      <c r="AX718" t="s">
        <v>6441</v>
      </c>
      <c r="BA718" t="s">
        <v>6514</v>
      </c>
      <c r="BD718" t="s">
        <v>228</v>
      </c>
      <c r="BE718" t="s">
        <v>6702</v>
      </c>
    </row>
    <row r="719" spans="1:57">
      <c r="A719" s="1">
        <f>HYPERLINK("https://lsnyc.legalserver.org/matter/dynamic-profile/view/1907640","19-1907640")</f>
        <v>0</v>
      </c>
      <c r="B719" t="s">
        <v>60</v>
      </c>
      <c r="C719" t="s">
        <v>187</v>
      </c>
      <c r="D719" t="s">
        <v>214</v>
      </c>
      <c r="E719" t="s">
        <v>500</v>
      </c>
      <c r="G719" t="s">
        <v>808</v>
      </c>
      <c r="H719" t="s">
        <v>1849</v>
      </c>
      <c r="J719" t="s">
        <v>2719</v>
      </c>
      <c r="L719" t="s">
        <v>3333</v>
      </c>
      <c r="M719" t="s">
        <v>3379</v>
      </c>
      <c r="N719">
        <v>11434</v>
      </c>
      <c r="O719" t="s">
        <v>3381</v>
      </c>
      <c r="P719" t="s">
        <v>3381</v>
      </c>
      <c r="Q719" t="s">
        <v>3384</v>
      </c>
      <c r="R719" t="s">
        <v>3952</v>
      </c>
      <c r="S719">
        <v>33</v>
      </c>
      <c r="T719" t="s">
        <v>4196</v>
      </c>
      <c r="U719" t="s">
        <v>4223</v>
      </c>
      <c r="W719" t="s">
        <v>4246</v>
      </c>
      <c r="X719" t="s">
        <v>3382</v>
      </c>
      <c r="AA719" t="s">
        <v>4256</v>
      </c>
      <c r="AC719">
        <v>0</v>
      </c>
      <c r="AD719">
        <v>1089</v>
      </c>
      <c r="AE719">
        <v>7.93</v>
      </c>
      <c r="AG719" t="s">
        <v>4965</v>
      </c>
      <c r="AI719" t="s">
        <v>5998</v>
      </c>
      <c r="AJ719">
        <v>5000</v>
      </c>
      <c r="AK719" t="s">
        <v>6277</v>
      </c>
      <c r="AL719">
        <v>2</v>
      </c>
      <c r="AM719">
        <v>0</v>
      </c>
      <c r="AN719">
        <v>260.2</v>
      </c>
      <c r="AR719" t="s">
        <v>5312</v>
      </c>
      <c r="AS719" t="s">
        <v>6298</v>
      </c>
      <c r="AT719">
        <v>44000</v>
      </c>
      <c r="AX719" t="s">
        <v>6441</v>
      </c>
      <c r="BA719" t="s">
        <v>6477</v>
      </c>
      <c r="BD719" t="s">
        <v>221</v>
      </c>
    </row>
    <row r="720" spans="1:57">
      <c r="A720" s="1">
        <f>HYPERLINK("https://lsnyc.legalserver.org/matter/dynamic-profile/view/1886676","18-1886676")</f>
        <v>0</v>
      </c>
      <c r="B720" t="s">
        <v>60</v>
      </c>
      <c r="C720" t="s">
        <v>187</v>
      </c>
      <c r="D720" t="s">
        <v>214</v>
      </c>
      <c r="E720" t="s">
        <v>501</v>
      </c>
      <c r="G720" t="s">
        <v>1145</v>
      </c>
      <c r="H720" t="s">
        <v>1060</v>
      </c>
      <c r="J720" t="s">
        <v>2720</v>
      </c>
      <c r="K720" t="s">
        <v>3243</v>
      </c>
      <c r="L720" t="s">
        <v>3333</v>
      </c>
      <c r="M720" t="s">
        <v>3379</v>
      </c>
      <c r="N720">
        <v>11433</v>
      </c>
      <c r="O720" t="s">
        <v>3380</v>
      </c>
      <c r="P720" t="s">
        <v>3381</v>
      </c>
      <c r="Q720" t="s">
        <v>3384</v>
      </c>
      <c r="R720" t="s">
        <v>3953</v>
      </c>
      <c r="S720">
        <v>3</v>
      </c>
      <c r="T720" t="s">
        <v>4197</v>
      </c>
      <c r="U720" t="s">
        <v>4223</v>
      </c>
      <c r="W720" t="s">
        <v>4245</v>
      </c>
      <c r="X720" t="s">
        <v>3382</v>
      </c>
      <c r="Y720" t="s">
        <v>3382</v>
      </c>
      <c r="AA720" t="s">
        <v>4256</v>
      </c>
      <c r="AC720">
        <v>0</v>
      </c>
      <c r="AD720">
        <v>0</v>
      </c>
      <c r="AE720">
        <v>14.6</v>
      </c>
      <c r="AG720" t="s">
        <v>4966</v>
      </c>
      <c r="AI720" t="s">
        <v>5448</v>
      </c>
      <c r="AJ720">
        <v>0</v>
      </c>
      <c r="AK720" t="s">
        <v>6266</v>
      </c>
      <c r="AL720">
        <v>2</v>
      </c>
      <c r="AM720">
        <v>1</v>
      </c>
      <c r="AN720">
        <v>0</v>
      </c>
      <c r="AS720" t="s">
        <v>6298</v>
      </c>
      <c r="AT720">
        <v>0</v>
      </c>
      <c r="AX720" t="s">
        <v>184</v>
      </c>
      <c r="BA720" t="s">
        <v>6479</v>
      </c>
      <c r="BD720" t="s">
        <v>6667</v>
      </c>
    </row>
    <row r="721" spans="1:57">
      <c r="A721" s="1">
        <f>HYPERLINK("https://lsnyc.legalserver.org/matter/dynamic-profile/view/1888594","19-1888594")</f>
        <v>0</v>
      </c>
      <c r="B721" t="s">
        <v>60</v>
      </c>
      <c r="C721" t="s">
        <v>187</v>
      </c>
      <c r="D721" t="s">
        <v>214</v>
      </c>
      <c r="E721" t="s">
        <v>358</v>
      </c>
      <c r="G721" t="s">
        <v>617</v>
      </c>
      <c r="H721" t="s">
        <v>1830</v>
      </c>
      <c r="J721" t="s">
        <v>2721</v>
      </c>
      <c r="K721">
        <v>2</v>
      </c>
      <c r="L721" t="s">
        <v>3333</v>
      </c>
      <c r="M721" t="s">
        <v>3379</v>
      </c>
      <c r="N721">
        <v>11433</v>
      </c>
      <c r="O721" t="s">
        <v>3380</v>
      </c>
      <c r="P721" t="s">
        <v>3380</v>
      </c>
      <c r="Q721" t="s">
        <v>3383</v>
      </c>
      <c r="R721" t="s">
        <v>3954</v>
      </c>
      <c r="S721">
        <v>3</v>
      </c>
      <c r="T721" t="s">
        <v>4197</v>
      </c>
      <c r="U721" t="s">
        <v>4223</v>
      </c>
      <c r="W721" t="s">
        <v>4245</v>
      </c>
      <c r="X721" t="s">
        <v>3382</v>
      </c>
      <c r="Y721" t="s">
        <v>3382</v>
      </c>
      <c r="AA721" t="s">
        <v>4256</v>
      </c>
      <c r="AC721">
        <v>0</v>
      </c>
      <c r="AD721">
        <v>1200</v>
      </c>
      <c r="AE721">
        <v>4.1</v>
      </c>
      <c r="AG721" t="s">
        <v>4967</v>
      </c>
      <c r="AH721" t="s">
        <v>5326</v>
      </c>
      <c r="AI721" t="s">
        <v>5999</v>
      </c>
      <c r="AJ721">
        <v>2</v>
      </c>
      <c r="AK721" t="s">
        <v>6266</v>
      </c>
      <c r="AL721">
        <v>1</v>
      </c>
      <c r="AM721">
        <v>0</v>
      </c>
      <c r="AN721">
        <v>76.06</v>
      </c>
      <c r="AQ721" t="s">
        <v>6287</v>
      </c>
      <c r="AR721" t="s">
        <v>6296</v>
      </c>
      <c r="AS721" t="s">
        <v>6298</v>
      </c>
      <c r="AT721">
        <v>9500</v>
      </c>
      <c r="AX721" t="s">
        <v>184</v>
      </c>
      <c r="BA721" t="s">
        <v>6482</v>
      </c>
      <c r="BD721" t="s">
        <v>411</v>
      </c>
    </row>
    <row r="722" spans="1:57">
      <c r="A722" s="1">
        <f>HYPERLINK("https://lsnyc.legalserver.org/matter/dynamic-profile/view/1907613","19-1907613")</f>
        <v>0</v>
      </c>
      <c r="B722" t="s">
        <v>60</v>
      </c>
      <c r="C722" t="s">
        <v>187</v>
      </c>
      <c r="D722" t="s">
        <v>214</v>
      </c>
      <c r="E722" t="s">
        <v>286</v>
      </c>
      <c r="G722" t="s">
        <v>607</v>
      </c>
      <c r="H722" t="s">
        <v>1850</v>
      </c>
      <c r="J722" t="s">
        <v>2722</v>
      </c>
      <c r="K722" t="s">
        <v>3047</v>
      </c>
      <c r="L722" t="s">
        <v>3333</v>
      </c>
      <c r="M722" t="s">
        <v>3379</v>
      </c>
      <c r="N722">
        <v>11433</v>
      </c>
      <c r="O722" t="s">
        <v>3380</v>
      </c>
      <c r="P722" t="s">
        <v>3381</v>
      </c>
      <c r="Q722" t="s">
        <v>3383</v>
      </c>
      <c r="R722" t="s">
        <v>3955</v>
      </c>
      <c r="S722">
        <v>7</v>
      </c>
      <c r="T722" t="s">
        <v>4197</v>
      </c>
      <c r="U722" t="s">
        <v>4223</v>
      </c>
      <c r="W722" t="s">
        <v>4246</v>
      </c>
      <c r="X722" t="s">
        <v>3382</v>
      </c>
      <c r="Y722" t="s">
        <v>3382</v>
      </c>
      <c r="AA722" t="s">
        <v>4256</v>
      </c>
      <c r="AC722">
        <v>0</v>
      </c>
      <c r="AD722">
        <v>1500</v>
      </c>
      <c r="AE722">
        <v>3.53</v>
      </c>
      <c r="AG722" t="s">
        <v>4968</v>
      </c>
      <c r="AI722" t="s">
        <v>6000</v>
      </c>
      <c r="AJ722">
        <v>3</v>
      </c>
      <c r="AK722" t="s">
        <v>6267</v>
      </c>
      <c r="AL722">
        <v>2</v>
      </c>
      <c r="AM722">
        <v>3</v>
      </c>
      <c r="AN722">
        <v>66.29000000000001</v>
      </c>
      <c r="AR722" t="s">
        <v>5312</v>
      </c>
      <c r="AS722" t="s">
        <v>6298</v>
      </c>
      <c r="AT722">
        <v>20000</v>
      </c>
      <c r="AX722" t="s">
        <v>6441</v>
      </c>
      <c r="BA722" t="s">
        <v>6477</v>
      </c>
      <c r="BD722" t="s">
        <v>234</v>
      </c>
      <c r="BE722" t="s">
        <v>6702</v>
      </c>
    </row>
    <row r="723" spans="1:57">
      <c r="A723" s="1">
        <f>HYPERLINK("https://lsnyc.legalserver.org/matter/dynamic-profile/view/1908461","19-1908461")</f>
        <v>0</v>
      </c>
      <c r="B723" t="s">
        <v>60</v>
      </c>
      <c r="C723" t="s">
        <v>187</v>
      </c>
      <c r="D723" t="s">
        <v>214</v>
      </c>
      <c r="E723" t="s">
        <v>301</v>
      </c>
      <c r="G723" t="s">
        <v>1146</v>
      </c>
      <c r="H723" t="s">
        <v>1851</v>
      </c>
      <c r="J723" t="s">
        <v>2723</v>
      </c>
      <c r="L723" t="s">
        <v>3333</v>
      </c>
      <c r="M723" t="s">
        <v>3379</v>
      </c>
      <c r="N723">
        <v>11433</v>
      </c>
      <c r="O723" t="s">
        <v>3380</v>
      </c>
      <c r="P723" t="s">
        <v>3381</v>
      </c>
      <c r="Q723" t="s">
        <v>3384</v>
      </c>
      <c r="R723" t="s">
        <v>3956</v>
      </c>
      <c r="S723">
        <v>2</v>
      </c>
      <c r="T723" t="s">
        <v>4197</v>
      </c>
      <c r="U723" t="s">
        <v>4224</v>
      </c>
      <c r="W723" t="s">
        <v>4246</v>
      </c>
      <c r="X723" t="s">
        <v>3382</v>
      </c>
      <c r="AA723" t="s">
        <v>4256</v>
      </c>
      <c r="AC723">
        <v>0</v>
      </c>
      <c r="AD723">
        <v>0</v>
      </c>
      <c r="AE723">
        <v>2.52</v>
      </c>
      <c r="AG723" t="s">
        <v>4969</v>
      </c>
      <c r="AI723" t="s">
        <v>6001</v>
      </c>
      <c r="AJ723">
        <v>0</v>
      </c>
      <c r="AL723">
        <v>1</v>
      </c>
      <c r="AM723">
        <v>0</v>
      </c>
      <c r="AN723">
        <v>104.08</v>
      </c>
      <c r="AS723" t="s">
        <v>6298</v>
      </c>
      <c r="AT723">
        <v>13000</v>
      </c>
      <c r="AX723" t="s">
        <v>6441</v>
      </c>
      <c r="BA723" t="s">
        <v>3391</v>
      </c>
      <c r="BD723" t="s">
        <v>504</v>
      </c>
      <c r="BE723" t="s">
        <v>6702</v>
      </c>
    </row>
    <row r="724" spans="1:57">
      <c r="A724" s="1">
        <f>HYPERLINK("https://lsnyc.legalserver.org/matter/dynamic-profile/view/1913032","19-1913032")</f>
        <v>0</v>
      </c>
      <c r="B724" t="s">
        <v>60</v>
      </c>
      <c r="C724" t="s">
        <v>187</v>
      </c>
      <c r="D724" t="s">
        <v>214</v>
      </c>
      <c r="E724" t="s">
        <v>293</v>
      </c>
      <c r="G724" t="s">
        <v>689</v>
      </c>
      <c r="H724" t="s">
        <v>1852</v>
      </c>
      <c r="J724" t="s">
        <v>2723</v>
      </c>
      <c r="K724" t="s">
        <v>3271</v>
      </c>
      <c r="L724" t="s">
        <v>3333</v>
      </c>
      <c r="M724" t="s">
        <v>3379</v>
      </c>
      <c r="N724">
        <v>11433</v>
      </c>
      <c r="O724" t="s">
        <v>3381</v>
      </c>
      <c r="P724" t="s">
        <v>3381</v>
      </c>
      <c r="Q724" t="s">
        <v>3391</v>
      </c>
      <c r="R724" t="s">
        <v>3957</v>
      </c>
      <c r="S724">
        <v>3</v>
      </c>
      <c r="T724" t="s">
        <v>4197</v>
      </c>
      <c r="U724" t="s">
        <v>4223</v>
      </c>
      <c r="W724" t="s">
        <v>4246</v>
      </c>
      <c r="X724" t="s">
        <v>3382</v>
      </c>
      <c r="Y724" t="s">
        <v>3382</v>
      </c>
      <c r="AA724" t="s">
        <v>4256</v>
      </c>
      <c r="AB724" t="s">
        <v>4261</v>
      </c>
      <c r="AC724">
        <v>0</v>
      </c>
      <c r="AD724">
        <v>1278</v>
      </c>
      <c r="AE724">
        <v>3.68</v>
      </c>
      <c r="AG724" t="s">
        <v>4970</v>
      </c>
      <c r="AI724" t="s">
        <v>6002</v>
      </c>
      <c r="AJ724">
        <v>50</v>
      </c>
      <c r="AK724" t="s">
        <v>6273</v>
      </c>
      <c r="AL724">
        <v>1</v>
      </c>
      <c r="AM724">
        <v>0</v>
      </c>
      <c r="AN724">
        <v>82.15000000000001</v>
      </c>
      <c r="AR724" t="s">
        <v>6290</v>
      </c>
      <c r="AS724" t="s">
        <v>6298</v>
      </c>
      <c r="AT724">
        <v>10260</v>
      </c>
      <c r="AX724" t="s">
        <v>6441</v>
      </c>
      <c r="BA724" t="s">
        <v>6511</v>
      </c>
      <c r="BD724" t="s">
        <v>237</v>
      </c>
    </row>
    <row r="725" spans="1:57">
      <c r="A725" s="1">
        <f>HYPERLINK("https://lsnyc.legalserver.org/matter/dynamic-profile/view/1913253","19-1913253")</f>
        <v>0</v>
      </c>
      <c r="B725" t="s">
        <v>60</v>
      </c>
      <c r="C725" t="s">
        <v>187</v>
      </c>
      <c r="D725" t="s">
        <v>214</v>
      </c>
      <c r="E725" t="s">
        <v>228</v>
      </c>
      <c r="G725" t="s">
        <v>1147</v>
      </c>
      <c r="H725" t="s">
        <v>1853</v>
      </c>
      <c r="J725" t="s">
        <v>2724</v>
      </c>
      <c r="K725" t="s">
        <v>3252</v>
      </c>
      <c r="L725" t="s">
        <v>3333</v>
      </c>
      <c r="M725" t="s">
        <v>3379</v>
      </c>
      <c r="N725">
        <v>11433</v>
      </c>
      <c r="O725" t="s">
        <v>3380</v>
      </c>
      <c r="P725" t="s">
        <v>3381</v>
      </c>
      <c r="Q725" t="s">
        <v>3384</v>
      </c>
      <c r="R725" t="s">
        <v>3958</v>
      </c>
      <c r="S725">
        <v>10</v>
      </c>
      <c r="T725" t="s">
        <v>4197</v>
      </c>
      <c r="U725" t="s">
        <v>4224</v>
      </c>
      <c r="W725" t="s">
        <v>4246</v>
      </c>
      <c r="X725" t="s">
        <v>3382</v>
      </c>
      <c r="Y725" t="s">
        <v>3382</v>
      </c>
      <c r="AA725" t="s">
        <v>4256</v>
      </c>
      <c r="AC725">
        <v>0</v>
      </c>
      <c r="AD725">
        <v>0</v>
      </c>
      <c r="AE725">
        <v>7.33</v>
      </c>
      <c r="AG725" t="s">
        <v>4971</v>
      </c>
      <c r="AI725" t="s">
        <v>6003</v>
      </c>
      <c r="AJ725">
        <v>0</v>
      </c>
      <c r="AK725" t="s">
        <v>6274</v>
      </c>
      <c r="AL725">
        <v>3</v>
      </c>
      <c r="AM725">
        <v>0</v>
      </c>
      <c r="AN725">
        <v>187.53</v>
      </c>
      <c r="AR725" t="s">
        <v>5312</v>
      </c>
      <c r="AS725" t="s">
        <v>6299</v>
      </c>
      <c r="AT725">
        <v>40000</v>
      </c>
      <c r="AX725" t="s">
        <v>6441</v>
      </c>
      <c r="BA725" t="s">
        <v>6477</v>
      </c>
      <c r="BD725" t="s">
        <v>266</v>
      </c>
      <c r="BE725" t="s">
        <v>6702</v>
      </c>
    </row>
    <row r="726" spans="1:57">
      <c r="A726" s="1">
        <f>HYPERLINK("https://lsnyc.legalserver.org/matter/dynamic-profile/view/1884333","18-1884333")</f>
        <v>0</v>
      </c>
      <c r="B726" t="s">
        <v>60</v>
      </c>
      <c r="C726" t="s">
        <v>187</v>
      </c>
      <c r="D726" t="s">
        <v>214</v>
      </c>
      <c r="E726" t="s">
        <v>502</v>
      </c>
      <c r="G726" t="s">
        <v>1148</v>
      </c>
      <c r="H726" t="s">
        <v>1854</v>
      </c>
      <c r="J726" t="s">
        <v>2725</v>
      </c>
      <c r="K726" t="s">
        <v>3038</v>
      </c>
      <c r="L726" t="s">
        <v>3333</v>
      </c>
      <c r="M726" t="s">
        <v>3379</v>
      </c>
      <c r="N726">
        <v>11433</v>
      </c>
      <c r="O726" t="s">
        <v>3380</v>
      </c>
      <c r="P726" t="s">
        <v>3380</v>
      </c>
      <c r="Q726" t="s">
        <v>3384</v>
      </c>
      <c r="R726" t="s">
        <v>3959</v>
      </c>
      <c r="S726">
        <v>11</v>
      </c>
      <c r="T726" t="s">
        <v>4196</v>
      </c>
      <c r="W726" t="s">
        <v>4246</v>
      </c>
      <c r="X726" t="s">
        <v>3382</v>
      </c>
      <c r="Y726" t="s">
        <v>3380</v>
      </c>
      <c r="AA726" t="s">
        <v>4258</v>
      </c>
      <c r="AB726" t="s">
        <v>4262</v>
      </c>
      <c r="AC726">
        <v>0</v>
      </c>
      <c r="AD726">
        <v>495</v>
      </c>
      <c r="AE726">
        <v>14.7</v>
      </c>
      <c r="AG726" t="s">
        <v>4972</v>
      </c>
      <c r="AI726" t="s">
        <v>6004</v>
      </c>
      <c r="AJ726">
        <v>16</v>
      </c>
      <c r="AK726" t="s">
        <v>6270</v>
      </c>
      <c r="AL726">
        <v>1</v>
      </c>
      <c r="AM726">
        <v>1</v>
      </c>
      <c r="AN726">
        <v>212.64</v>
      </c>
      <c r="AQ726" t="s">
        <v>6286</v>
      </c>
      <c r="AR726" t="s">
        <v>5312</v>
      </c>
      <c r="AS726" t="s">
        <v>6298</v>
      </c>
      <c r="AT726">
        <v>35000</v>
      </c>
      <c r="AX726" t="s">
        <v>188</v>
      </c>
      <c r="BA726" t="s">
        <v>6473</v>
      </c>
      <c r="BD726" t="s">
        <v>294</v>
      </c>
    </row>
    <row r="727" spans="1:57">
      <c r="A727" s="1">
        <f>HYPERLINK("https://lsnyc.legalserver.org/matter/dynamic-profile/view/1886678","18-1886678")</f>
        <v>0</v>
      </c>
      <c r="B727" t="s">
        <v>60</v>
      </c>
      <c r="C727" t="s">
        <v>187</v>
      </c>
      <c r="D727" t="s">
        <v>214</v>
      </c>
      <c r="E727" t="s">
        <v>501</v>
      </c>
      <c r="G727" t="s">
        <v>1149</v>
      </c>
      <c r="H727" t="s">
        <v>1855</v>
      </c>
      <c r="J727" t="s">
        <v>2726</v>
      </c>
      <c r="L727" t="s">
        <v>3333</v>
      </c>
      <c r="M727" t="s">
        <v>3379</v>
      </c>
      <c r="N727">
        <v>11433</v>
      </c>
      <c r="O727" t="s">
        <v>3380</v>
      </c>
      <c r="P727" t="s">
        <v>3380</v>
      </c>
      <c r="Q727" t="s">
        <v>3384</v>
      </c>
      <c r="R727" t="s">
        <v>3960</v>
      </c>
      <c r="S727">
        <v>2</v>
      </c>
      <c r="T727" t="s">
        <v>4196</v>
      </c>
      <c r="U727" t="s">
        <v>4224</v>
      </c>
      <c r="W727" t="s">
        <v>4245</v>
      </c>
      <c r="X727" t="s">
        <v>3382</v>
      </c>
      <c r="Y727" t="s">
        <v>3382</v>
      </c>
      <c r="AA727" t="s">
        <v>4256</v>
      </c>
      <c r="AC727">
        <v>0</v>
      </c>
      <c r="AD727">
        <v>0</v>
      </c>
      <c r="AE727">
        <v>3.6</v>
      </c>
      <c r="AG727" t="s">
        <v>4973</v>
      </c>
      <c r="AI727" t="s">
        <v>6005</v>
      </c>
      <c r="AJ727">
        <v>0</v>
      </c>
      <c r="AK727" t="s">
        <v>6266</v>
      </c>
      <c r="AL727">
        <v>1</v>
      </c>
      <c r="AM727">
        <v>1</v>
      </c>
      <c r="AN727">
        <v>0</v>
      </c>
      <c r="AR727" t="s">
        <v>6289</v>
      </c>
      <c r="AS727" t="s">
        <v>6298</v>
      </c>
      <c r="AT727">
        <v>0</v>
      </c>
      <c r="AX727" t="s">
        <v>184</v>
      </c>
      <c r="BA727" t="s">
        <v>6479</v>
      </c>
      <c r="BD727" t="s">
        <v>312</v>
      </c>
    </row>
    <row r="728" spans="1:57">
      <c r="A728" s="1">
        <f>HYPERLINK("https://lsnyc.legalserver.org/matter/dynamic-profile/view/0802959","16-0802959")</f>
        <v>0</v>
      </c>
      <c r="B728" t="s">
        <v>60</v>
      </c>
      <c r="C728" t="s">
        <v>187</v>
      </c>
      <c r="D728" t="s">
        <v>214</v>
      </c>
      <c r="E728" t="s">
        <v>503</v>
      </c>
      <c r="G728" t="s">
        <v>1150</v>
      </c>
      <c r="H728" t="s">
        <v>1349</v>
      </c>
      <c r="J728" t="s">
        <v>2727</v>
      </c>
      <c r="K728">
        <v>1</v>
      </c>
      <c r="L728" t="s">
        <v>3347</v>
      </c>
      <c r="M728" t="s">
        <v>3379</v>
      </c>
      <c r="N728">
        <v>11423</v>
      </c>
      <c r="O728" t="s">
        <v>3381</v>
      </c>
      <c r="P728" t="s">
        <v>3381</v>
      </c>
      <c r="Q728" t="s">
        <v>3399</v>
      </c>
      <c r="R728" t="s">
        <v>3961</v>
      </c>
      <c r="S728">
        <v>5</v>
      </c>
      <c r="T728" t="s">
        <v>4197</v>
      </c>
      <c r="U728" t="s">
        <v>4223</v>
      </c>
      <c r="W728" t="s">
        <v>4245</v>
      </c>
      <c r="X728" t="s">
        <v>3382</v>
      </c>
      <c r="AA728" t="s">
        <v>4256</v>
      </c>
      <c r="AC728">
        <v>0</v>
      </c>
      <c r="AD728">
        <v>1500</v>
      </c>
      <c r="AE728">
        <v>10.3</v>
      </c>
      <c r="AG728" t="s">
        <v>4974</v>
      </c>
      <c r="AI728" t="s">
        <v>6006</v>
      </c>
      <c r="AJ728">
        <v>0</v>
      </c>
      <c r="AL728">
        <v>3</v>
      </c>
      <c r="AM728">
        <v>1</v>
      </c>
      <c r="AN728">
        <v>39.01</v>
      </c>
      <c r="AQ728" t="s">
        <v>6286</v>
      </c>
      <c r="AS728" t="s">
        <v>6299</v>
      </c>
      <c r="AT728">
        <v>9480</v>
      </c>
      <c r="AX728" t="s">
        <v>6445</v>
      </c>
      <c r="BA728" t="s">
        <v>6498</v>
      </c>
      <c r="BD728" t="s">
        <v>6668</v>
      </c>
    </row>
    <row r="729" spans="1:57">
      <c r="A729" s="1">
        <f>HYPERLINK("https://lsnyc.legalserver.org/matter/dynamic-profile/view/1911869","19-1911869")</f>
        <v>0</v>
      </c>
      <c r="B729" t="s">
        <v>60</v>
      </c>
      <c r="C729" t="s">
        <v>187</v>
      </c>
      <c r="D729" t="s">
        <v>214</v>
      </c>
      <c r="E729" t="s">
        <v>342</v>
      </c>
      <c r="G729" t="s">
        <v>1151</v>
      </c>
      <c r="H729" t="s">
        <v>1856</v>
      </c>
      <c r="J729" t="s">
        <v>2728</v>
      </c>
      <c r="K729" t="s">
        <v>3047</v>
      </c>
      <c r="L729" t="s">
        <v>3337</v>
      </c>
      <c r="M729" t="s">
        <v>3379</v>
      </c>
      <c r="N729">
        <v>11417</v>
      </c>
      <c r="O729" t="s">
        <v>3382</v>
      </c>
      <c r="P729" t="s">
        <v>3381</v>
      </c>
      <c r="Q729" t="s">
        <v>3383</v>
      </c>
      <c r="R729" t="s">
        <v>3962</v>
      </c>
      <c r="S729">
        <v>3</v>
      </c>
      <c r="T729" t="s">
        <v>4196</v>
      </c>
      <c r="U729" t="s">
        <v>4224</v>
      </c>
      <c r="W729" t="s">
        <v>4245</v>
      </c>
      <c r="X729" t="s">
        <v>3382</v>
      </c>
      <c r="Y729" t="s">
        <v>3382</v>
      </c>
      <c r="AA729" t="s">
        <v>4256</v>
      </c>
      <c r="AC729">
        <v>0</v>
      </c>
      <c r="AD729">
        <v>2050</v>
      </c>
      <c r="AE729">
        <v>4.6</v>
      </c>
      <c r="AG729" t="s">
        <v>4975</v>
      </c>
      <c r="AI729" t="s">
        <v>6007</v>
      </c>
      <c r="AJ729">
        <v>3</v>
      </c>
      <c r="AK729" t="s">
        <v>6274</v>
      </c>
      <c r="AL729">
        <v>2</v>
      </c>
      <c r="AM729">
        <v>6</v>
      </c>
      <c r="AN729">
        <v>131.25</v>
      </c>
      <c r="AR729" t="s">
        <v>5312</v>
      </c>
      <c r="AS729" t="s">
        <v>6298</v>
      </c>
      <c r="AT729">
        <v>57000</v>
      </c>
      <c r="AX729" t="s">
        <v>6441</v>
      </c>
      <c r="BA729" t="s">
        <v>6503</v>
      </c>
      <c r="BD729" t="s">
        <v>275</v>
      </c>
      <c r="BE729" t="s">
        <v>6702</v>
      </c>
    </row>
    <row r="730" spans="1:57">
      <c r="A730" s="1">
        <f>HYPERLINK("https://lsnyc.legalserver.org/matter/dynamic-profile/view/1908337","19-1908337")</f>
        <v>0</v>
      </c>
      <c r="B730" t="s">
        <v>60</v>
      </c>
      <c r="C730" t="s">
        <v>187</v>
      </c>
      <c r="D730" t="s">
        <v>214</v>
      </c>
      <c r="E730" t="s">
        <v>347</v>
      </c>
      <c r="G730" t="s">
        <v>1152</v>
      </c>
      <c r="H730" t="s">
        <v>1857</v>
      </c>
      <c r="J730" t="s">
        <v>2729</v>
      </c>
      <c r="K730" t="s">
        <v>3272</v>
      </c>
      <c r="L730" t="s">
        <v>3350</v>
      </c>
      <c r="M730" t="s">
        <v>3379</v>
      </c>
      <c r="N730">
        <v>11415</v>
      </c>
      <c r="O730" t="s">
        <v>3380</v>
      </c>
      <c r="P730" t="s">
        <v>3381</v>
      </c>
      <c r="Q730" t="s">
        <v>3383</v>
      </c>
      <c r="R730" t="s">
        <v>3963</v>
      </c>
      <c r="S730">
        <v>3</v>
      </c>
      <c r="T730" t="s">
        <v>4196</v>
      </c>
      <c r="U730" t="s">
        <v>4225</v>
      </c>
      <c r="W730" t="s">
        <v>4245</v>
      </c>
      <c r="X730" t="s">
        <v>3382</v>
      </c>
      <c r="AA730" t="s">
        <v>4256</v>
      </c>
      <c r="AC730">
        <v>0</v>
      </c>
      <c r="AD730">
        <v>1875</v>
      </c>
      <c r="AE730">
        <v>0.5</v>
      </c>
      <c r="AG730" t="s">
        <v>4976</v>
      </c>
      <c r="AI730" t="s">
        <v>6008</v>
      </c>
      <c r="AJ730">
        <v>108</v>
      </c>
      <c r="AL730">
        <v>1</v>
      </c>
      <c r="AM730">
        <v>2</v>
      </c>
      <c r="AN730">
        <v>73.14</v>
      </c>
      <c r="AR730" t="s">
        <v>5312</v>
      </c>
      <c r="AT730">
        <v>15600</v>
      </c>
      <c r="AX730" t="s">
        <v>196</v>
      </c>
      <c r="BA730" t="s">
        <v>6521</v>
      </c>
      <c r="BD730" t="s">
        <v>347</v>
      </c>
    </row>
    <row r="731" spans="1:57">
      <c r="A731" s="1">
        <f>HYPERLINK("https://lsnyc.legalserver.org/matter/dynamic-profile/view/1903867","19-1903867")</f>
        <v>0</v>
      </c>
      <c r="B731" t="s">
        <v>60</v>
      </c>
      <c r="C731" t="s">
        <v>187</v>
      </c>
      <c r="D731" t="s">
        <v>214</v>
      </c>
      <c r="E731" t="s">
        <v>339</v>
      </c>
      <c r="G731" t="s">
        <v>881</v>
      </c>
      <c r="H731" t="s">
        <v>1858</v>
      </c>
      <c r="J731" t="s">
        <v>2730</v>
      </c>
      <c r="K731">
        <v>14027</v>
      </c>
      <c r="L731" t="s">
        <v>3359</v>
      </c>
      <c r="M731" t="s">
        <v>3379</v>
      </c>
      <c r="N731">
        <v>11413</v>
      </c>
      <c r="O731" t="s">
        <v>3380</v>
      </c>
      <c r="P731" t="s">
        <v>3381</v>
      </c>
      <c r="Q731" t="s">
        <v>3389</v>
      </c>
      <c r="R731" t="s">
        <v>3964</v>
      </c>
      <c r="S731">
        <v>35</v>
      </c>
      <c r="T731" t="s">
        <v>4196</v>
      </c>
      <c r="U731" t="s">
        <v>4223</v>
      </c>
      <c r="W731" t="s">
        <v>4245</v>
      </c>
      <c r="X731" t="s">
        <v>3382</v>
      </c>
      <c r="Y731" t="s">
        <v>3382</v>
      </c>
      <c r="AA731" t="s">
        <v>4256</v>
      </c>
      <c r="AB731" t="s">
        <v>4261</v>
      </c>
      <c r="AC731">
        <v>0</v>
      </c>
      <c r="AD731">
        <v>1281</v>
      </c>
      <c r="AE731">
        <v>32</v>
      </c>
      <c r="AG731" t="s">
        <v>4977</v>
      </c>
      <c r="AH731" t="s">
        <v>5312</v>
      </c>
      <c r="AI731" t="s">
        <v>6009</v>
      </c>
      <c r="AJ731">
        <v>56</v>
      </c>
      <c r="AK731" t="s">
        <v>6267</v>
      </c>
      <c r="AL731">
        <v>3</v>
      </c>
      <c r="AM731">
        <v>2</v>
      </c>
      <c r="AN731">
        <v>149.15</v>
      </c>
      <c r="AR731" t="s">
        <v>5312</v>
      </c>
      <c r="AS731" t="s">
        <v>6298</v>
      </c>
      <c r="AT731">
        <v>45000</v>
      </c>
      <c r="AX731" t="s">
        <v>6441</v>
      </c>
      <c r="BA731" t="s">
        <v>6477</v>
      </c>
      <c r="BD731" t="s">
        <v>270</v>
      </c>
      <c r="BE731" t="s">
        <v>6702</v>
      </c>
    </row>
    <row r="732" spans="1:57">
      <c r="A732" s="1">
        <f>HYPERLINK("https://lsnyc.legalserver.org/matter/dynamic-profile/view/1902357","19-1902357")</f>
        <v>0</v>
      </c>
      <c r="B732" t="s">
        <v>60</v>
      </c>
      <c r="C732" t="s">
        <v>187</v>
      </c>
      <c r="D732" t="s">
        <v>214</v>
      </c>
      <c r="E732" t="s">
        <v>263</v>
      </c>
      <c r="G732" t="s">
        <v>1153</v>
      </c>
      <c r="H732" t="s">
        <v>1746</v>
      </c>
      <c r="J732" t="s">
        <v>2731</v>
      </c>
      <c r="K732">
        <v>3</v>
      </c>
      <c r="L732" t="s">
        <v>3357</v>
      </c>
      <c r="M732" t="s">
        <v>3379</v>
      </c>
      <c r="N732">
        <v>11385</v>
      </c>
      <c r="O732" t="s">
        <v>3380</v>
      </c>
      <c r="P732" t="s">
        <v>3381</v>
      </c>
      <c r="R732" t="s">
        <v>3965</v>
      </c>
      <c r="S732">
        <v>4</v>
      </c>
      <c r="T732" t="s">
        <v>4197</v>
      </c>
      <c r="U732" t="s">
        <v>4223</v>
      </c>
      <c r="W732" t="s">
        <v>4246</v>
      </c>
      <c r="X732" t="s">
        <v>3382</v>
      </c>
      <c r="Y732" t="s">
        <v>3382</v>
      </c>
      <c r="AA732" t="s">
        <v>4256</v>
      </c>
      <c r="AC732">
        <v>0</v>
      </c>
      <c r="AD732">
        <v>1875</v>
      </c>
      <c r="AE732">
        <v>0.53</v>
      </c>
      <c r="AG732" t="s">
        <v>4978</v>
      </c>
      <c r="AI732" t="s">
        <v>6010</v>
      </c>
      <c r="AJ732">
        <v>0</v>
      </c>
      <c r="AL732">
        <v>1</v>
      </c>
      <c r="AM732">
        <v>3</v>
      </c>
      <c r="AN732">
        <v>0</v>
      </c>
      <c r="AR732" t="s">
        <v>5312</v>
      </c>
      <c r="AS732" t="s">
        <v>6298</v>
      </c>
      <c r="AT732">
        <v>0</v>
      </c>
      <c r="AX732" t="s">
        <v>6441</v>
      </c>
      <c r="BA732" t="s">
        <v>6486</v>
      </c>
      <c r="BD732" t="s">
        <v>351</v>
      </c>
      <c r="BE732" t="s">
        <v>6702</v>
      </c>
    </row>
    <row r="733" spans="1:57">
      <c r="A733" s="1">
        <f>HYPERLINK("https://lsnyc.legalserver.org/matter/dynamic-profile/view/1907483","19-1907483")</f>
        <v>0</v>
      </c>
      <c r="B733" t="s">
        <v>60</v>
      </c>
      <c r="C733" t="s">
        <v>187</v>
      </c>
      <c r="D733" t="s">
        <v>214</v>
      </c>
      <c r="E733" t="s">
        <v>287</v>
      </c>
      <c r="G733" t="s">
        <v>1154</v>
      </c>
      <c r="H733" t="s">
        <v>1402</v>
      </c>
      <c r="J733" t="s">
        <v>2732</v>
      </c>
      <c r="L733" t="s">
        <v>3341</v>
      </c>
      <c r="M733" t="s">
        <v>3379</v>
      </c>
      <c r="N733">
        <v>11373</v>
      </c>
      <c r="O733" t="s">
        <v>3381</v>
      </c>
      <c r="P733" t="s">
        <v>3381</v>
      </c>
      <c r="Q733" t="s">
        <v>3388</v>
      </c>
      <c r="R733" t="s">
        <v>3966</v>
      </c>
      <c r="S733">
        <v>3</v>
      </c>
      <c r="T733" t="s">
        <v>4197</v>
      </c>
      <c r="U733" t="s">
        <v>4225</v>
      </c>
      <c r="W733" t="s">
        <v>4246</v>
      </c>
      <c r="X733" t="s">
        <v>3382</v>
      </c>
      <c r="AA733" t="s">
        <v>4256</v>
      </c>
      <c r="AC733">
        <v>0</v>
      </c>
      <c r="AD733">
        <v>1000</v>
      </c>
      <c r="AE733">
        <v>12.2</v>
      </c>
      <c r="AG733" t="s">
        <v>4979</v>
      </c>
      <c r="AI733" t="s">
        <v>6011</v>
      </c>
      <c r="AJ733">
        <v>0</v>
      </c>
      <c r="AL733">
        <v>1</v>
      </c>
      <c r="AM733">
        <v>0</v>
      </c>
      <c r="AN733">
        <v>0</v>
      </c>
      <c r="AS733" t="s">
        <v>6299</v>
      </c>
      <c r="AT733">
        <v>0</v>
      </c>
      <c r="AX733" t="s">
        <v>196</v>
      </c>
      <c r="BA733" t="s">
        <v>6486</v>
      </c>
      <c r="BD733" t="s">
        <v>221</v>
      </c>
    </row>
    <row r="734" spans="1:57">
      <c r="A734" s="1">
        <f>HYPERLINK("https://lsnyc.legalserver.org/matter/dynamic-profile/view/1915432","19-1915432")</f>
        <v>0</v>
      </c>
      <c r="B734" t="s">
        <v>60</v>
      </c>
      <c r="C734" t="s">
        <v>187</v>
      </c>
      <c r="D734" t="s">
        <v>214</v>
      </c>
      <c r="E734" t="s">
        <v>218</v>
      </c>
      <c r="G734" t="s">
        <v>1155</v>
      </c>
      <c r="H734" t="s">
        <v>1859</v>
      </c>
      <c r="J734" t="s">
        <v>2733</v>
      </c>
      <c r="K734" t="s">
        <v>3082</v>
      </c>
      <c r="L734" t="s">
        <v>3360</v>
      </c>
      <c r="M734" t="s">
        <v>3379</v>
      </c>
      <c r="N734">
        <v>11372</v>
      </c>
      <c r="O734" t="s">
        <v>3380</v>
      </c>
      <c r="P734" t="s">
        <v>3381</v>
      </c>
      <c r="Q734" t="s">
        <v>3383</v>
      </c>
      <c r="R734" t="s">
        <v>3967</v>
      </c>
      <c r="S734">
        <v>30</v>
      </c>
      <c r="T734" t="s">
        <v>4196</v>
      </c>
      <c r="U734" t="s">
        <v>4224</v>
      </c>
      <c r="W734" t="s">
        <v>4245</v>
      </c>
      <c r="X734" t="s">
        <v>3382</v>
      </c>
      <c r="Y734" t="s">
        <v>3382</v>
      </c>
      <c r="AA734" t="s">
        <v>4256</v>
      </c>
      <c r="AC734">
        <v>0</v>
      </c>
      <c r="AD734">
        <v>1500</v>
      </c>
      <c r="AE734">
        <v>0.33</v>
      </c>
      <c r="AG734" t="s">
        <v>4980</v>
      </c>
      <c r="AH734" t="s">
        <v>5327</v>
      </c>
      <c r="AI734" t="s">
        <v>6012</v>
      </c>
      <c r="AJ734">
        <v>250</v>
      </c>
      <c r="AK734" t="s">
        <v>6274</v>
      </c>
      <c r="AL734">
        <v>1</v>
      </c>
      <c r="AM734">
        <v>0</v>
      </c>
      <c r="AN734">
        <v>94.88</v>
      </c>
      <c r="AR734" t="s">
        <v>5312</v>
      </c>
      <c r="AS734" t="s">
        <v>6298</v>
      </c>
      <c r="AT734">
        <v>11850</v>
      </c>
      <c r="AX734" t="s">
        <v>6441</v>
      </c>
      <c r="BA734" t="s">
        <v>6492</v>
      </c>
      <c r="BD734" t="s">
        <v>218</v>
      </c>
      <c r="BE734" t="s">
        <v>6703</v>
      </c>
    </row>
    <row r="735" spans="1:57">
      <c r="A735" s="1">
        <f>HYPERLINK("https://lsnyc.legalserver.org/matter/dynamic-profile/view/1884782","18-1884782")</f>
        <v>0</v>
      </c>
      <c r="B735" t="s">
        <v>60</v>
      </c>
      <c r="C735" t="s">
        <v>187</v>
      </c>
      <c r="D735" t="s">
        <v>214</v>
      </c>
      <c r="E735" t="s">
        <v>374</v>
      </c>
      <c r="G735" t="s">
        <v>1156</v>
      </c>
      <c r="H735" t="s">
        <v>1860</v>
      </c>
      <c r="J735" t="s">
        <v>2734</v>
      </c>
      <c r="K735" t="s">
        <v>3273</v>
      </c>
      <c r="L735" t="s">
        <v>3352</v>
      </c>
      <c r="M735" t="s">
        <v>3379</v>
      </c>
      <c r="N735">
        <v>11372</v>
      </c>
      <c r="O735" t="s">
        <v>3380</v>
      </c>
      <c r="P735" t="s">
        <v>3380</v>
      </c>
      <c r="Q735" t="s">
        <v>3386</v>
      </c>
      <c r="S735">
        <v>19</v>
      </c>
      <c r="W735" t="s">
        <v>4245</v>
      </c>
      <c r="X735" t="s">
        <v>3382</v>
      </c>
      <c r="AA735" t="s">
        <v>4256</v>
      </c>
      <c r="AC735">
        <v>0</v>
      </c>
      <c r="AD735">
        <v>1021</v>
      </c>
      <c r="AE735">
        <v>12.8</v>
      </c>
      <c r="AG735" t="s">
        <v>4981</v>
      </c>
      <c r="AI735" t="s">
        <v>6013</v>
      </c>
      <c r="AJ735">
        <v>220</v>
      </c>
      <c r="AK735" t="s">
        <v>6267</v>
      </c>
      <c r="AL735">
        <v>2</v>
      </c>
      <c r="AM735">
        <v>0</v>
      </c>
      <c r="AN735">
        <v>131.28</v>
      </c>
      <c r="AQ735" t="s">
        <v>6287</v>
      </c>
      <c r="AR735" t="s">
        <v>6293</v>
      </c>
      <c r="AT735">
        <v>21608</v>
      </c>
      <c r="AX735" t="s">
        <v>184</v>
      </c>
      <c r="BA735" t="s">
        <v>6524</v>
      </c>
      <c r="BD735" t="s">
        <v>308</v>
      </c>
    </row>
    <row r="736" spans="1:57">
      <c r="A736" s="1">
        <f>HYPERLINK("https://lsnyc.legalserver.org/matter/dynamic-profile/view/1901054","19-1901054")</f>
        <v>0</v>
      </c>
      <c r="B736" t="s">
        <v>60</v>
      </c>
      <c r="C736" t="s">
        <v>187</v>
      </c>
      <c r="D736" t="s">
        <v>214</v>
      </c>
      <c r="E736" t="s">
        <v>261</v>
      </c>
      <c r="G736" t="s">
        <v>1157</v>
      </c>
      <c r="H736" t="s">
        <v>1861</v>
      </c>
      <c r="J736" t="s">
        <v>2735</v>
      </c>
      <c r="K736" t="s">
        <v>3202</v>
      </c>
      <c r="L736" t="s">
        <v>3343</v>
      </c>
      <c r="M736" t="s">
        <v>3379</v>
      </c>
      <c r="N736">
        <v>11368</v>
      </c>
      <c r="O736" t="s">
        <v>3380</v>
      </c>
      <c r="P736" t="s">
        <v>3381</v>
      </c>
      <c r="Q736" t="s">
        <v>3383</v>
      </c>
      <c r="R736" t="s">
        <v>3968</v>
      </c>
      <c r="S736">
        <v>15</v>
      </c>
      <c r="T736" t="s">
        <v>4197</v>
      </c>
      <c r="U736" t="s">
        <v>4224</v>
      </c>
      <c r="W736" t="s">
        <v>4245</v>
      </c>
      <c r="X736" t="s">
        <v>3382</v>
      </c>
      <c r="Y736" t="s">
        <v>3382</v>
      </c>
      <c r="AA736" t="s">
        <v>4256</v>
      </c>
      <c r="AC736">
        <v>0</v>
      </c>
      <c r="AD736">
        <v>1800</v>
      </c>
      <c r="AE736">
        <v>20</v>
      </c>
      <c r="AG736" t="s">
        <v>4982</v>
      </c>
      <c r="AI736" t="s">
        <v>6014</v>
      </c>
      <c r="AJ736">
        <v>3</v>
      </c>
      <c r="AK736" t="s">
        <v>6274</v>
      </c>
      <c r="AL736">
        <v>2</v>
      </c>
      <c r="AM736">
        <v>2</v>
      </c>
      <c r="AN736">
        <v>179.73</v>
      </c>
      <c r="AR736" t="s">
        <v>5312</v>
      </c>
      <c r="AS736" t="s">
        <v>6299</v>
      </c>
      <c r="AT736">
        <v>46280</v>
      </c>
      <c r="AX736" t="s">
        <v>6441</v>
      </c>
      <c r="BA736" t="s">
        <v>6477</v>
      </c>
      <c r="BD736" t="s">
        <v>236</v>
      </c>
      <c r="BE736" t="s">
        <v>6702</v>
      </c>
    </row>
    <row r="737" spans="1:57">
      <c r="A737" s="1">
        <f>HYPERLINK("https://lsnyc.legalserver.org/matter/dynamic-profile/view/1896827","19-1896827")</f>
        <v>0</v>
      </c>
      <c r="B737" t="s">
        <v>60</v>
      </c>
      <c r="C737" t="s">
        <v>187</v>
      </c>
      <c r="D737" t="s">
        <v>214</v>
      </c>
      <c r="E737" t="s">
        <v>344</v>
      </c>
      <c r="G737" t="s">
        <v>1158</v>
      </c>
      <c r="H737" t="s">
        <v>1862</v>
      </c>
      <c r="J737" t="s">
        <v>2736</v>
      </c>
      <c r="K737">
        <v>41</v>
      </c>
      <c r="L737" t="s">
        <v>3355</v>
      </c>
      <c r="M737" t="s">
        <v>3379</v>
      </c>
      <c r="N737">
        <v>11358</v>
      </c>
      <c r="O737" t="s">
        <v>3381</v>
      </c>
      <c r="P737" t="s">
        <v>3381</v>
      </c>
      <c r="Q737" t="s">
        <v>3391</v>
      </c>
      <c r="R737" t="s">
        <v>3969</v>
      </c>
      <c r="S737">
        <v>0</v>
      </c>
      <c r="T737" t="s">
        <v>4204</v>
      </c>
      <c r="U737" t="s">
        <v>4225</v>
      </c>
      <c r="W737" t="s">
        <v>4245</v>
      </c>
      <c r="X737" t="s">
        <v>3382</v>
      </c>
      <c r="AA737" t="s">
        <v>4256</v>
      </c>
      <c r="AB737" t="s">
        <v>4261</v>
      </c>
      <c r="AC737">
        <v>0</v>
      </c>
      <c r="AD737">
        <v>0</v>
      </c>
      <c r="AE737">
        <v>0.2</v>
      </c>
      <c r="AG737" t="s">
        <v>4983</v>
      </c>
      <c r="AI737" t="s">
        <v>6015</v>
      </c>
      <c r="AJ737">
        <v>0</v>
      </c>
      <c r="AL737">
        <v>1</v>
      </c>
      <c r="AM737">
        <v>0</v>
      </c>
      <c r="AN737">
        <v>0</v>
      </c>
      <c r="AS737" t="s">
        <v>6298</v>
      </c>
      <c r="AT737">
        <v>0</v>
      </c>
      <c r="AX737" t="s">
        <v>181</v>
      </c>
      <c r="BA737" t="s">
        <v>6479</v>
      </c>
      <c r="BD737" t="s">
        <v>279</v>
      </c>
    </row>
    <row r="738" spans="1:57">
      <c r="A738" s="1">
        <f>HYPERLINK("https://lsnyc.legalserver.org/matter/dynamic-profile/view/1914981","19-1914981")</f>
        <v>0</v>
      </c>
      <c r="B738" t="s">
        <v>60</v>
      </c>
      <c r="C738" t="s">
        <v>188</v>
      </c>
      <c r="D738" t="s">
        <v>214</v>
      </c>
      <c r="E738" t="s">
        <v>237</v>
      </c>
      <c r="G738" t="s">
        <v>773</v>
      </c>
      <c r="H738" t="s">
        <v>1863</v>
      </c>
      <c r="J738" t="s">
        <v>2737</v>
      </c>
      <c r="K738" t="s">
        <v>3274</v>
      </c>
      <c r="L738" t="s">
        <v>3333</v>
      </c>
      <c r="M738" t="s">
        <v>3379</v>
      </c>
      <c r="N738">
        <v>11434</v>
      </c>
      <c r="O738" t="s">
        <v>3380</v>
      </c>
      <c r="P738" t="s">
        <v>3381</v>
      </c>
      <c r="Q738" t="s">
        <v>3384</v>
      </c>
      <c r="R738" t="s">
        <v>3970</v>
      </c>
      <c r="S738">
        <v>28</v>
      </c>
      <c r="T738" t="s">
        <v>4197</v>
      </c>
      <c r="U738" t="s">
        <v>4224</v>
      </c>
      <c r="W738" t="s">
        <v>4246</v>
      </c>
      <c r="X738" t="s">
        <v>3382</v>
      </c>
      <c r="Y738" t="s">
        <v>3382</v>
      </c>
      <c r="AA738" t="s">
        <v>4256</v>
      </c>
      <c r="AC738">
        <v>0</v>
      </c>
      <c r="AD738">
        <v>1541</v>
      </c>
      <c r="AE738">
        <v>0.25</v>
      </c>
      <c r="AG738" t="s">
        <v>4984</v>
      </c>
      <c r="AI738" t="s">
        <v>6016</v>
      </c>
      <c r="AJ738">
        <v>0</v>
      </c>
      <c r="AK738" t="s">
        <v>6276</v>
      </c>
      <c r="AL738">
        <v>1</v>
      </c>
      <c r="AM738">
        <v>0</v>
      </c>
      <c r="AN738">
        <v>0</v>
      </c>
      <c r="AR738" t="s">
        <v>5312</v>
      </c>
      <c r="AS738" t="s">
        <v>6311</v>
      </c>
      <c r="AT738">
        <v>0</v>
      </c>
      <c r="AX738" t="s">
        <v>6441</v>
      </c>
      <c r="BA738" t="s">
        <v>6486</v>
      </c>
      <c r="BD738" t="s">
        <v>237</v>
      </c>
      <c r="BE738" t="s">
        <v>6702</v>
      </c>
    </row>
    <row r="739" spans="1:57">
      <c r="A739" s="1">
        <f>HYPERLINK("https://lsnyc.legalserver.org/matter/dynamic-profile/view/1914988","19-1914988")</f>
        <v>0</v>
      </c>
      <c r="B739" t="s">
        <v>60</v>
      </c>
      <c r="C739" t="s">
        <v>188</v>
      </c>
      <c r="D739" t="s">
        <v>214</v>
      </c>
      <c r="E739" t="s">
        <v>237</v>
      </c>
      <c r="G739" t="s">
        <v>1159</v>
      </c>
      <c r="H739" t="s">
        <v>1864</v>
      </c>
      <c r="J739" t="s">
        <v>2738</v>
      </c>
      <c r="L739" t="s">
        <v>3333</v>
      </c>
      <c r="M739" t="s">
        <v>3379</v>
      </c>
      <c r="N739">
        <v>11434</v>
      </c>
      <c r="O739" t="s">
        <v>3380</v>
      </c>
      <c r="P739" t="s">
        <v>3381</v>
      </c>
      <c r="Q739" t="s">
        <v>3384</v>
      </c>
      <c r="R739" t="s">
        <v>3971</v>
      </c>
      <c r="S739">
        <v>1</v>
      </c>
      <c r="T739" t="s">
        <v>4197</v>
      </c>
      <c r="U739" t="s">
        <v>4224</v>
      </c>
      <c r="W739" t="s">
        <v>4246</v>
      </c>
      <c r="X739" t="s">
        <v>3382</v>
      </c>
      <c r="Y739" t="s">
        <v>3382</v>
      </c>
      <c r="AA739" t="s">
        <v>4256</v>
      </c>
      <c r="AC739">
        <v>0</v>
      </c>
      <c r="AD739">
        <v>0</v>
      </c>
      <c r="AE739">
        <v>0.25</v>
      </c>
      <c r="AG739" t="s">
        <v>4985</v>
      </c>
      <c r="AH739">
        <v>3593447</v>
      </c>
      <c r="AI739" t="s">
        <v>6017</v>
      </c>
      <c r="AJ739">
        <v>0</v>
      </c>
      <c r="AK739" t="s">
        <v>6274</v>
      </c>
      <c r="AL739">
        <v>1</v>
      </c>
      <c r="AM739">
        <v>1</v>
      </c>
      <c r="AN739">
        <v>0</v>
      </c>
      <c r="AR739" t="s">
        <v>5312</v>
      </c>
      <c r="AS739" t="s">
        <v>6298</v>
      </c>
      <c r="AT739">
        <v>0</v>
      </c>
      <c r="AX739" t="s">
        <v>6441</v>
      </c>
      <c r="BA739" t="s">
        <v>6479</v>
      </c>
      <c r="BD739" t="s">
        <v>237</v>
      </c>
      <c r="BE739" t="s">
        <v>6702</v>
      </c>
    </row>
    <row r="740" spans="1:57">
      <c r="A740" s="1">
        <f>HYPERLINK("https://lsnyc.legalserver.org/matter/dynamic-profile/view/1874537","18-1874537")</f>
        <v>0</v>
      </c>
      <c r="B740" t="s">
        <v>60</v>
      </c>
      <c r="C740" t="s">
        <v>188</v>
      </c>
      <c r="D740" t="s">
        <v>214</v>
      </c>
      <c r="E740" t="s">
        <v>420</v>
      </c>
      <c r="G740" t="s">
        <v>1160</v>
      </c>
      <c r="H740" t="s">
        <v>1865</v>
      </c>
      <c r="J740" t="s">
        <v>2739</v>
      </c>
      <c r="K740" t="s">
        <v>3024</v>
      </c>
      <c r="L740" t="s">
        <v>3333</v>
      </c>
      <c r="M740" t="s">
        <v>3379</v>
      </c>
      <c r="N740">
        <v>11434</v>
      </c>
      <c r="O740" t="s">
        <v>3381</v>
      </c>
      <c r="P740" t="s">
        <v>3381</v>
      </c>
      <c r="S740">
        <v>0</v>
      </c>
      <c r="U740" t="s">
        <v>4225</v>
      </c>
      <c r="W740" t="s">
        <v>4245</v>
      </c>
      <c r="X740" t="s">
        <v>3382</v>
      </c>
      <c r="AA740" t="s">
        <v>4256</v>
      </c>
      <c r="AC740">
        <v>0</v>
      </c>
      <c r="AD740">
        <v>0</v>
      </c>
      <c r="AE740">
        <v>0</v>
      </c>
      <c r="AG740" t="s">
        <v>4986</v>
      </c>
      <c r="AI740" t="s">
        <v>6018</v>
      </c>
      <c r="AJ740">
        <v>0</v>
      </c>
      <c r="AL740">
        <v>3</v>
      </c>
      <c r="AM740">
        <v>0</v>
      </c>
      <c r="AN740">
        <v>451.4</v>
      </c>
      <c r="AS740" t="s">
        <v>6298</v>
      </c>
      <c r="AT740">
        <v>93800</v>
      </c>
      <c r="AX740" t="s">
        <v>188</v>
      </c>
      <c r="BA740" t="s">
        <v>6477</v>
      </c>
    </row>
    <row r="741" spans="1:57">
      <c r="A741" s="1">
        <f>HYPERLINK("https://lsnyc.legalserver.org/matter/dynamic-profile/view/1912158","19-1912158")</f>
        <v>0</v>
      </c>
      <c r="B741" t="s">
        <v>60</v>
      </c>
      <c r="C741" t="s">
        <v>188</v>
      </c>
      <c r="D741" t="s">
        <v>214</v>
      </c>
      <c r="E741" t="s">
        <v>504</v>
      </c>
      <c r="G741" t="s">
        <v>1161</v>
      </c>
      <c r="H741" t="s">
        <v>1866</v>
      </c>
      <c r="J741" t="s">
        <v>2740</v>
      </c>
      <c r="L741" t="s">
        <v>3333</v>
      </c>
      <c r="M741" t="s">
        <v>3379</v>
      </c>
      <c r="N741">
        <v>11433</v>
      </c>
      <c r="O741" t="s">
        <v>3382</v>
      </c>
      <c r="P741" t="s">
        <v>3381</v>
      </c>
      <c r="Q741" t="s">
        <v>3390</v>
      </c>
      <c r="R741" t="s">
        <v>3972</v>
      </c>
      <c r="S741">
        <v>25</v>
      </c>
      <c r="T741" t="s">
        <v>4196</v>
      </c>
      <c r="U741" t="s">
        <v>4223</v>
      </c>
      <c r="W741" t="s">
        <v>4245</v>
      </c>
      <c r="X741" t="s">
        <v>3382</v>
      </c>
      <c r="AA741" t="s">
        <v>4256</v>
      </c>
      <c r="AC741">
        <v>0</v>
      </c>
      <c r="AD741">
        <v>1007</v>
      </c>
      <c r="AE741">
        <v>4.7</v>
      </c>
      <c r="AG741" t="s">
        <v>4987</v>
      </c>
      <c r="AI741" t="s">
        <v>6019</v>
      </c>
      <c r="AJ741">
        <v>0</v>
      </c>
      <c r="AK741" t="s">
        <v>6267</v>
      </c>
      <c r="AL741">
        <v>1</v>
      </c>
      <c r="AM741">
        <v>0</v>
      </c>
      <c r="AN741">
        <v>8.81</v>
      </c>
      <c r="AR741" t="s">
        <v>6294</v>
      </c>
      <c r="AS741" t="s">
        <v>6298</v>
      </c>
      <c r="AT741">
        <v>1100</v>
      </c>
      <c r="AX741" t="s">
        <v>196</v>
      </c>
      <c r="BA741" t="s">
        <v>6511</v>
      </c>
      <c r="BD741" t="s">
        <v>219</v>
      </c>
    </row>
    <row r="742" spans="1:57">
      <c r="A742" s="1">
        <f>HYPERLINK("https://lsnyc.legalserver.org/matter/dynamic-profile/view/1888036","19-1888036")</f>
        <v>0</v>
      </c>
      <c r="B742" t="s">
        <v>60</v>
      </c>
      <c r="C742" t="s">
        <v>188</v>
      </c>
      <c r="D742" t="s">
        <v>214</v>
      </c>
      <c r="E742" t="s">
        <v>487</v>
      </c>
      <c r="G742" t="s">
        <v>1162</v>
      </c>
      <c r="H742" t="s">
        <v>1597</v>
      </c>
      <c r="J742" t="s">
        <v>2741</v>
      </c>
      <c r="K742">
        <v>1</v>
      </c>
      <c r="L742" t="s">
        <v>3361</v>
      </c>
      <c r="M742" t="s">
        <v>3379</v>
      </c>
      <c r="N742">
        <v>11419</v>
      </c>
      <c r="O742" t="s">
        <v>3380</v>
      </c>
      <c r="P742" t="s">
        <v>3380</v>
      </c>
      <c r="Q742" t="s">
        <v>3383</v>
      </c>
      <c r="R742" t="s">
        <v>3973</v>
      </c>
      <c r="S742">
        <v>14</v>
      </c>
      <c r="T742" t="s">
        <v>4197</v>
      </c>
      <c r="U742" t="s">
        <v>4225</v>
      </c>
      <c r="W742" t="s">
        <v>4245</v>
      </c>
      <c r="X742" t="s">
        <v>3382</v>
      </c>
      <c r="Y742" t="s">
        <v>3382</v>
      </c>
      <c r="AA742" t="s">
        <v>4256</v>
      </c>
      <c r="AB742" t="s">
        <v>4261</v>
      </c>
      <c r="AC742">
        <v>0</v>
      </c>
      <c r="AD742">
        <v>1841</v>
      </c>
      <c r="AE742">
        <v>0.1</v>
      </c>
      <c r="AG742" t="s">
        <v>4988</v>
      </c>
      <c r="AH742" t="s">
        <v>5328</v>
      </c>
      <c r="AI742" t="s">
        <v>6020</v>
      </c>
      <c r="AJ742">
        <v>0</v>
      </c>
      <c r="AK742" t="s">
        <v>6266</v>
      </c>
      <c r="AL742">
        <v>3</v>
      </c>
      <c r="AM742">
        <v>1</v>
      </c>
      <c r="AN742">
        <v>69.04000000000001</v>
      </c>
      <c r="AQ742" t="s">
        <v>6287</v>
      </c>
      <c r="AR742" t="s">
        <v>6290</v>
      </c>
      <c r="AS742" t="s">
        <v>6299</v>
      </c>
      <c r="AT742">
        <v>17328</v>
      </c>
      <c r="AX742" t="s">
        <v>184</v>
      </c>
      <c r="BA742" t="s">
        <v>6578</v>
      </c>
      <c r="BD742" t="s">
        <v>382</v>
      </c>
    </row>
    <row r="743" spans="1:57">
      <c r="A743" s="1">
        <f>HYPERLINK("https://lsnyc.legalserver.org/matter/dynamic-profile/view/1912642","19-1912642")</f>
        <v>0</v>
      </c>
      <c r="B743" t="s">
        <v>60</v>
      </c>
      <c r="C743" t="s">
        <v>188</v>
      </c>
      <c r="D743" t="s">
        <v>214</v>
      </c>
      <c r="E743" t="s">
        <v>225</v>
      </c>
      <c r="G743" t="s">
        <v>1163</v>
      </c>
      <c r="H743" t="s">
        <v>1867</v>
      </c>
      <c r="J743" t="s">
        <v>2742</v>
      </c>
      <c r="K743" t="s">
        <v>3252</v>
      </c>
      <c r="L743" t="s">
        <v>3362</v>
      </c>
      <c r="M743" t="s">
        <v>3379</v>
      </c>
      <c r="N743">
        <v>11419</v>
      </c>
      <c r="O743" t="s">
        <v>3380</v>
      </c>
      <c r="P743" t="s">
        <v>3381</v>
      </c>
      <c r="Q743" t="s">
        <v>3383</v>
      </c>
      <c r="R743" t="s">
        <v>3974</v>
      </c>
      <c r="S743">
        <v>10</v>
      </c>
      <c r="T743" t="s">
        <v>4197</v>
      </c>
      <c r="U743" t="s">
        <v>4224</v>
      </c>
      <c r="W743" t="s">
        <v>4245</v>
      </c>
      <c r="X743" t="s">
        <v>3382</v>
      </c>
      <c r="Y743" t="s">
        <v>3382</v>
      </c>
      <c r="AA743" t="s">
        <v>4256</v>
      </c>
      <c r="AC743">
        <v>0</v>
      </c>
      <c r="AD743">
        <v>625</v>
      </c>
      <c r="AE743">
        <v>0.5</v>
      </c>
      <c r="AG743" t="s">
        <v>4989</v>
      </c>
      <c r="AH743" t="s">
        <v>5329</v>
      </c>
      <c r="AI743" t="s">
        <v>6021</v>
      </c>
      <c r="AJ743">
        <v>2</v>
      </c>
      <c r="AK743" t="s">
        <v>6274</v>
      </c>
      <c r="AL743">
        <v>1</v>
      </c>
      <c r="AM743">
        <v>0</v>
      </c>
      <c r="AN743">
        <v>67.25</v>
      </c>
      <c r="AR743" t="s">
        <v>5312</v>
      </c>
      <c r="AS743" t="s">
        <v>6298</v>
      </c>
      <c r="AT743">
        <v>8400</v>
      </c>
      <c r="AX743" t="s">
        <v>6441</v>
      </c>
      <c r="BA743" t="s">
        <v>6499</v>
      </c>
      <c r="BD743" t="s">
        <v>225</v>
      </c>
      <c r="BE743" t="s">
        <v>6702</v>
      </c>
    </row>
    <row r="744" spans="1:57">
      <c r="A744" s="1">
        <f>HYPERLINK("https://lsnyc.legalserver.org/matter/dynamic-profile/view/1888063","19-1888063")</f>
        <v>0</v>
      </c>
      <c r="B744" t="s">
        <v>60</v>
      </c>
      <c r="C744" t="s">
        <v>188</v>
      </c>
      <c r="D744" t="s">
        <v>214</v>
      </c>
      <c r="E744" t="s">
        <v>487</v>
      </c>
      <c r="G744" t="s">
        <v>1164</v>
      </c>
      <c r="H744" t="s">
        <v>1868</v>
      </c>
      <c r="J744" t="s">
        <v>2743</v>
      </c>
      <c r="K744" t="s">
        <v>3159</v>
      </c>
      <c r="L744" t="s">
        <v>3350</v>
      </c>
      <c r="M744" t="s">
        <v>3379</v>
      </c>
      <c r="N744">
        <v>11415</v>
      </c>
      <c r="O744" t="s">
        <v>3380</v>
      </c>
      <c r="P744" t="s">
        <v>3380</v>
      </c>
      <c r="Q744" t="s">
        <v>3383</v>
      </c>
      <c r="R744" t="s">
        <v>3975</v>
      </c>
      <c r="S744">
        <v>3</v>
      </c>
      <c r="T744" t="s">
        <v>4197</v>
      </c>
      <c r="U744" t="s">
        <v>4225</v>
      </c>
      <c r="W744" t="s">
        <v>4245</v>
      </c>
      <c r="X744" t="s">
        <v>3382</v>
      </c>
      <c r="Y744" t="s">
        <v>3382</v>
      </c>
      <c r="AA744" t="s">
        <v>4256</v>
      </c>
      <c r="AC744">
        <v>0</v>
      </c>
      <c r="AD744">
        <v>1500</v>
      </c>
      <c r="AE744">
        <v>0.2</v>
      </c>
      <c r="AG744" t="s">
        <v>4990</v>
      </c>
      <c r="AH744" t="s">
        <v>5330</v>
      </c>
      <c r="AI744" t="s">
        <v>6022</v>
      </c>
      <c r="AJ744">
        <v>48</v>
      </c>
      <c r="AK744" t="s">
        <v>6267</v>
      </c>
      <c r="AL744">
        <v>1</v>
      </c>
      <c r="AM744">
        <v>0</v>
      </c>
      <c r="AN744">
        <v>71.86</v>
      </c>
      <c r="AQ744" t="s">
        <v>6287</v>
      </c>
      <c r="AR744" t="s">
        <v>5312</v>
      </c>
      <c r="AS744" t="s">
        <v>6305</v>
      </c>
      <c r="AT744">
        <v>8724</v>
      </c>
      <c r="AX744" t="s">
        <v>184</v>
      </c>
      <c r="BA744" t="s">
        <v>6475</v>
      </c>
      <c r="BD744" t="s">
        <v>382</v>
      </c>
    </row>
    <row r="745" spans="1:57">
      <c r="A745" s="1">
        <f>HYPERLINK("https://lsnyc.legalserver.org/matter/dynamic-profile/view/1888070","19-1888070")</f>
        <v>0</v>
      </c>
      <c r="B745" t="s">
        <v>60</v>
      </c>
      <c r="C745" t="s">
        <v>188</v>
      </c>
      <c r="D745" t="s">
        <v>214</v>
      </c>
      <c r="E745" t="s">
        <v>487</v>
      </c>
      <c r="G745" t="s">
        <v>1165</v>
      </c>
      <c r="H745" t="s">
        <v>1869</v>
      </c>
      <c r="J745" t="s">
        <v>2744</v>
      </c>
      <c r="K745" t="s">
        <v>3240</v>
      </c>
      <c r="L745" t="s">
        <v>3352</v>
      </c>
      <c r="M745" t="s">
        <v>3379</v>
      </c>
      <c r="N745">
        <v>11372</v>
      </c>
      <c r="O745" t="s">
        <v>3380</v>
      </c>
      <c r="P745" t="s">
        <v>3380</v>
      </c>
      <c r="Q745" t="s">
        <v>3383</v>
      </c>
      <c r="R745" t="s">
        <v>3976</v>
      </c>
      <c r="S745">
        <v>14</v>
      </c>
      <c r="T745" t="s">
        <v>4217</v>
      </c>
      <c r="U745" t="s">
        <v>4225</v>
      </c>
      <c r="W745" t="s">
        <v>4245</v>
      </c>
      <c r="X745" t="s">
        <v>3382</v>
      </c>
      <c r="Y745" t="s">
        <v>3382</v>
      </c>
      <c r="AA745" t="s">
        <v>4256</v>
      </c>
      <c r="AC745">
        <v>0</v>
      </c>
      <c r="AD745">
        <v>900</v>
      </c>
      <c r="AE745">
        <v>0.2</v>
      </c>
      <c r="AG745" t="s">
        <v>4991</v>
      </c>
      <c r="AH745" t="s">
        <v>5331</v>
      </c>
      <c r="AI745" t="s">
        <v>6023</v>
      </c>
      <c r="AJ745">
        <v>0</v>
      </c>
      <c r="AK745" t="s">
        <v>6275</v>
      </c>
      <c r="AL745">
        <v>1</v>
      </c>
      <c r="AM745">
        <v>1</v>
      </c>
      <c r="AN745">
        <v>1.52</v>
      </c>
      <c r="AQ745" t="s">
        <v>6286</v>
      </c>
      <c r="AR745" t="s">
        <v>5312</v>
      </c>
      <c r="AS745" t="s">
        <v>6298</v>
      </c>
      <c r="AT745">
        <v>250</v>
      </c>
      <c r="AX745" t="s">
        <v>184</v>
      </c>
      <c r="BA745" t="s">
        <v>6564</v>
      </c>
      <c r="BD745" t="s">
        <v>382</v>
      </c>
    </row>
    <row r="746" spans="1:57">
      <c r="A746" s="1">
        <f>HYPERLINK("https://lsnyc.legalserver.org/matter/dynamic-profile/view/1883601","18-1883601")</f>
        <v>0</v>
      </c>
      <c r="B746" t="s">
        <v>60</v>
      </c>
      <c r="C746" t="s">
        <v>188</v>
      </c>
      <c r="D746" t="s">
        <v>214</v>
      </c>
      <c r="E746" t="s">
        <v>337</v>
      </c>
      <c r="G746" t="s">
        <v>1166</v>
      </c>
      <c r="H746" t="s">
        <v>1870</v>
      </c>
      <c r="J746" t="s">
        <v>2745</v>
      </c>
      <c r="K746" t="s">
        <v>3243</v>
      </c>
      <c r="L746" t="s">
        <v>3343</v>
      </c>
      <c r="M746" t="s">
        <v>3379</v>
      </c>
      <c r="N746">
        <v>11368</v>
      </c>
      <c r="O746" t="s">
        <v>3380</v>
      </c>
      <c r="P746" t="s">
        <v>3380</v>
      </c>
      <c r="Q746" t="s">
        <v>3383</v>
      </c>
      <c r="R746" t="s">
        <v>3977</v>
      </c>
      <c r="S746">
        <v>14</v>
      </c>
      <c r="T746" t="s">
        <v>4197</v>
      </c>
      <c r="U746" t="s">
        <v>4225</v>
      </c>
      <c r="W746" t="s">
        <v>4245</v>
      </c>
      <c r="X746" t="s">
        <v>3382</v>
      </c>
      <c r="Y746" t="s">
        <v>3382</v>
      </c>
      <c r="AA746" t="s">
        <v>4256</v>
      </c>
      <c r="AC746">
        <v>0</v>
      </c>
      <c r="AD746">
        <v>1500</v>
      </c>
      <c r="AE746">
        <v>0.2</v>
      </c>
      <c r="AG746" t="s">
        <v>4992</v>
      </c>
      <c r="AH746" t="s">
        <v>5332</v>
      </c>
      <c r="AI746" t="s">
        <v>6024</v>
      </c>
      <c r="AJ746">
        <v>0</v>
      </c>
      <c r="AK746" t="s">
        <v>6266</v>
      </c>
      <c r="AL746">
        <v>3</v>
      </c>
      <c r="AM746">
        <v>2</v>
      </c>
      <c r="AN746">
        <v>80.90000000000001</v>
      </c>
      <c r="AQ746" t="s">
        <v>6286</v>
      </c>
      <c r="AR746" t="s">
        <v>5312</v>
      </c>
      <c r="AS746" t="s">
        <v>6299</v>
      </c>
      <c r="AT746">
        <v>23800</v>
      </c>
      <c r="AX746" t="s">
        <v>184</v>
      </c>
      <c r="BA746" t="s">
        <v>6515</v>
      </c>
      <c r="BD746" t="s">
        <v>299</v>
      </c>
      <c r="BE746" t="s">
        <v>6702</v>
      </c>
    </row>
    <row r="747" spans="1:57">
      <c r="A747" s="1">
        <f>HYPERLINK("https://lsnyc.legalserver.org/matter/dynamic-profile/view/1910910","19-1910910")</f>
        <v>0</v>
      </c>
      <c r="B747" t="s">
        <v>60</v>
      </c>
      <c r="C747" t="s">
        <v>188</v>
      </c>
      <c r="D747" t="s">
        <v>214</v>
      </c>
      <c r="E747" t="s">
        <v>250</v>
      </c>
      <c r="G747" t="s">
        <v>1167</v>
      </c>
      <c r="H747" t="s">
        <v>1871</v>
      </c>
      <c r="J747" t="s">
        <v>2746</v>
      </c>
      <c r="K747" t="s">
        <v>3038</v>
      </c>
      <c r="L747" t="s">
        <v>3343</v>
      </c>
      <c r="M747" t="s">
        <v>3379</v>
      </c>
      <c r="N747">
        <v>11368</v>
      </c>
      <c r="O747" t="s">
        <v>3380</v>
      </c>
      <c r="P747" t="s">
        <v>3381</v>
      </c>
      <c r="Q747" t="s">
        <v>3386</v>
      </c>
      <c r="S747">
        <v>22</v>
      </c>
      <c r="T747" t="s">
        <v>4212</v>
      </c>
      <c r="U747" t="s">
        <v>4224</v>
      </c>
      <c r="W747" t="s">
        <v>4245</v>
      </c>
      <c r="X747" t="s">
        <v>3382</v>
      </c>
      <c r="Y747" t="s">
        <v>3382</v>
      </c>
      <c r="AA747" t="s">
        <v>4256</v>
      </c>
      <c r="AC747">
        <v>0</v>
      </c>
      <c r="AD747">
        <v>1311.55</v>
      </c>
      <c r="AE747">
        <v>3.6</v>
      </c>
      <c r="AG747" t="s">
        <v>4993</v>
      </c>
      <c r="AI747" t="s">
        <v>6025</v>
      </c>
      <c r="AJ747">
        <v>224</v>
      </c>
      <c r="AK747" t="s">
        <v>6267</v>
      </c>
      <c r="AL747">
        <v>5</v>
      </c>
      <c r="AM747">
        <v>0</v>
      </c>
      <c r="AN747">
        <v>226.72</v>
      </c>
      <c r="AT747">
        <v>68400</v>
      </c>
      <c r="AX747" t="s">
        <v>201</v>
      </c>
      <c r="BA747" t="s">
        <v>6525</v>
      </c>
      <c r="BD747" t="s">
        <v>227</v>
      </c>
      <c r="BE747" t="s">
        <v>6702</v>
      </c>
    </row>
    <row r="748" spans="1:57">
      <c r="A748" s="1">
        <f>HYPERLINK("https://lsnyc.legalserver.org/matter/dynamic-profile/view/1883621","18-1883621")</f>
        <v>0</v>
      </c>
      <c r="B748" t="s">
        <v>60</v>
      </c>
      <c r="C748" t="s">
        <v>188</v>
      </c>
      <c r="D748" t="s">
        <v>214</v>
      </c>
      <c r="E748" t="s">
        <v>337</v>
      </c>
      <c r="G748" t="s">
        <v>1100</v>
      </c>
      <c r="H748" t="s">
        <v>1553</v>
      </c>
      <c r="J748" t="s">
        <v>2747</v>
      </c>
      <c r="L748" t="s">
        <v>3354</v>
      </c>
      <c r="M748" t="s">
        <v>3379</v>
      </c>
      <c r="N748">
        <v>11356</v>
      </c>
      <c r="O748" t="s">
        <v>3380</v>
      </c>
      <c r="P748" t="s">
        <v>3380</v>
      </c>
      <c r="Q748" t="s">
        <v>3383</v>
      </c>
      <c r="R748" t="s">
        <v>3978</v>
      </c>
      <c r="S748">
        <v>49</v>
      </c>
      <c r="T748" t="s">
        <v>4197</v>
      </c>
      <c r="U748" t="s">
        <v>4225</v>
      </c>
      <c r="W748" t="s">
        <v>4245</v>
      </c>
      <c r="X748" t="s">
        <v>3382</v>
      </c>
      <c r="Y748" t="s">
        <v>3382</v>
      </c>
      <c r="AA748" t="s">
        <v>4256</v>
      </c>
      <c r="AC748">
        <v>0</v>
      </c>
      <c r="AD748">
        <v>825</v>
      </c>
      <c r="AE748">
        <v>0.2</v>
      </c>
      <c r="AG748" t="s">
        <v>4994</v>
      </c>
      <c r="AH748" t="s">
        <v>5333</v>
      </c>
      <c r="AI748" t="s">
        <v>6026</v>
      </c>
      <c r="AJ748">
        <v>0</v>
      </c>
      <c r="AK748" t="s">
        <v>6266</v>
      </c>
      <c r="AL748">
        <v>1</v>
      </c>
      <c r="AM748">
        <v>0</v>
      </c>
      <c r="AN748">
        <v>82.73</v>
      </c>
      <c r="AQ748" t="s">
        <v>6287</v>
      </c>
      <c r="AS748" t="s">
        <v>6299</v>
      </c>
      <c r="AT748">
        <v>10044</v>
      </c>
      <c r="AX748" t="s">
        <v>184</v>
      </c>
      <c r="BA748" t="s">
        <v>6487</v>
      </c>
      <c r="BD748" t="s">
        <v>299</v>
      </c>
    </row>
    <row r="749" spans="1:57">
      <c r="A749" s="1">
        <f>HYPERLINK("https://lsnyc.legalserver.org/matter/dynamic-profile/view/1911899","19-1911899")</f>
        <v>0</v>
      </c>
      <c r="B749" t="s">
        <v>60</v>
      </c>
      <c r="C749" t="s">
        <v>189</v>
      </c>
      <c r="D749" t="s">
        <v>214</v>
      </c>
      <c r="E749" t="s">
        <v>342</v>
      </c>
      <c r="G749" t="s">
        <v>1168</v>
      </c>
      <c r="H749" t="s">
        <v>1872</v>
      </c>
      <c r="J749" t="s">
        <v>2748</v>
      </c>
      <c r="K749" t="s">
        <v>3275</v>
      </c>
      <c r="L749" t="s">
        <v>3333</v>
      </c>
      <c r="M749" t="s">
        <v>3379</v>
      </c>
      <c r="N749">
        <v>11435</v>
      </c>
      <c r="O749" t="s">
        <v>3380</v>
      </c>
      <c r="P749" t="s">
        <v>3381</v>
      </c>
      <c r="Q749" t="s">
        <v>3383</v>
      </c>
      <c r="R749" t="s">
        <v>3979</v>
      </c>
      <c r="S749">
        <v>4</v>
      </c>
      <c r="T749" t="s">
        <v>4196</v>
      </c>
      <c r="U749" t="s">
        <v>4224</v>
      </c>
      <c r="W749" t="s">
        <v>4245</v>
      </c>
      <c r="X749" t="s">
        <v>3382</v>
      </c>
      <c r="Y749" t="s">
        <v>3382</v>
      </c>
      <c r="AA749" t="s">
        <v>4256</v>
      </c>
      <c r="AC749">
        <v>0</v>
      </c>
      <c r="AD749">
        <v>1173</v>
      </c>
      <c r="AE749">
        <v>2.83</v>
      </c>
      <c r="AG749" t="s">
        <v>4995</v>
      </c>
      <c r="AI749" t="s">
        <v>6027</v>
      </c>
      <c r="AJ749">
        <v>125</v>
      </c>
      <c r="AK749" t="s">
        <v>6267</v>
      </c>
      <c r="AL749">
        <v>2</v>
      </c>
      <c r="AM749">
        <v>2</v>
      </c>
      <c r="AN749">
        <v>166.99</v>
      </c>
      <c r="AR749" t="s">
        <v>5312</v>
      </c>
      <c r="AS749" t="s">
        <v>6298</v>
      </c>
      <c r="AT749">
        <v>43000</v>
      </c>
      <c r="AX749" t="s">
        <v>6441</v>
      </c>
      <c r="BA749" t="s">
        <v>6477</v>
      </c>
      <c r="BD749" t="s">
        <v>269</v>
      </c>
      <c r="BE749" t="s">
        <v>5312</v>
      </c>
    </row>
    <row r="750" spans="1:57">
      <c r="A750" s="1">
        <f>HYPERLINK("https://lsnyc.legalserver.org/matter/dynamic-profile/view/1912625","19-1912625")</f>
        <v>0</v>
      </c>
      <c r="B750" t="s">
        <v>60</v>
      </c>
      <c r="C750" t="s">
        <v>189</v>
      </c>
      <c r="D750" t="s">
        <v>214</v>
      </c>
      <c r="E750" t="s">
        <v>225</v>
      </c>
      <c r="G750" t="s">
        <v>1169</v>
      </c>
      <c r="H750" t="s">
        <v>1873</v>
      </c>
      <c r="J750" t="s">
        <v>2749</v>
      </c>
      <c r="K750" t="s">
        <v>3091</v>
      </c>
      <c r="L750" t="s">
        <v>3333</v>
      </c>
      <c r="M750" t="s">
        <v>3379</v>
      </c>
      <c r="N750">
        <v>11435</v>
      </c>
      <c r="O750" t="s">
        <v>3380</v>
      </c>
      <c r="P750" t="s">
        <v>3381</v>
      </c>
      <c r="Q750" t="s">
        <v>3383</v>
      </c>
      <c r="R750" t="s">
        <v>3980</v>
      </c>
      <c r="S750">
        <v>2</v>
      </c>
      <c r="U750" t="s">
        <v>4224</v>
      </c>
      <c r="W750" t="s">
        <v>4245</v>
      </c>
      <c r="X750" t="s">
        <v>3382</v>
      </c>
      <c r="AA750" t="s">
        <v>4256</v>
      </c>
      <c r="AC750">
        <v>0</v>
      </c>
      <c r="AD750">
        <v>2419</v>
      </c>
      <c r="AE750">
        <v>1.23</v>
      </c>
      <c r="AG750" t="s">
        <v>4996</v>
      </c>
      <c r="AI750" t="s">
        <v>6028</v>
      </c>
      <c r="AJ750">
        <v>0</v>
      </c>
      <c r="AK750" t="s">
        <v>6267</v>
      </c>
      <c r="AL750">
        <v>1</v>
      </c>
      <c r="AM750">
        <v>1</v>
      </c>
      <c r="AN750">
        <v>0</v>
      </c>
      <c r="AR750" t="s">
        <v>5312</v>
      </c>
      <c r="AS750" t="s">
        <v>6298</v>
      </c>
      <c r="AT750">
        <v>0</v>
      </c>
      <c r="AX750" t="s">
        <v>6441</v>
      </c>
      <c r="BA750" t="s">
        <v>6479</v>
      </c>
      <c r="BD750" t="s">
        <v>231</v>
      </c>
      <c r="BE750" t="s">
        <v>6702</v>
      </c>
    </row>
    <row r="751" spans="1:57">
      <c r="A751" s="1">
        <f>HYPERLINK("https://lsnyc.legalserver.org/matter/dynamic-profile/view/1910672","19-1910672")</f>
        <v>0</v>
      </c>
      <c r="B751" t="s">
        <v>60</v>
      </c>
      <c r="C751" t="s">
        <v>189</v>
      </c>
      <c r="D751" t="s">
        <v>214</v>
      </c>
      <c r="E751" t="s">
        <v>220</v>
      </c>
      <c r="G751" t="s">
        <v>1170</v>
      </c>
      <c r="H751" t="s">
        <v>1874</v>
      </c>
      <c r="J751" t="s">
        <v>2750</v>
      </c>
      <c r="K751" t="s">
        <v>2995</v>
      </c>
      <c r="L751" t="s">
        <v>3333</v>
      </c>
      <c r="M751" t="s">
        <v>3379</v>
      </c>
      <c r="N751">
        <v>11434</v>
      </c>
      <c r="O751" t="s">
        <v>3380</v>
      </c>
      <c r="P751" t="s">
        <v>3381</v>
      </c>
      <c r="Q751" t="s">
        <v>3383</v>
      </c>
      <c r="R751" t="s">
        <v>3981</v>
      </c>
      <c r="S751">
        <v>6</v>
      </c>
      <c r="T751" t="s">
        <v>4197</v>
      </c>
      <c r="U751" t="s">
        <v>4223</v>
      </c>
      <c r="W751" t="s">
        <v>4246</v>
      </c>
      <c r="X751" t="s">
        <v>3382</v>
      </c>
      <c r="Y751" t="s">
        <v>3382</v>
      </c>
      <c r="AA751" t="s">
        <v>4256</v>
      </c>
      <c r="AC751">
        <v>0</v>
      </c>
      <c r="AD751">
        <v>1919</v>
      </c>
      <c r="AE751">
        <v>6.4</v>
      </c>
      <c r="AG751" t="s">
        <v>4997</v>
      </c>
      <c r="AI751" t="s">
        <v>6029</v>
      </c>
      <c r="AJ751">
        <v>2</v>
      </c>
      <c r="AK751" t="s">
        <v>6274</v>
      </c>
      <c r="AL751">
        <v>3</v>
      </c>
      <c r="AM751">
        <v>2</v>
      </c>
      <c r="AN751">
        <v>31.58</v>
      </c>
      <c r="AR751" t="s">
        <v>6290</v>
      </c>
      <c r="AS751" t="s">
        <v>6298</v>
      </c>
      <c r="AT751">
        <v>9528</v>
      </c>
      <c r="AX751" t="s">
        <v>6441</v>
      </c>
      <c r="BA751" t="s">
        <v>6482</v>
      </c>
      <c r="BD751" t="s">
        <v>243</v>
      </c>
      <c r="BE751" t="s">
        <v>6702</v>
      </c>
    </row>
    <row r="752" spans="1:57">
      <c r="A752" s="1">
        <f>HYPERLINK("https://lsnyc.legalserver.org/matter/dynamic-profile/view/1912266","19-1912266")</f>
        <v>0</v>
      </c>
      <c r="B752" t="s">
        <v>60</v>
      </c>
      <c r="C752" t="s">
        <v>189</v>
      </c>
      <c r="D752" t="s">
        <v>214</v>
      </c>
      <c r="E752" t="s">
        <v>268</v>
      </c>
      <c r="G752" t="s">
        <v>1171</v>
      </c>
      <c r="H752" t="s">
        <v>1664</v>
      </c>
      <c r="J752" t="s">
        <v>2751</v>
      </c>
      <c r="L752" t="s">
        <v>3336</v>
      </c>
      <c r="M752" t="s">
        <v>3379</v>
      </c>
      <c r="N752">
        <v>11427</v>
      </c>
      <c r="O752" t="s">
        <v>3380</v>
      </c>
      <c r="P752" t="s">
        <v>3381</v>
      </c>
      <c r="Q752" t="s">
        <v>3383</v>
      </c>
      <c r="R752" t="s">
        <v>3982</v>
      </c>
      <c r="S752">
        <v>28</v>
      </c>
      <c r="T752" t="s">
        <v>4197</v>
      </c>
      <c r="U752" t="s">
        <v>4225</v>
      </c>
      <c r="W752" t="s">
        <v>4245</v>
      </c>
      <c r="X752" t="s">
        <v>3382</v>
      </c>
      <c r="Y752" t="s">
        <v>3382</v>
      </c>
      <c r="AA752" t="s">
        <v>4256</v>
      </c>
      <c r="AC752">
        <v>0</v>
      </c>
      <c r="AD752">
        <v>0</v>
      </c>
      <c r="AE752">
        <v>2.55</v>
      </c>
      <c r="AG752" t="s">
        <v>4998</v>
      </c>
      <c r="AI752" t="s">
        <v>6030</v>
      </c>
      <c r="AJ752">
        <v>1</v>
      </c>
      <c r="AL752">
        <v>3</v>
      </c>
      <c r="AM752">
        <v>0</v>
      </c>
      <c r="AN752">
        <v>28.13</v>
      </c>
      <c r="AR752" t="s">
        <v>5312</v>
      </c>
      <c r="AS752" t="s">
        <v>6298</v>
      </c>
      <c r="AT752">
        <v>6000</v>
      </c>
      <c r="AX752" t="s">
        <v>6441</v>
      </c>
      <c r="BA752" t="s">
        <v>6475</v>
      </c>
      <c r="BD752" t="s">
        <v>269</v>
      </c>
      <c r="BE752" t="s">
        <v>6702</v>
      </c>
    </row>
    <row r="753" spans="1:57">
      <c r="A753" s="1">
        <f>HYPERLINK("https://lsnyc.legalserver.org/matter/dynamic-profile/view/1907508","19-1907508")</f>
        <v>0</v>
      </c>
      <c r="B753" t="s">
        <v>60</v>
      </c>
      <c r="C753" t="s">
        <v>189</v>
      </c>
      <c r="D753" t="s">
        <v>214</v>
      </c>
      <c r="E753" t="s">
        <v>287</v>
      </c>
      <c r="G753" t="s">
        <v>1172</v>
      </c>
      <c r="H753" t="s">
        <v>1334</v>
      </c>
      <c r="J753" t="s">
        <v>2752</v>
      </c>
      <c r="K753">
        <v>2</v>
      </c>
      <c r="L753" t="s">
        <v>3349</v>
      </c>
      <c r="M753" t="s">
        <v>3379</v>
      </c>
      <c r="N753">
        <v>11418</v>
      </c>
      <c r="O753" t="s">
        <v>3380</v>
      </c>
      <c r="P753" t="s">
        <v>3381</v>
      </c>
      <c r="Q753" t="s">
        <v>3383</v>
      </c>
      <c r="R753" t="s">
        <v>3983</v>
      </c>
      <c r="S753">
        <v>1</v>
      </c>
      <c r="T753" t="s">
        <v>4197</v>
      </c>
      <c r="U753" t="s">
        <v>4225</v>
      </c>
      <c r="W753" t="s">
        <v>4245</v>
      </c>
      <c r="X753" t="s">
        <v>3382</v>
      </c>
      <c r="AA753" t="s">
        <v>4256</v>
      </c>
      <c r="AC753">
        <v>0</v>
      </c>
      <c r="AD753">
        <v>1250</v>
      </c>
      <c r="AE753">
        <v>1.2</v>
      </c>
      <c r="AG753" t="s">
        <v>4999</v>
      </c>
      <c r="AI753" t="s">
        <v>6031</v>
      </c>
      <c r="AJ753">
        <v>3</v>
      </c>
      <c r="AL753">
        <v>1</v>
      </c>
      <c r="AM753">
        <v>2</v>
      </c>
      <c r="AN753">
        <v>0</v>
      </c>
      <c r="AT753">
        <v>0</v>
      </c>
      <c r="AX753" t="s">
        <v>196</v>
      </c>
      <c r="BA753" t="s">
        <v>6486</v>
      </c>
      <c r="BD753" t="s">
        <v>245</v>
      </c>
      <c r="BE753" t="s">
        <v>6702</v>
      </c>
    </row>
    <row r="754" spans="1:57">
      <c r="A754" s="1">
        <f>HYPERLINK("https://lsnyc.legalserver.org/matter/dynamic-profile/view/1912647","19-1912647")</f>
        <v>0</v>
      </c>
      <c r="B754" t="s">
        <v>60</v>
      </c>
      <c r="C754" t="s">
        <v>189</v>
      </c>
      <c r="D754" t="s">
        <v>214</v>
      </c>
      <c r="E754" t="s">
        <v>225</v>
      </c>
      <c r="G754" t="s">
        <v>1173</v>
      </c>
      <c r="H754" t="s">
        <v>1875</v>
      </c>
      <c r="J754" t="s">
        <v>2753</v>
      </c>
      <c r="K754" t="s">
        <v>3149</v>
      </c>
      <c r="L754" t="s">
        <v>3349</v>
      </c>
      <c r="M754" t="s">
        <v>3379</v>
      </c>
      <c r="N754">
        <v>11418</v>
      </c>
      <c r="O754" t="s">
        <v>3380</v>
      </c>
      <c r="P754" t="s">
        <v>3381</v>
      </c>
      <c r="Q754" t="s">
        <v>3383</v>
      </c>
      <c r="R754" t="s">
        <v>3984</v>
      </c>
      <c r="S754">
        <v>2</v>
      </c>
      <c r="T754" t="s">
        <v>4197</v>
      </c>
      <c r="U754" t="s">
        <v>4224</v>
      </c>
      <c r="W754" t="s">
        <v>4245</v>
      </c>
      <c r="X754" t="s">
        <v>3382</v>
      </c>
      <c r="Y754" t="s">
        <v>3382</v>
      </c>
      <c r="AA754" t="s">
        <v>4256</v>
      </c>
      <c r="AC754">
        <v>0</v>
      </c>
      <c r="AD754">
        <v>700</v>
      </c>
      <c r="AE754">
        <v>3.88</v>
      </c>
      <c r="AG754" t="s">
        <v>5000</v>
      </c>
      <c r="AH754" t="s">
        <v>5334</v>
      </c>
      <c r="AI754" t="s">
        <v>6032</v>
      </c>
      <c r="AJ754">
        <v>2</v>
      </c>
      <c r="AK754" t="s">
        <v>6274</v>
      </c>
      <c r="AL754">
        <v>1</v>
      </c>
      <c r="AM754">
        <v>0</v>
      </c>
      <c r="AN754">
        <v>187.35</v>
      </c>
      <c r="AR754" t="s">
        <v>5312</v>
      </c>
      <c r="AS754" t="s">
        <v>6298</v>
      </c>
      <c r="AT754">
        <v>23400</v>
      </c>
      <c r="AX754" t="s">
        <v>6441</v>
      </c>
      <c r="BA754" t="s">
        <v>6485</v>
      </c>
      <c r="BD754" t="s">
        <v>272</v>
      </c>
      <c r="BE754" t="s">
        <v>6702</v>
      </c>
    </row>
    <row r="755" spans="1:57">
      <c r="A755" s="1">
        <f>HYPERLINK("https://lsnyc.legalserver.org/matter/dynamic-profile/view/1915094","19-1915094")</f>
        <v>0</v>
      </c>
      <c r="B755" t="s">
        <v>60</v>
      </c>
      <c r="C755" t="s">
        <v>189</v>
      </c>
      <c r="D755" t="s">
        <v>214</v>
      </c>
      <c r="E755" t="s">
        <v>237</v>
      </c>
      <c r="G755" t="s">
        <v>1030</v>
      </c>
      <c r="H755" t="s">
        <v>1876</v>
      </c>
      <c r="J755" t="s">
        <v>2754</v>
      </c>
      <c r="K755" t="s">
        <v>3047</v>
      </c>
      <c r="L755" t="s">
        <v>3337</v>
      </c>
      <c r="M755" t="s">
        <v>3379</v>
      </c>
      <c r="N755">
        <v>11417</v>
      </c>
      <c r="O755" t="s">
        <v>3380</v>
      </c>
      <c r="P755" t="s">
        <v>3381</v>
      </c>
      <c r="Q755" t="s">
        <v>3383</v>
      </c>
      <c r="R755" t="s">
        <v>3985</v>
      </c>
      <c r="S755">
        <v>-1</v>
      </c>
      <c r="T755" t="s">
        <v>4196</v>
      </c>
      <c r="U755" t="s">
        <v>4224</v>
      </c>
      <c r="W755" t="s">
        <v>4245</v>
      </c>
      <c r="X755" t="s">
        <v>3382</v>
      </c>
      <c r="Y755" t="s">
        <v>3382</v>
      </c>
      <c r="AA755" t="s">
        <v>4256</v>
      </c>
      <c r="AC755">
        <v>0</v>
      </c>
      <c r="AD755">
        <v>2350</v>
      </c>
      <c r="AE755">
        <v>1.5</v>
      </c>
      <c r="AG755" t="s">
        <v>5001</v>
      </c>
      <c r="AH755" t="s">
        <v>5335</v>
      </c>
      <c r="AJ755">
        <v>3</v>
      </c>
      <c r="AK755" t="s">
        <v>6274</v>
      </c>
      <c r="AL755">
        <v>4</v>
      </c>
      <c r="AM755">
        <v>1</v>
      </c>
      <c r="AN755">
        <v>111.01</v>
      </c>
      <c r="AR755" t="s">
        <v>5312</v>
      </c>
      <c r="AS755" t="s">
        <v>6299</v>
      </c>
      <c r="AT755">
        <v>33492</v>
      </c>
      <c r="AX755" t="s">
        <v>6441</v>
      </c>
      <c r="BA755" t="s">
        <v>6500</v>
      </c>
      <c r="BD755" t="s">
        <v>231</v>
      </c>
      <c r="BE755" t="s">
        <v>6702</v>
      </c>
    </row>
    <row r="756" spans="1:57">
      <c r="A756" s="1">
        <f>HYPERLINK("https://lsnyc.legalserver.org/matter/dynamic-profile/view/1907604","19-1907604")</f>
        <v>0</v>
      </c>
      <c r="B756" t="s">
        <v>60</v>
      </c>
      <c r="C756" t="s">
        <v>189</v>
      </c>
      <c r="D756" t="s">
        <v>214</v>
      </c>
      <c r="E756" t="s">
        <v>286</v>
      </c>
      <c r="G756" t="s">
        <v>1174</v>
      </c>
      <c r="H756" t="s">
        <v>1877</v>
      </c>
      <c r="J756" t="s">
        <v>2755</v>
      </c>
      <c r="K756" t="s">
        <v>3116</v>
      </c>
      <c r="L756" t="s">
        <v>3363</v>
      </c>
      <c r="M756" t="s">
        <v>3379</v>
      </c>
      <c r="N756">
        <v>11375</v>
      </c>
      <c r="O756" t="s">
        <v>3380</v>
      </c>
      <c r="P756" t="s">
        <v>3381</v>
      </c>
      <c r="Q756" t="s">
        <v>3383</v>
      </c>
      <c r="R756" t="s">
        <v>3986</v>
      </c>
      <c r="S756">
        <v>56</v>
      </c>
      <c r="T756" t="s">
        <v>4196</v>
      </c>
      <c r="U756" t="s">
        <v>4224</v>
      </c>
      <c r="W756" t="s">
        <v>4245</v>
      </c>
      <c r="X756" t="s">
        <v>3382</v>
      </c>
      <c r="AA756" t="s">
        <v>4256</v>
      </c>
      <c r="AC756">
        <v>0</v>
      </c>
      <c r="AD756">
        <v>1500</v>
      </c>
      <c r="AE756">
        <v>1.3</v>
      </c>
      <c r="AG756" t="s">
        <v>5002</v>
      </c>
      <c r="AI756" t="s">
        <v>6033</v>
      </c>
      <c r="AJ756">
        <v>72</v>
      </c>
      <c r="AK756" t="s">
        <v>6266</v>
      </c>
      <c r="AL756">
        <v>1</v>
      </c>
      <c r="AM756">
        <v>0</v>
      </c>
      <c r="AN756">
        <v>124.9</v>
      </c>
      <c r="AR756" t="s">
        <v>5312</v>
      </c>
      <c r="AS756" t="s">
        <v>6298</v>
      </c>
      <c r="AT756">
        <v>15600</v>
      </c>
      <c r="AX756" t="s">
        <v>6441</v>
      </c>
      <c r="BA756" t="s">
        <v>6487</v>
      </c>
      <c r="BD756" t="s">
        <v>274</v>
      </c>
      <c r="BE756" t="s">
        <v>6702</v>
      </c>
    </row>
    <row r="757" spans="1:57">
      <c r="A757" s="1">
        <f>HYPERLINK("https://lsnyc.legalserver.org/matter/dynamic-profile/view/1907619","19-1907619")</f>
        <v>0</v>
      </c>
      <c r="B757" t="s">
        <v>60</v>
      </c>
      <c r="C757" t="s">
        <v>189</v>
      </c>
      <c r="D757" t="s">
        <v>214</v>
      </c>
      <c r="E757" t="s">
        <v>286</v>
      </c>
      <c r="G757" t="s">
        <v>1175</v>
      </c>
      <c r="H757" t="s">
        <v>1878</v>
      </c>
      <c r="J757" t="s">
        <v>2756</v>
      </c>
      <c r="K757" t="s">
        <v>3030</v>
      </c>
      <c r="L757" t="s">
        <v>3346</v>
      </c>
      <c r="M757" t="s">
        <v>3379</v>
      </c>
      <c r="N757">
        <v>11106</v>
      </c>
      <c r="O757" t="s">
        <v>3380</v>
      </c>
      <c r="P757" t="s">
        <v>3381</v>
      </c>
      <c r="Q757" t="s">
        <v>3383</v>
      </c>
      <c r="R757" t="s">
        <v>3987</v>
      </c>
      <c r="S757">
        <v>5</v>
      </c>
      <c r="T757" t="s">
        <v>4196</v>
      </c>
      <c r="U757" t="s">
        <v>4224</v>
      </c>
      <c r="W757" t="s">
        <v>4245</v>
      </c>
      <c r="X757" t="s">
        <v>3382</v>
      </c>
      <c r="Y757" t="s">
        <v>3382</v>
      </c>
      <c r="AA757" t="s">
        <v>4258</v>
      </c>
      <c r="AC757">
        <v>0</v>
      </c>
      <c r="AD757">
        <v>331</v>
      </c>
      <c r="AE757">
        <v>0.83</v>
      </c>
      <c r="AG757" t="s">
        <v>5003</v>
      </c>
      <c r="AI757" t="s">
        <v>6034</v>
      </c>
      <c r="AJ757">
        <v>6</v>
      </c>
      <c r="AK757" t="s">
        <v>6278</v>
      </c>
      <c r="AL757">
        <v>1</v>
      </c>
      <c r="AM757">
        <v>3</v>
      </c>
      <c r="AN757">
        <v>79.04000000000001</v>
      </c>
      <c r="AR757" t="s">
        <v>5312</v>
      </c>
      <c r="AS757" t="s">
        <v>6298</v>
      </c>
      <c r="AT757">
        <v>20354</v>
      </c>
      <c r="AX757" t="s">
        <v>6441</v>
      </c>
      <c r="BA757" t="s">
        <v>6579</v>
      </c>
      <c r="BD757" t="s">
        <v>245</v>
      </c>
      <c r="BE757" t="s">
        <v>6702</v>
      </c>
    </row>
    <row r="758" spans="1:57">
      <c r="A758" s="1">
        <f>HYPERLINK("https://lsnyc.legalserver.org/matter/dynamic-profile/view/1911864","19-1911864")</f>
        <v>0</v>
      </c>
      <c r="B758" t="s">
        <v>60</v>
      </c>
      <c r="C758" t="s">
        <v>190</v>
      </c>
      <c r="D758" t="s">
        <v>214</v>
      </c>
      <c r="E758" t="s">
        <v>342</v>
      </c>
      <c r="G758" t="s">
        <v>1176</v>
      </c>
      <c r="H758" t="s">
        <v>1353</v>
      </c>
      <c r="J758" t="s">
        <v>2757</v>
      </c>
      <c r="K758">
        <v>5</v>
      </c>
      <c r="L758" t="s">
        <v>3364</v>
      </c>
      <c r="M758" t="s">
        <v>3379</v>
      </c>
      <c r="N758">
        <v>11412</v>
      </c>
      <c r="O758" t="s">
        <v>3380</v>
      </c>
      <c r="P758" t="s">
        <v>3381</v>
      </c>
      <c r="Q758" t="s">
        <v>3383</v>
      </c>
      <c r="R758" t="s">
        <v>3988</v>
      </c>
      <c r="S758">
        <v>6</v>
      </c>
      <c r="T758" t="s">
        <v>4196</v>
      </c>
      <c r="U758" t="s">
        <v>4223</v>
      </c>
      <c r="W758" t="s">
        <v>4245</v>
      </c>
      <c r="X758" t="s">
        <v>3382</v>
      </c>
      <c r="Y758" t="s">
        <v>3382</v>
      </c>
      <c r="AA758" t="s">
        <v>4256</v>
      </c>
      <c r="AC758">
        <v>0</v>
      </c>
      <c r="AD758">
        <v>531</v>
      </c>
      <c r="AE758">
        <v>4.83</v>
      </c>
      <c r="AG758" t="s">
        <v>5004</v>
      </c>
      <c r="AH758" t="s">
        <v>5336</v>
      </c>
      <c r="AI758" t="s">
        <v>6035</v>
      </c>
      <c r="AJ758">
        <v>250</v>
      </c>
      <c r="AK758" t="s">
        <v>6274</v>
      </c>
      <c r="AL758">
        <v>1</v>
      </c>
      <c r="AM758">
        <v>0</v>
      </c>
      <c r="AN758">
        <v>185.52</v>
      </c>
      <c r="AR758" t="s">
        <v>5312</v>
      </c>
      <c r="AS758" t="s">
        <v>6298</v>
      </c>
      <c r="AT758">
        <v>23172</v>
      </c>
      <c r="AX758" t="s">
        <v>6441</v>
      </c>
      <c r="BA758" t="s">
        <v>6580</v>
      </c>
      <c r="BD758" t="s">
        <v>216</v>
      </c>
      <c r="BE758" t="s">
        <v>6702</v>
      </c>
    </row>
    <row r="759" spans="1:57">
      <c r="A759" s="1">
        <f>HYPERLINK("https://lsnyc.legalserver.org/matter/dynamic-profile/view/1881991","18-1881991")</f>
        <v>0</v>
      </c>
      <c r="B759" t="s">
        <v>60</v>
      </c>
      <c r="C759" t="s">
        <v>191</v>
      </c>
      <c r="D759" t="s">
        <v>214</v>
      </c>
      <c r="E759" t="s">
        <v>478</v>
      </c>
      <c r="G759" t="s">
        <v>1177</v>
      </c>
      <c r="H759" t="s">
        <v>1879</v>
      </c>
      <c r="J759" t="s">
        <v>2758</v>
      </c>
      <c r="K759" t="s">
        <v>3040</v>
      </c>
      <c r="L759" t="s">
        <v>3361</v>
      </c>
      <c r="M759" t="s">
        <v>3379</v>
      </c>
      <c r="N759">
        <v>11419</v>
      </c>
      <c r="O759" t="s">
        <v>3380</v>
      </c>
      <c r="P759" t="s">
        <v>3380</v>
      </c>
      <c r="Q759" t="s">
        <v>3383</v>
      </c>
      <c r="R759" t="s">
        <v>3989</v>
      </c>
      <c r="S759">
        <v>21</v>
      </c>
      <c r="T759" t="s">
        <v>4197</v>
      </c>
      <c r="U759" t="s">
        <v>4224</v>
      </c>
      <c r="W759" t="s">
        <v>4245</v>
      </c>
      <c r="X759" t="s">
        <v>3382</v>
      </c>
      <c r="Y759" t="s">
        <v>3382</v>
      </c>
      <c r="AA759" t="s">
        <v>4256</v>
      </c>
      <c r="AC759">
        <v>825</v>
      </c>
      <c r="AD759">
        <v>825</v>
      </c>
      <c r="AE759">
        <v>6.3</v>
      </c>
      <c r="AG759" t="s">
        <v>5005</v>
      </c>
      <c r="AH759" t="s">
        <v>5337</v>
      </c>
      <c r="AI759" t="s">
        <v>6036</v>
      </c>
      <c r="AJ759">
        <v>4</v>
      </c>
      <c r="AK759" t="s">
        <v>6266</v>
      </c>
      <c r="AL759">
        <v>1</v>
      </c>
      <c r="AM759">
        <v>0</v>
      </c>
      <c r="AN759">
        <v>51.8</v>
      </c>
      <c r="AQ759" t="s">
        <v>6287</v>
      </c>
      <c r="AR759" t="s">
        <v>5312</v>
      </c>
      <c r="AS759" t="s">
        <v>6312</v>
      </c>
      <c r="AT759">
        <v>6288</v>
      </c>
      <c r="AX759" t="s">
        <v>184</v>
      </c>
      <c r="BA759" t="s">
        <v>6487</v>
      </c>
      <c r="BD759" t="s">
        <v>452</v>
      </c>
    </row>
    <row r="760" spans="1:57">
      <c r="A760" s="1">
        <f>HYPERLINK("https://lsnyc.legalserver.org/matter/dynamic-profile/view/1902292","19-1902292")</f>
        <v>0</v>
      </c>
      <c r="B760" t="s">
        <v>60</v>
      </c>
      <c r="C760" t="s">
        <v>191</v>
      </c>
      <c r="D760" t="s">
        <v>214</v>
      </c>
      <c r="E760" t="s">
        <v>263</v>
      </c>
      <c r="G760" t="s">
        <v>1178</v>
      </c>
      <c r="H760" t="s">
        <v>1880</v>
      </c>
      <c r="J760" t="s">
        <v>2759</v>
      </c>
      <c r="K760" t="s">
        <v>3149</v>
      </c>
      <c r="L760" t="s">
        <v>3357</v>
      </c>
      <c r="M760" t="s">
        <v>3379</v>
      </c>
      <c r="N760">
        <v>11385</v>
      </c>
      <c r="O760" t="s">
        <v>3380</v>
      </c>
      <c r="P760" t="s">
        <v>3381</v>
      </c>
      <c r="Q760" t="s">
        <v>3384</v>
      </c>
      <c r="R760" t="s">
        <v>3990</v>
      </c>
      <c r="S760">
        <v>1</v>
      </c>
      <c r="T760" t="s">
        <v>4196</v>
      </c>
      <c r="U760" t="s">
        <v>4223</v>
      </c>
      <c r="W760" t="s">
        <v>4246</v>
      </c>
      <c r="X760" t="s">
        <v>3382</v>
      </c>
      <c r="Y760" t="s">
        <v>3382</v>
      </c>
      <c r="AA760" t="s">
        <v>4256</v>
      </c>
      <c r="AB760" t="s">
        <v>4265</v>
      </c>
      <c r="AC760">
        <v>0</v>
      </c>
      <c r="AD760">
        <v>2050</v>
      </c>
      <c r="AE760">
        <v>14.27</v>
      </c>
      <c r="AG760" t="s">
        <v>5006</v>
      </c>
      <c r="AH760" t="s">
        <v>5338</v>
      </c>
      <c r="AI760" t="s">
        <v>6037</v>
      </c>
      <c r="AJ760">
        <v>3</v>
      </c>
      <c r="AK760" t="s">
        <v>6274</v>
      </c>
      <c r="AL760">
        <v>1</v>
      </c>
      <c r="AM760">
        <v>3</v>
      </c>
      <c r="AN760">
        <v>23.3</v>
      </c>
      <c r="AR760" t="s">
        <v>3391</v>
      </c>
      <c r="AS760" t="s">
        <v>6298</v>
      </c>
      <c r="AT760">
        <v>6000</v>
      </c>
      <c r="AX760" t="s">
        <v>6441</v>
      </c>
      <c r="BA760" t="s">
        <v>6526</v>
      </c>
      <c r="BD760" t="s">
        <v>238</v>
      </c>
      <c r="BE760" t="s">
        <v>6702</v>
      </c>
    </row>
    <row r="761" spans="1:57">
      <c r="A761" s="1">
        <f>HYPERLINK("https://lsnyc.legalserver.org/matter/dynamic-profile/view/1866746","18-1866746")</f>
        <v>0</v>
      </c>
      <c r="B761" t="s">
        <v>60</v>
      </c>
      <c r="C761" t="s">
        <v>191</v>
      </c>
      <c r="D761" t="s">
        <v>214</v>
      </c>
      <c r="E761" t="s">
        <v>399</v>
      </c>
      <c r="G761" t="s">
        <v>614</v>
      </c>
      <c r="H761" t="s">
        <v>1402</v>
      </c>
      <c r="J761" t="s">
        <v>2760</v>
      </c>
      <c r="K761" t="s">
        <v>3166</v>
      </c>
      <c r="L761" t="s">
        <v>3338</v>
      </c>
      <c r="M761" t="s">
        <v>3379</v>
      </c>
      <c r="N761">
        <v>11385</v>
      </c>
      <c r="O761" t="s">
        <v>3381</v>
      </c>
      <c r="P761" t="s">
        <v>3381</v>
      </c>
      <c r="R761" t="s">
        <v>3991</v>
      </c>
      <c r="S761">
        <v>0</v>
      </c>
      <c r="U761" t="s">
        <v>4225</v>
      </c>
      <c r="W761" t="s">
        <v>4245</v>
      </c>
      <c r="X761" t="s">
        <v>3382</v>
      </c>
      <c r="AA761" t="s">
        <v>4256</v>
      </c>
      <c r="AC761">
        <v>0</v>
      </c>
      <c r="AD761">
        <v>0</v>
      </c>
      <c r="AE761">
        <v>2.5</v>
      </c>
      <c r="AG761" t="s">
        <v>5007</v>
      </c>
      <c r="AH761" t="s">
        <v>5312</v>
      </c>
      <c r="AI761" t="s">
        <v>6038</v>
      </c>
      <c r="AJ761">
        <v>6</v>
      </c>
      <c r="AK761" t="s">
        <v>6267</v>
      </c>
      <c r="AL761">
        <v>1</v>
      </c>
      <c r="AM761">
        <v>0</v>
      </c>
      <c r="AN761">
        <v>74.14</v>
      </c>
      <c r="AQ761" t="s">
        <v>6287</v>
      </c>
      <c r="AR761" t="s">
        <v>6293</v>
      </c>
      <c r="AS761" t="s">
        <v>6298</v>
      </c>
      <c r="AT761">
        <v>9000</v>
      </c>
      <c r="AU761" t="s">
        <v>5312</v>
      </c>
      <c r="AX761" t="s">
        <v>196</v>
      </c>
      <c r="BA761" t="s">
        <v>6475</v>
      </c>
      <c r="BD761" t="s">
        <v>6669</v>
      </c>
    </row>
    <row r="762" spans="1:57">
      <c r="A762" s="1">
        <f>HYPERLINK("https://lsnyc.legalserver.org/matter/dynamic-profile/view/1876279","18-1876279")</f>
        <v>0</v>
      </c>
      <c r="B762" t="s">
        <v>60</v>
      </c>
      <c r="C762" t="s">
        <v>191</v>
      </c>
      <c r="D762" t="s">
        <v>214</v>
      </c>
      <c r="E762" t="s">
        <v>446</v>
      </c>
      <c r="G762" t="s">
        <v>920</v>
      </c>
      <c r="H762" t="s">
        <v>1881</v>
      </c>
      <c r="J762" t="s">
        <v>2761</v>
      </c>
      <c r="K762" t="s">
        <v>3259</v>
      </c>
      <c r="L762" t="s">
        <v>3342</v>
      </c>
      <c r="M762" t="s">
        <v>3379</v>
      </c>
      <c r="N762">
        <v>11369</v>
      </c>
      <c r="O762" t="s">
        <v>3380</v>
      </c>
      <c r="P762" t="s">
        <v>3381</v>
      </c>
      <c r="Q762" t="s">
        <v>3383</v>
      </c>
      <c r="R762" t="s">
        <v>3992</v>
      </c>
      <c r="S762">
        <v>45</v>
      </c>
      <c r="T762" t="s">
        <v>4197</v>
      </c>
      <c r="U762" t="s">
        <v>4223</v>
      </c>
      <c r="W762" t="s">
        <v>4245</v>
      </c>
      <c r="X762" t="s">
        <v>3382</v>
      </c>
      <c r="Y762" t="s">
        <v>3382</v>
      </c>
      <c r="AA762" t="s">
        <v>4256</v>
      </c>
      <c r="AB762" t="s">
        <v>4261</v>
      </c>
      <c r="AC762">
        <v>682</v>
      </c>
      <c r="AD762">
        <v>682</v>
      </c>
      <c r="AE762">
        <v>15.5</v>
      </c>
      <c r="AG762" t="s">
        <v>5008</v>
      </c>
      <c r="AH762" t="s">
        <v>5339</v>
      </c>
      <c r="AI762" t="s">
        <v>6039</v>
      </c>
      <c r="AJ762">
        <v>2</v>
      </c>
      <c r="AK762" t="s">
        <v>6267</v>
      </c>
      <c r="AL762">
        <v>1</v>
      </c>
      <c r="AM762">
        <v>0</v>
      </c>
      <c r="AN762">
        <v>71.18000000000001</v>
      </c>
      <c r="AQ762" t="s">
        <v>6287</v>
      </c>
      <c r="AR762" t="s">
        <v>5312</v>
      </c>
      <c r="AS762" t="s">
        <v>6298</v>
      </c>
      <c r="AT762">
        <v>8641.52</v>
      </c>
      <c r="AV762" t="s">
        <v>3380</v>
      </c>
      <c r="AX762" t="s">
        <v>184</v>
      </c>
      <c r="BA762" t="s">
        <v>6581</v>
      </c>
      <c r="BD762" t="s">
        <v>291</v>
      </c>
    </row>
    <row r="763" spans="1:57">
      <c r="A763" s="1">
        <f>HYPERLINK("https://lsnyc.legalserver.org/matter/dynamic-profile/view/1901603","19-1901603")</f>
        <v>0</v>
      </c>
      <c r="B763" t="s">
        <v>60</v>
      </c>
      <c r="C763" t="s">
        <v>191</v>
      </c>
      <c r="D763" t="s">
        <v>214</v>
      </c>
      <c r="E763" t="s">
        <v>325</v>
      </c>
      <c r="G763" t="s">
        <v>1034</v>
      </c>
      <c r="H763" t="s">
        <v>1882</v>
      </c>
      <c r="J763" t="s">
        <v>2762</v>
      </c>
      <c r="K763" t="s">
        <v>3276</v>
      </c>
      <c r="L763" t="s">
        <v>3355</v>
      </c>
      <c r="M763" t="s">
        <v>3379</v>
      </c>
      <c r="N763">
        <v>11367</v>
      </c>
      <c r="O763" t="s">
        <v>3380</v>
      </c>
      <c r="P763" t="s">
        <v>3381</v>
      </c>
      <c r="Q763" t="s">
        <v>3383</v>
      </c>
      <c r="R763" t="s">
        <v>3993</v>
      </c>
      <c r="S763">
        <v>4</v>
      </c>
      <c r="T763" t="s">
        <v>4196</v>
      </c>
      <c r="U763" t="s">
        <v>4225</v>
      </c>
      <c r="W763" t="s">
        <v>4245</v>
      </c>
      <c r="X763" t="s">
        <v>3382</v>
      </c>
      <c r="Y763" t="s">
        <v>3380</v>
      </c>
      <c r="AA763" t="s">
        <v>4258</v>
      </c>
      <c r="AB763" t="s">
        <v>4261</v>
      </c>
      <c r="AC763">
        <v>0</v>
      </c>
      <c r="AD763">
        <v>293</v>
      </c>
      <c r="AE763">
        <v>0.93</v>
      </c>
      <c r="AG763" t="s">
        <v>5009</v>
      </c>
      <c r="AH763" t="s">
        <v>5340</v>
      </c>
      <c r="AI763" t="s">
        <v>6040</v>
      </c>
      <c r="AJ763">
        <v>28</v>
      </c>
      <c r="AK763" t="s">
        <v>6270</v>
      </c>
      <c r="AL763">
        <v>1</v>
      </c>
      <c r="AM763">
        <v>1</v>
      </c>
      <c r="AN763">
        <v>10.16</v>
      </c>
      <c r="AR763" t="s">
        <v>5312</v>
      </c>
      <c r="AT763">
        <v>1718.4</v>
      </c>
      <c r="AX763" t="s">
        <v>6441</v>
      </c>
      <c r="BA763" t="s">
        <v>6526</v>
      </c>
      <c r="BD763" t="s">
        <v>6670</v>
      </c>
      <c r="BE763" t="s">
        <v>6702</v>
      </c>
    </row>
    <row r="764" spans="1:57">
      <c r="A764" s="1">
        <f>HYPERLINK("https://lsnyc.legalserver.org/matter/dynamic-profile/view/1906927","19-1906927")</f>
        <v>0</v>
      </c>
      <c r="B764" t="s">
        <v>60</v>
      </c>
      <c r="C764" t="s">
        <v>192</v>
      </c>
      <c r="D764" t="s">
        <v>214</v>
      </c>
      <c r="E764" t="s">
        <v>498</v>
      </c>
      <c r="G764" t="s">
        <v>1179</v>
      </c>
      <c r="H764" t="s">
        <v>1883</v>
      </c>
      <c r="J764" t="s">
        <v>2763</v>
      </c>
      <c r="K764" t="s">
        <v>3000</v>
      </c>
      <c r="L764" t="s">
        <v>3346</v>
      </c>
      <c r="M764" t="s">
        <v>3379</v>
      </c>
      <c r="N764">
        <v>11106</v>
      </c>
      <c r="O764" t="s">
        <v>3380</v>
      </c>
      <c r="P764" t="s">
        <v>3381</v>
      </c>
      <c r="Q764" t="s">
        <v>3383</v>
      </c>
      <c r="R764" t="s">
        <v>3994</v>
      </c>
      <c r="S764">
        <v>3</v>
      </c>
      <c r="U764" t="s">
        <v>4224</v>
      </c>
      <c r="W764" t="s">
        <v>4245</v>
      </c>
      <c r="X764" t="s">
        <v>3382</v>
      </c>
      <c r="Y764" t="s">
        <v>3382</v>
      </c>
      <c r="AA764" t="s">
        <v>4258</v>
      </c>
      <c r="AC764">
        <v>0</v>
      </c>
      <c r="AD764">
        <v>289</v>
      </c>
      <c r="AE764">
        <v>0.4</v>
      </c>
      <c r="AG764" t="s">
        <v>5010</v>
      </c>
      <c r="AI764" t="s">
        <v>6041</v>
      </c>
      <c r="AJ764">
        <v>30</v>
      </c>
      <c r="AK764" t="s">
        <v>6270</v>
      </c>
      <c r="AL764">
        <v>1</v>
      </c>
      <c r="AM764">
        <v>3</v>
      </c>
      <c r="AN764">
        <v>9.24</v>
      </c>
      <c r="AR764" t="s">
        <v>5312</v>
      </c>
      <c r="AS764" t="s">
        <v>6298</v>
      </c>
      <c r="AT764">
        <v>2379</v>
      </c>
      <c r="AX764" t="s">
        <v>184</v>
      </c>
      <c r="BA764" t="s">
        <v>6564</v>
      </c>
      <c r="BD764" t="s">
        <v>223</v>
      </c>
      <c r="BE764" t="s">
        <v>6702</v>
      </c>
    </row>
    <row r="765" spans="1:57">
      <c r="A765" s="1">
        <f>HYPERLINK("https://lsnyc.legalserver.org/matter/dynamic-profile/view/1887665","19-1887665")</f>
        <v>0</v>
      </c>
      <c r="B765" t="s">
        <v>60</v>
      </c>
      <c r="C765" t="s">
        <v>192</v>
      </c>
      <c r="D765" t="s">
        <v>215</v>
      </c>
      <c r="E765" t="s">
        <v>505</v>
      </c>
      <c r="F765" t="s">
        <v>234</v>
      </c>
      <c r="G765" t="s">
        <v>1180</v>
      </c>
      <c r="H765" t="s">
        <v>1599</v>
      </c>
      <c r="J765" t="s">
        <v>2764</v>
      </c>
      <c r="K765">
        <v>2</v>
      </c>
      <c r="L765" t="s">
        <v>3346</v>
      </c>
      <c r="M765" t="s">
        <v>3379</v>
      </c>
      <c r="N765">
        <v>11103</v>
      </c>
      <c r="O765" t="s">
        <v>3380</v>
      </c>
      <c r="P765" t="s">
        <v>3381</v>
      </c>
      <c r="Q765" t="s">
        <v>3383</v>
      </c>
      <c r="R765" t="s">
        <v>3995</v>
      </c>
      <c r="S765">
        <v>7</v>
      </c>
      <c r="T765" t="s">
        <v>4196</v>
      </c>
      <c r="U765" t="s">
        <v>4223</v>
      </c>
      <c r="V765" t="s">
        <v>4231</v>
      </c>
      <c r="W765" t="s">
        <v>4245</v>
      </c>
      <c r="X765" t="s">
        <v>3382</v>
      </c>
      <c r="Y765" t="s">
        <v>3382</v>
      </c>
      <c r="AA765" t="s">
        <v>4256</v>
      </c>
      <c r="AB765" t="s">
        <v>4261</v>
      </c>
      <c r="AC765">
        <v>0</v>
      </c>
      <c r="AD765">
        <v>1265</v>
      </c>
      <c r="AE765">
        <v>38.25</v>
      </c>
      <c r="AF765" t="s">
        <v>4269</v>
      </c>
      <c r="AG765" t="s">
        <v>5011</v>
      </c>
      <c r="AH765" t="s">
        <v>5312</v>
      </c>
      <c r="AI765" t="s">
        <v>6042</v>
      </c>
      <c r="AJ765">
        <v>12</v>
      </c>
      <c r="AK765" t="s">
        <v>6267</v>
      </c>
      <c r="AL765">
        <v>1</v>
      </c>
      <c r="AM765">
        <v>0</v>
      </c>
      <c r="AN765">
        <v>0</v>
      </c>
      <c r="AQ765" t="s">
        <v>6287</v>
      </c>
      <c r="AR765" t="s">
        <v>5312</v>
      </c>
      <c r="AS765" t="s">
        <v>6298</v>
      </c>
      <c r="AT765">
        <v>0</v>
      </c>
      <c r="AX765" t="s">
        <v>196</v>
      </c>
      <c r="AY765" t="s">
        <v>6462</v>
      </c>
      <c r="AZ765" t="s">
        <v>6464</v>
      </c>
      <c r="BA765" t="s">
        <v>6479</v>
      </c>
      <c r="BB765" t="s">
        <v>6602</v>
      </c>
      <c r="BC765" t="s">
        <v>6625</v>
      </c>
      <c r="BD765" t="s">
        <v>258</v>
      </c>
      <c r="BE765" t="s">
        <v>6702</v>
      </c>
    </row>
    <row r="766" spans="1:57">
      <c r="A766" s="1">
        <f>HYPERLINK("https://lsnyc.legalserver.org/matter/dynamic-profile/view/1847262","17-1847262")</f>
        <v>0</v>
      </c>
      <c r="B766" t="s">
        <v>60</v>
      </c>
      <c r="C766" t="s">
        <v>193</v>
      </c>
      <c r="D766" t="s">
        <v>215</v>
      </c>
      <c r="E766" t="s">
        <v>392</v>
      </c>
      <c r="F766" t="s">
        <v>223</v>
      </c>
      <c r="G766" t="s">
        <v>632</v>
      </c>
      <c r="H766" t="s">
        <v>1884</v>
      </c>
      <c r="J766" t="s">
        <v>2765</v>
      </c>
      <c r="K766" t="s">
        <v>2998</v>
      </c>
      <c r="L766" t="s">
        <v>3333</v>
      </c>
      <c r="M766" t="s">
        <v>3379</v>
      </c>
      <c r="N766">
        <v>11432</v>
      </c>
      <c r="O766" t="s">
        <v>3382</v>
      </c>
      <c r="P766" t="s">
        <v>3381</v>
      </c>
      <c r="Q766" t="s">
        <v>3383</v>
      </c>
      <c r="R766" t="s">
        <v>3996</v>
      </c>
      <c r="S766">
        <v>37</v>
      </c>
      <c r="T766" t="s">
        <v>4196</v>
      </c>
      <c r="U766" t="s">
        <v>4223</v>
      </c>
      <c r="V766" t="s">
        <v>4231</v>
      </c>
      <c r="W766" t="s">
        <v>4245</v>
      </c>
      <c r="X766" t="s">
        <v>3382</v>
      </c>
      <c r="Y766" t="s">
        <v>3382</v>
      </c>
      <c r="AA766" t="s">
        <v>4256</v>
      </c>
      <c r="AB766" t="s">
        <v>4265</v>
      </c>
      <c r="AC766">
        <v>747.05</v>
      </c>
      <c r="AD766">
        <v>747.05</v>
      </c>
      <c r="AE766">
        <v>26.7</v>
      </c>
      <c r="AF766" t="s">
        <v>4269</v>
      </c>
      <c r="AG766" t="s">
        <v>5012</v>
      </c>
      <c r="AH766" t="s">
        <v>5341</v>
      </c>
      <c r="AI766" t="s">
        <v>6043</v>
      </c>
      <c r="AJ766">
        <v>57</v>
      </c>
      <c r="AK766" t="s">
        <v>6267</v>
      </c>
      <c r="AL766">
        <v>1</v>
      </c>
      <c r="AM766">
        <v>0</v>
      </c>
      <c r="AN766">
        <v>89.55</v>
      </c>
      <c r="AR766" t="s">
        <v>6293</v>
      </c>
      <c r="AS766" t="s">
        <v>6298</v>
      </c>
      <c r="AT766">
        <v>10800</v>
      </c>
      <c r="AX766" t="s">
        <v>193</v>
      </c>
      <c r="BA766" t="s">
        <v>6539</v>
      </c>
      <c r="BB766" t="s">
        <v>6602</v>
      </c>
      <c r="BC766" t="s">
        <v>6626</v>
      </c>
      <c r="BD766" t="s">
        <v>6671</v>
      </c>
      <c r="BE766" t="s">
        <v>6702</v>
      </c>
    </row>
    <row r="767" spans="1:57">
      <c r="A767" s="1">
        <f>HYPERLINK("https://lsnyc.legalserver.org/matter/dynamic-profile/view/1839139","17-1839139")</f>
        <v>0</v>
      </c>
      <c r="B767" t="s">
        <v>60</v>
      </c>
      <c r="C767" t="s">
        <v>193</v>
      </c>
      <c r="D767" t="s">
        <v>214</v>
      </c>
      <c r="E767" t="s">
        <v>506</v>
      </c>
      <c r="G767" t="s">
        <v>1181</v>
      </c>
      <c r="H767" t="s">
        <v>1885</v>
      </c>
      <c r="J767" t="s">
        <v>2766</v>
      </c>
      <c r="K767" t="s">
        <v>3101</v>
      </c>
      <c r="L767" t="s">
        <v>3365</v>
      </c>
      <c r="M767" t="s">
        <v>3379</v>
      </c>
      <c r="N767">
        <v>11429</v>
      </c>
      <c r="O767" t="s">
        <v>3380</v>
      </c>
      <c r="P767" t="s">
        <v>3381</v>
      </c>
      <c r="Q767" t="s">
        <v>3387</v>
      </c>
      <c r="R767" t="s">
        <v>3997</v>
      </c>
      <c r="S767">
        <v>1</v>
      </c>
      <c r="T767" t="s">
        <v>4197</v>
      </c>
      <c r="U767" t="s">
        <v>4223</v>
      </c>
      <c r="W767" t="s">
        <v>4245</v>
      </c>
      <c r="X767" t="s">
        <v>3382</v>
      </c>
      <c r="Y767" t="s">
        <v>3382</v>
      </c>
      <c r="AA767" t="s">
        <v>4256</v>
      </c>
      <c r="AC767">
        <v>225.5</v>
      </c>
      <c r="AD767">
        <v>1515</v>
      </c>
      <c r="AE767">
        <v>8.9</v>
      </c>
      <c r="AG767" t="s">
        <v>5013</v>
      </c>
      <c r="AI767" t="s">
        <v>6044</v>
      </c>
      <c r="AJ767">
        <v>2</v>
      </c>
      <c r="AK767" t="s">
        <v>6274</v>
      </c>
      <c r="AL767">
        <v>1</v>
      </c>
      <c r="AM767">
        <v>2</v>
      </c>
      <c r="AN767">
        <v>62.83</v>
      </c>
      <c r="AR767" t="s">
        <v>6291</v>
      </c>
      <c r="AS767" t="s">
        <v>6298</v>
      </c>
      <c r="AT767">
        <v>12830</v>
      </c>
      <c r="AX767" t="s">
        <v>193</v>
      </c>
      <c r="BA767" t="s">
        <v>6522</v>
      </c>
      <c r="BD767" t="s">
        <v>295</v>
      </c>
    </row>
    <row r="768" spans="1:57">
      <c r="A768" s="1">
        <f>HYPERLINK("https://lsnyc.legalserver.org/matter/dynamic-profile/view/1846050","17-1846050")</f>
        <v>0</v>
      </c>
      <c r="B768" t="s">
        <v>60</v>
      </c>
      <c r="C768" t="s">
        <v>193</v>
      </c>
      <c r="D768" t="s">
        <v>215</v>
      </c>
      <c r="E768" t="s">
        <v>507</v>
      </c>
      <c r="F768" t="s">
        <v>223</v>
      </c>
      <c r="G768" t="s">
        <v>1182</v>
      </c>
      <c r="H768" t="s">
        <v>1886</v>
      </c>
      <c r="J768" t="s">
        <v>2767</v>
      </c>
      <c r="K768" t="s">
        <v>3277</v>
      </c>
      <c r="L768" t="s">
        <v>3365</v>
      </c>
      <c r="M768" t="s">
        <v>3379</v>
      </c>
      <c r="N768">
        <v>11429</v>
      </c>
      <c r="O768" t="s">
        <v>3380</v>
      </c>
      <c r="P768" t="s">
        <v>3381</v>
      </c>
      <c r="Q768" t="s">
        <v>3383</v>
      </c>
      <c r="R768" t="s">
        <v>3998</v>
      </c>
      <c r="S768">
        <v>2</v>
      </c>
      <c r="T768" t="s">
        <v>4197</v>
      </c>
      <c r="U768" t="s">
        <v>4223</v>
      </c>
      <c r="V768" t="s">
        <v>4231</v>
      </c>
      <c r="W768" t="s">
        <v>4245</v>
      </c>
      <c r="X768" t="s">
        <v>3382</v>
      </c>
      <c r="Y768" t="s">
        <v>3380</v>
      </c>
      <c r="AA768" t="s">
        <v>4256</v>
      </c>
      <c r="AC768">
        <v>500</v>
      </c>
      <c r="AD768">
        <v>500</v>
      </c>
      <c r="AE768">
        <v>20.2</v>
      </c>
      <c r="AF768" t="s">
        <v>4269</v>
      </c>
      <c r="AG768" t="s">
        <v>5014</v>
      </c>
      <c r="AI768" t="s">
        <v>6045</v>
      </c>
      <c r="AJ768">
        <v>1</v>
      </c>
      <c r="AK768" t="s">
        <v>6274</v>
      </c>
      <c r="AL768">
        <v>1</v>
      </c>
      <c r="AM768">
        <v>0</v>
      </c>
      <c r="AN768">
        <v>0</v>
      </c>
      <c r="AQ768" t="s">
        <v>6288</v>
      </c>
      <c r="AR768" t="s">
        <v>5312</v>
      </c>
      <c r="AS768" t="s">
        <v>6298</v>
      </c>
      <c r="AT768">
        <v>0</v>
      </c>
      <c r="AX768" t="s">
        <v>196</v>
      </c>
      <c r="AY768" t="s">
        <v>6462</v>
      </c>
      <c r="AZ768" t="s">
        <v>6466</v>
      </c>
      <c r="BA768" t="s">
        <v>6479</v>
      </c>
      <c r="BB768" t="s">
        <v>6602</v>
      </c>
      <c r="BC768" t="s">
        <v>6627</v>
      </c>
      <c r="BD768" t="s">
        <v>525</v>
      </c>
    </row>
    <row r="769" spans="1:57">
      <c r="A769" s="1">
        <f>HYPERLINK("https://lsnyc.legalserver.org/matter/dynamic-profile/view/1895410","19-1895410")</f>
        <v>0</v>
      </c>
      <c r="B769" t="s">
        <v>60</v>
      </c>
      <c r="C769" t="s">
        <v>193</v>
      </c>
      <c r="D769" t="s">
        <v>214</v>
      </c>
      <c r="E769" t="s">
        <v>508</v>
      </c>
      <c r="G769" t="s">
        <v>1183</v>
      </c>
      <c r="H769" t="s">
        <v>1887</v>
      </c>
      <c r="J769" t="s">
        <v>2768</v>
      </c>
      <c r="K769" t="s">
        <v>3016</v>
      </c>
      <c r="L769" t="s">
        <v>3365</v>
      </c>
      <c r="M769" t="s">
        <v>3379</v>
      </c>
      <c r="N769">
        <v>11428</v>
      </c>
      <c r="O769" t="s">
        <v>3381</v>
      </c>
      <c r="P769" t="s">
        <v>3381</v>
      </c>
      <c r="Q769" t="s">
        <v>3383</v>
      </c>
      <c r="R769" t="s">
        <v>3999</v>
      </c>
      <c r="S769">
        <v>10</v>
      </c>
      <c r="T769" t="s">
        <v>4196</v>
      </c>
      <c r="U769" t="s">
        <v>4225</v>
      </c>
      <c r="W769" t="s">
        <v>4245</v>
      </c>
      <c r="X769" t="s">
        <v>3382</v>
      </c>
      <c r="Y769" t="s">
        <v>3382</v>
      </c>
      <c r="AA769" t="s">
        <v>4256</v>
      </c>
      <c r="AB769" t="s">
        <v>4261</v>
      </c>
      <c r="AC769">
        <v>0</v>
      </c>
      <c r="AD769">
        <v>851.4</v>
      </c>
      <c r="AE769">
        <v>1.1</v>
      </c>
      <c r="AG769" t="s">
        <v>5015</v>
      </c>
      <c r="AI769" t="s">
        <v>6046</v>
      </c>
      <c r="AJ769">
        <v>54</v>
      </c>
      <c r="AK769" t="s">
        <v>6275</v>
      </c>
      <c r="AL769">
        <v>1</v>
      </c>
      <c r="AM769">
        <v>0</v>
      </c>
      <c r="AN769">
        <v>167.85</v>
      </c>
      <c r="AS769" t="s">
        <v>6313</v>
      </c>
      <c r="AT769">
        <v>20964</v>
      </c>
      <c r="AX769" t="s">
        <v>193</v>
      </c>
      <c r="BA769" t="s">
        <v>6487</v>
      </c>
      <c r="BD769" t="s">
        <v>6654</v>
      </c>
    </row>
    <row r="770" spans="1:57">
      <c r="A770" s="1">
        <f>HYPERLINK("https://lsnyc.legalserver.org/matter/dynamic-profile/view/1865524","18-1865524")</f>
        <v>0</v>
      </c>
      <c r="B770" t="s">
        <v>60</v>
      </c>
      <c r="C770" t="s">
        <v>193</v>
      </c>
      <c r="D770" t="s">
        <v>215</v>
      </c>
      <c r="E770" t="s">
        <v>509</v>
      </c>
      <c r="F770" t="s">
        <v>294</v>
      </c>
      <c r="G770" t="s">
        <v>769</v>
      </c>
      <c r="H770" t="s">
        <v>1611</v>
      </c>
      <c r="J770" t="s">
        <v>2769</v>
      </c>
      <c r="K770" t="s">
        <v>3101</v>
      </c>
      <c r="L770" t="s">
        <v>3338</v>
      </c>
      <c r="M770" t="s">
        <v>3379</v>
      </c>
      <c r="N770">
        <v>11385</v>
      </c>
      <c r="O770" t="s">
        <v>3380</v>
      </c>
      <c r="P770" t="s">
        <v>3381</v>
      </c>
      <c r="Q770" t="s">
        <v>3387</v>
      </c>
      <c r="R770" t="s">
        <v>4000</v>
      </c>
      <c r="S770">
        <v>37</v>
      </c>
      <c r="T770" t="s">
        <v>4197</v>
      </c>
      <c r="U770" t="s">
        <v>4223</v>
      </c>
      <c r="V770" t="s">
        <v>4231</v>
      </c>
      <c r="W770" t="s">
        <v>4246</v>
      </c>
      <c r="X770" t="s">
        <v>3382</v>
      </c>
      <c r="Y770" t="s">
        <v>3382</v>
      </c>
      <c r="AA770" t="s">
        <v>4256</v>
      </c>
      <c r="AC770">
        <v>863.45</v>
      </c>
      <c r="AD770">
        <v>863.45</v>
      </c>
      <c r="AE770">
        <v>23.1</v>
      </c>
      <c r="AF770" t="s">
        <v>4269</v>
      </c>
      <c r="AG770" t="s">
        <v>5016</v>
      </c>
      <c r="AH770" t="s">
        <v>5342</v>
      </c>
      <c r="AI770" t="s">
        <v>6047</v>
      </c>
      <c r="AJ770">
        <v>8</v>
      </c>
      <c r="AK770" t="s">
        <v>6267</v>
      </c>
      <c r="AL770">
        <v>3</v>
      </c>
      <c r="AM770">
        <v>1</v>
      </c>
      <c r="AN770">
        <v>94.70999999999999</v>
      </c>
      <c r="AQ770" t="s">
        <v>6286</v>
      </c>
      <c r="AR770" t="s">
        <v>5312</v>
      </c>
      <c r="AS770" t="s">
        <v>6298</v>
      </c>
      <c r="AT770">
        <v>23772</v>
      </c>
      <c r="AU770" t="s">
        <v>6318</v>
      </c>
      <c r="AV770" t="s">
        <v>3380</v>
      </c>
      <c r="AX770" t="s">
        <v>6442</v>
      </c>
      <c r="AY770" t="s">
        <v>6462</v>
      </c>
      <c r="AZ770" t="s">
        <v>6466</v>
      </c>
      <c r="BA770" t="s">
        <v>6511</v>
      </c>
      <c r="BB770" t="s">
        <v>6602</v>
      </c>
      <c r="BC770" t="s">
        <v>6628</v>
      </c>
      <c r="BD770" t="s">
        <v>366</v>
      </c>
    </row>
    <row r="771" spans="1:57">
      <c r="A771" s="1">
        <f>HYPERLINK("https://lsnyc.legalserver.org/matter/dynamic-profile/view/1895397","19-1895397")</f>
        <v>0</v>
      </c>
      <c r="B771" t="s">
        <v>60</v>
      </c>
      <c r="C771" t="s">
        <v>193</v>
      </c>
      <c r="D771" t="s">
        <v>215</v>
      </c>
      <c r="E771" t="s">
        <v>508</v>
      </c>
      <c r="F771" t="s">
        <v>223</v>
      </c>
      <c r="G771" t="s">
        <v>1184</v>
      </c>
      <c r="H771" t="s">
        <v>1408</v>
      </c>
      <c r="J771" t="s">
        <v>2770</v>
      </c>
      <c r="L771" t="s">
        <v>3353</v>
      </c>
      <c r="M771" t="s">
        <v>3379</v>
      </c>
      <c r="N771">
        <v>11365</v>
      </c>
      <c r="O771" t="s">
        <v>3380</v>
      </c>
      <c r="P771" t="s">
        <v>3381</v>
      </c>
      <c r="Q771" t="s">
        <v>3383</v>
      </c>
      <c r="R771" t="s">
        <v>4001</v>
      </c>
      <c r="S771">
        <v>9</v>
      </c>
      <c r="T771" t="s">
        <v>4197</v>
      </c>
      <c r="U771" t="s">
        <v>4225</v>
      </c>
      <c r="V771" t="s">
        <v>4230</v>
      </c>
      <c r="W771" t="s">
        <v>4245</v>
      </c>
      <c r="X771" t="s">
        <v>3382</v>
      </c>
      <c r="Y771" t="s">
        <v>3382</v>
      </c>
      <c r="AA771" t="s">
        <v>4256</v>
      </c>
      <c r="AB771" t="s">
        <v>4261</v>
      </c>
      <c r="AC771">
        <v>0</v>
      </c>
      <c r="AD771">
        <v>1377</v>
      </c>
      <c r="AE771">
        <v>1.3</v>
      </c>
      <c r="AF771" t="s">
        <v>4268</v>
      </c>
      <c r="AG771" t="s">
        <v>5017</v>
      </c>
      <c r="AI771" t="s">
        <v>6048</v>
      </c>
      <c r="AJ771">
        <v>200</v>
      </c>
      <c r="AK771" t="s">
        <v>6267</v>
      </c>
      <c r="AL771">
        <v>3</v>
      </c>
      <c r="AM771">
        <v>0</v>
      </c>
      <c r="AN771">
        <v>144.42</v>
      </c>
      <c r="AR771" t="s">
        <v>5312</v>
      </c>
      <c r="AS771" t="s">
        <v>6298</v>
      </c>
      <c r="AT771">
        <v>30805</v>
      </c>
      <c r="AX771" t="s">
        <v>193</v>
      </c>
      <c r="BA771" t="s">
        <v>6477</v>
      </c>
      <c r="BD771" t="s">
        <v>437</v>
      </c>
      <c r="BE771" t="s">
        <v>6702</v>
      </c>
    </row>
    <row r="772" spans="1:57">
      <c r="A772" s="1">
        <f>HYPERLINK("https://lsnyc.legalserver.org/matter/dynamic-profile/view/1912862","19-1912862")</f>
        <v>0</v>
      </c>
      <c r="B772" t="s">
        <v>60</v>
      </c>
      <c r="C772" t="s">
        <v>194</v>
      </c>
      <c r="D772" t="s">
        <v>214</v>
      </c>
      <c r="E772" t="s">
        <v>272</v>
      </c>
      <c r="G772" t="s">
        <v>1185</v>
      </c>
      <c r="H772" t="s">
        <v>1888</v>
      </c>
      <c r="J772" t="s">
        <v>2771</v>
      </c>
      <c r="K772" t="s">
        <v>3047</v>
      </c>
      <c r="L772" t="s">
        <v>3333</v>
      </c>
      <c r="M772" t="s">
        <v>3379</v>
      </c>
      <c r="N772">
        <v>11435</v>
      </c>
      <c r="O772" t="s">
        <v>3380</v>
      </c>
      <c r="P772" t="s">
        <v>3381</v>
      </c>
      <c r="Q772" t="s">
        <v>3383</v>
      </c>
      <c r="R772" t="s">
        <v>4002</v>
      </c>
      <c r="S772">
        <v>1</v>
      </c>
      <c r="T772" t="s">
        <v>4197</v>
      </c>
      <c r="U772" t="s">
        <v>4224</v>
      </c>
      <c r="W772" t="s">
        <v>4245</v>
      </c>
      <c r="X772" t="s">
        <v>3382</v>
      </c>
      <c r="Y772" t="s">
        <v>3382</v>
      </c>
      <c r="AA772" t="s">
        <v>4256</v>
      </c>
      <c r="AB772" t="s">
        <v>4261</v>
      </c>
      <c r="AC772">
        <v>0</v>
      </c>
      <c r="AD772">
        <v>2200</v>
      </c>
      <c r="AE772">
        <v>1.33</v>
      </c>
      <c r="AG772" t="s">
        <v>5018</v>
      </c>
      <c r="AI772" t="s">
        <v>6049</v>
      </c>
      <c r="AJ772">
        <v>2</v>
      </c>
      <c r="AK772" t="s">
        <v>6274</v>
      </c>
      <c r="AL772">
        <v>1</v>
      </c>
      <c r="AM772">
        <v>2</v>
      </c>
      <c r="AN772">
        <v>117.71</v>
      </c>
      <c r="AR772" t="s">
        <v>5312</v>
      </c>
      <c r="AS772" t="s">
        <v>6298</v>
      </c>
      <c r="AT772">
        <v>25106.64</v>
      </c>
      <c r="AX772" t="s">
        <v>6441</v>
      </c>
      <c r="BA772" t="s">
        <v>6473</v>
      </c>
      <c r="BD772" t="s">
        <v>272</v>
      </c>
      <c r="BE772" t="s">
        <v>6702</v>
      </c>
    </row>
    <row r="773" spans="1:57">
      <c r="A773" s="1">
        <f>HYPERLINK("https://lsnyc.legalserver.org/matter/dynamic-profile/view/1837958","17-1837958")</f>
        <v>0</v>
      </c>
      <c r="B773" t="s">
        <v>60</v>
      </c>
      <c r="C773" t="s">
        <v>194</v>
      </c>
      <c r="D773" t="s">
        <v>214</v>
      </c>
      <c r="E773" t="s">
        <v>510</v>
      </c>
      <c r="G773" t="s">
        <v>1186</v>
      </c>
      <c r="H773" t="s">
        <v>1889</v>
      </c>
      <c r="J773" t="s">
        <v>2772</v>
      </c>
      <c r="K773" t="s">
        <v>3022</v>
      </c>
      <c r="L773" t="s">
        <v>3333</v>
      </c>
      <c r="M773" t="s">
        <v>3379</v>
      </c>
      <c r="N773">
        <v>11435</v>
      </c>
      <c r="O773" t="s">
        <v>3380</v>
      </c>
      <c r="P773" t="s">
        <v>3381</v>
      </c>
      <c r="Q773" t="s">
        <v>3399</v>
      </c>
      <c r="R773" t="s">
        <v>4003</v>
      </c>
      <c r="S773">
        <v>2</v>
      </c>
      <c r="T773" t="s">
        <v>4196</v>
      </c>
      <c r="U773" t="s">
        <v>4223</v>
      </c>
      <c r="W773" t="s">
        <v>4245</v>
      </c>
      <c r="X773" t="s">
        <v>3382</v>
      </c>
      <c r="Y773" t="s">
        <v>3380</v>
      </c>
      <c r="AA773" t="s">
        <v>4256</v>
      </c>
      <c r="AB773" t="s">
        <v>4261</v>
      </c>
      <c r="AC773">
        <v>1810</v>
      </c>
      <c r="AD773">
        <v>1810</v>
      </c>
      <c r="AE773">
        <v>21.1</v>
      </c>
      <c r="AG773" t="s">
        <v>5019</v>
      </c>
      <c r="AI773" t="s">
        <v>6050</v>
      </c>
      <c r="AJ773">
        <v>0</v>
      </c>
      <c r="AK773" t="s">
        <v>6267</v>
      </c>
      <c r="AL773">
        <v>4</v>
      </c>
      <c r="AM773">
        <v>4</v>
      </c>
      <c r="AN773">
        <v>52.03</v>
      </c>
      <c r="AT773">
        <v>21500</v>
      </c>
      <c r="AX773" t="s">
        <v>196</v>
      </c>
      <c r="AY773" t="s">
        <v>6462</v>
      </c>
      <c r="AZ773" t="s">
        <v>6466</v>
      </c>
      <c r="BA773" t="s">
        <v>6473</v>
      </c>
      <c r="BB773" t="s">
        <v>6602</v>
      </c>
      <c r="BC773" t="s">
        <v>6629</v>
      </c>
      <c r="BD773" t="s">
        <v>6672</v>
      </c>
      <c r="BE773" t="s">
        <v>6702</v>
      </c>
    </row>
    <row r="774" spans="1:57">
      <c r="A774" s="1">
        <f>HYPERLINK("https://lsnyc.legalserver.org/matter/dynamic-profile/view/1838293","17-1838293")</f>
        <v>0</v>
      </c>
      <c r="B774" t="s">
        <v>60</v>
      </c>
      <c r="C774" t="s">
        <v>194</v>
      </c>
      <c r="D774" t="s">
        <v>214</v>
      </c>
      <c r="E774" t="s">
        <v>511</v>
      </c>
      <c r="G774" t="s">
        <v>1187</v>
      </c>
      <c r="H774" t="s">
        <v>1890</v>
      </c>
      <c r="J774" t="s">
        <v>2773</v>
      </c>
      <c r="K774" t="s">
        <v>3278</v>
      </c>
      <c r="L774" t="s">
        <v>3333</v>
      </c>
      <c r="M774" t="s">
        <v>3379</v>
      </c>
      <c r="N774">
        <v>11434</v>
      </c>
      <c r="O774" t="s">
        <v>3380</v>
      </c>
      <c r="P774" t="s">
        <v>3381</v>
      </c>
      <c r="Q774" t="s">
        <v>3387</v>
      </c>
      <c r="R774" t="s">
        <v>4004</v>
      </c>
      <c r="S774">
        <v>23</v>
      </c>
      <c r="T774" t="s">
        <v>4197</v>
      </c>
      <c r="U774" t="s">
        <v>4223</v>
      </c>
      <c r="W774" t="s">
        <v>4246</v>
      </c>
      <c r="X774" t="s">
        <v>3382</v>
      </c>
      <c r="Y774" t="s">
        <v>3382</v>
      </c>
      <c r="AA774" t="s">
        <v>4256</v>
      </c>
      <c r="AC774">
        <v>800</v>
      </c>
      <c r="AD774">
        <v>800</v>
      </c>
      <c r="AE774">
        <v>3.45</v>
      </c>
      <c r="AG774" t="s">
        <v>5020</v>
      </c>
      <c r="AI774" t="s">
        <v>6051</v>
      </c>
      <c r="AJ774">
        <v>2</v>
      </c>
      <c r="AK774" t="s">
        <v>6274</v>
      </c>
      <c r="AL774">
        <v>1</v>
      </c>
      <c r="AM774">
        <v>3</v>
      </c>
      <c r="AN774">
        <v>77.59</v>
      </c>
      <c r="AQ774" t="s">
        <v>6286</v>
      </c>
      <c r="AR774" t="s">
        <v>5312</v>
      </c>
      <c r="AS774" t="s">
        <v>6298</v>
      </c>
      <c r="AT774">
        <v>19088</v>
      </c>
      <c r="AV774" t="s">
        <v>3382</v>
      </c>
      <c r="AX774" t="s">
        <v>201</v>
      </c>
      <c r="BA774" t="s">
        <v>6582</v>
      </c>
      <c r="BD774" t="s">
        <v>6673</v>
      </c>
    </row>
    <row r="775" spans="1:57">
      <c r="A775" s="1">
        <f>HYPERLINK("https://lsnyc.legalserver.org/matter/dynamic-profile/view/1884806","18-1884806")</f>
        <v>0</v>
      </c>
      <c r="B775" t="s">
        <v>60</v>
      </c>
      <c r="C775" t="s">
        <v>194</v>
      </c>
      <c r="D775" t="s">
        <v>214</v>
      </c>
      <c r="E775" t="s">
        <v>374</v>
      </c>
      <c r="G775" t="s">
        <v>1188</v>
      </c>
      <c r="H775" t="s">
        <v>1891</v>
      </c>
      <c r="J775" t="s">
        <v>2774</v>
      </c>
      <c r="K775" t="s">
        <v>3205</v>
      </c>
      <c r="L775" t="s">
        <v>3333</v>
      </c>
      <c r="M775" t="s">
        <v>3379</v>
      </c>
      <c r="N775">
        <v>11434</v>
      </c>
      <c r="O775" t="s">
        <v>3380</v>
      </c>
      <c r="P775" t="s">
        <v>3380</v>
      </c>
      <c r="Q775" t="s">
        <v>3384</v>
      </c>
      <c r="R775" t="s">
        <v>4005</v>
      </c>
      <c r="S775">
        <v>8</v>
      </c>
      <c r="T775" t="s">
        <v>4197</v>
      </c>
      <c r="U775" t="s">
        <v>4224</v>
      </c>
      <c r="W775" t="s">
        <v>4246</v>
      </c>
      <c r="X775" t="s">
        <v>3382</v>
      </c>
      <c r="Y775" t="s">
        <v>3382</v>
      </c>
      <c r="AA775" t="s">
        <v>4256</v>
      </c>
      <c r="AB775" t="s">
        <v>4261</v>
      </c>
      <c r="AC775">
        <v>0</v>
      </c>
      <c r="AD775">
        <v>1250</v>
      </c>
      <c r="AE775">
        <v>0.65</v>
      </c>
      <c r="AG775" t="s">
        <v>5021</v>
      </c>
      <c r="AI775" t="s">
        <v>6052</v>
      </c>
      <c r="AJ775">
        <v>3</v>
      </c>
      <c r="AK775" t="s">
        <v>6274</v>
      </c>
      <c r="AL775">
        <v>2</v>
      </c>
      <c r="AM775">
        <v>3</v>
      </c>
      <c r="AN775">
        <v>195.42</v>
      </c>
      <c r="AQ775" t="s">
        <v>6286</v>
      </c>
      <c r="AS775" t="s">
        <v>6298</v>
      </c>
      <c r="AT775">
        <v>57491.2</v>
      </c>
      <c r="AU775" t="s">
        <v>6319</v>
      </c>
      <c r="AX775" t="s">
        <v>188</v>
      </c>
      <c r="BA775" t="s">
        <v>6473</v>
      </c>
      <c r="BD775" t="s">
        <v>496</v>
      </c>
    </row>
    <row r="776" spans="1:57">
      <c r="A776" s="1">
        <f>HYPERLINK("https://lsnyc.legalserver.org/matter/dynamic-profile/view/1891924","19-1891924")</f>
        <v>0</v>
      </c>
      <c r="B776" t="s">
        <v>60</v>
      </c>
      <c r="C776" t="s">
        <v>194</v>
      </c>
      <c r="D776" t="s">
        <v>214</v>
      </c>
      <c r="E776" t="s">
        <v>361</v>
      </c>
      <c r="G776" t="s">
        <v>1189</v>
      </c>
      <c r="H776" t="s">
        <v>1541</v>
      </c>
      <c r="J776" t="s">
        <v>2775</v>
      </c>
      <c r="K776" t="s">
        <v>3243</v>
      </c>
      <c r="L776" t="s">
        <v>3333</v>
      </c>
      <c r="M776" t="s">
        <v>3379</v>
      </c>
      <c r="N776">
        <v>11434</v>
      </c>
      <c r="O776" t="s">
        <v>3380</v>
      </c>
      <c r="P776" t="s">
        <v>3380</v>
      </c>
      <c r="Q776" t="s">
        <v>3383</v>
      </c>
      <c r="R776" t="s">
        <v>4006</v>
      </c>
      <c r="S776">
        <v>12</v>
      </c>
      <c r="T776" t="s">
        <v>4197</v>
      </c>
      <c r="U776" t="s">
        <v>4223</v>
      </c>
      <c r="W776" t="s">
        <v>4245</v>
      </c>
      <c r="X776" t="s">
        <v>3382</v>
      </c>
      <c r="Y776" t="s">
        <v>3382</v>
      </c>
      <c r="AA776" t="s">
        <v>4256</v>
      </c>
      <c r="AB776" t="s">
        <v>4261</v>
      </c>
      <c r="AC776">
        <v>0</v>
      </c>
      <c r="AD776">
        <v>600</v>
      </c>
      <c r="AE776">
        <v>11.75</v>
      </c>
      <c r="AG776" t="s">
        <v>5022</v>
      </c>
      <c r="AH776" t="s">
        <v>5343</v>
      </c>
      <c r="AI776" t="s">
        <v>6053</v>
      </c>
      <c r="AJ776">
        <v>0</v>
      </c>
      <c r="AK776" t="s">
        <v>6266</v>
      </c>
      <c r="AL776">
        <v>2</v>
      </c>
      <c r="AM776">
        <v>0</v>
      </c>
      <c r="AN776">
        <v>63.87</v>
      </c>
      <c r="AQ776" t="s">
        <v>6287</v>
      </c>
      <c r="AR776" t="s">
        <v>5312</v>
      </c>
      <c r="AS776" t="s">
        <v>6298</v>
      </c>
      <c r="AT776">
        <v>10800</v>
      </c>
      <c r="AX776" t="s">
        <v>184</v>
      </c>
      <c r="BA776" t="s">
        <v>6487</v>
      </c>
      <c r="BD776" t="s">
        <v>233</v>
      </c>
    </row>
    <row r="777" spans="1:57">
      <c r="A777" s="1">
        <f>HYPERLINK("https://lsnyc.legalserver.org/matter/dynamic-profile/view/1902224","19-1902224")</f>
        <v>0</v>
      </c>
      <c r="B777" t="s">
        <v>60</v>
      </c>
      <c r="C777" t="s">
        <v>194</v>
      </c>
      <c r="D777" t="s">
        <v>214</v>
      </c>
      <c r="E777" t="s">
        <v>512</v>
      </c>
      <c r="G777" t="s">
        <v>1190</v>
      </c>
      <c r="H777" t="s">
        <v>1846</v>
      </c>
      <c r="J777" t="s">
        <v>2776</v>
      </c>
      <c r="K777" t="s">
        <v>3252</v>
      </c>
      <c r="L777" t="s">
        <v>3333</v>
      </c>
      <c r="M777" t="s">
        <v>3379</v>
      </c>
      <c r="N777">
        <v>11434</v>
      </c>
      <c r="O777" t="s">
        <v>3380</v>
      </c>
      <c r="P777" t="s">
        <v>3381</v>
      </c>
      <c r="Q777" t="s">
        <v>3384</v>
      </c>
      <c r="R777" t="s">
        <v>4007</v>
      </c>
      <c r="S777">
        <v>48</v>
      </c>
      <c r="T777" t="s">
        <v>4197</v>
      </c>
      <c r="U777" t="s">
        <v>4223</v>
      </c>
      <c r="W777" t="s">
        <v>4246</v>
      </c>
      <c r="X777" t="s">
        <v>3382</v>
      </c>
      <c r="Y777" t="s">
        <v>3380</v>
      </c>
      <c r="AA777" t="s">
        <v>4256</v>
      </c>
      <c r="AB777" t="s">
        <v>4261</v>
      </c>
      <c r="AC777">
        <v>0</v>
      </c>
      <c r="AD777">
        <v>0</v>
      </c>
      <c r="AE777">
        <v>29.83</v>
      </c>
      <c r="AG777" t="s">
        <v>5023</v>
      </c>
      <c r="AH777" t="s">
        <v>5312</v>
      </c>
      <c r="AI777" t="s">
        <v>6054</v>
      </c>
      <c r="AJ777">
        <v>1</v>
      </c>
      <c r="AK777" t="s">
        <v>6274</v>
      </c>
      <c r="AL777">
        <v>3</v>
      </c>
      <c r="AM777">
        <v>0</v>
      </c>
      <c r="AN777">
        <v>0</v>
      </c>
      <c r="AR777" t="s">
        <v>5312</v>
      </c>
      <c r="AS777" t="s">
        <v>6298</v>
      </c>
      <c r="AT777">
        <v>0</v>
      </c>
      <c r="AX777" t="s">
        <v>6441</v>
      </c>
      <c r="BA777" t="s">
        <v>6479</v>
      </c>
      <c r="BD777" t="s">
        <v>234</v>
      </c>
      <c r="BE777" t="s">
        <v>6702</v>
      </c>
    </row>
    <row r="778" spans="1:57">
      <c r="A778" s="1">
        <f>HYPERLINK("https://lsnyc.legalserver.org/matter/dynamic-profile/view/1906985","19-1906985")</f>
        <v>0</v>
      </c>
      <c r="B778" t="s">
        <v>60</v>
      </c>
      <c r="C778" t="s">
        <v>194</v>
      </c>
      <c r="D778" t="s">
        <v>214</v>
      </c>
      <c r="E778" t="s">
        <v>297</v>
      </c>
      <c r="G778" t="s">
        <v>675</v>
      </c>
      <c r="H778" t="s">
        <v>1499</v>
      </c>
      <c r="J778" t="s">
        <v>2777</v>
      </c>
      <c r="L778" t="s">
        <v>3333</v>
      </c>
      <c r="M778" t="s">
        <v>3379</v>
      </c>
      <c r="N778">
        <v>11434</v>
      </c>
      <c r="O778" t="s">
        <v>3380</v>
      </c>
      <c r="P778" t="s">
        <v>3381</v>
      </c>
      <c r="Q778" t="s">
        <v>3384</v>
      </c>
      <c r="R778" t="s">
        <v>4008</v>
      </c>
      <c r="S778">
        <v>14</v>
      </c>
      <c r="T778" t="s">
        <v>4197</v>
      </c>
      <c r="U778" t="s">
        <v>4224</v>
      </c>
      <c r="W778" t="s">
        <v>4246</v>
      </c>
      <c r="X778" t="s">
        <v>3382</v>
      </c>
      <c r="AA778" t="s">
        <v>4256</v>
      </c>
      <c r="AC778">
        <v>0</v>
      </c>
      <c r="AD778">
        <v>0</v>
      </c>
      <c r="AE778">
        <v>12.35</v>
      </c>
      <c r="AG778" t="s">
        <v>5024</v>
      </c>
      <c r="AI778" t="s">
        <v>5448</v>
      </c>
      <c r="AJ778">
        <v>1</v>
      </c>
      <c r="AL778">
        <v>4</v>
      </c>
      <c r="AM778">
        <v>3</v>
      </c>
      <c r="AN778">
        <v>146.12</v>
      </c>
      <c r="AS778" t="s">
        <v>6299</v>
      </c>
      <c r="AT778">
        <v>57000</v>
      </c>
      <c r="AX778" t="s">
        <v>6441</v>
      </c>
      <c r="BA778" t="s">
        <v>6477</v>
      </c>
      <c r="BD778" t="s">
        <v>243</v>
      </c>
      <c r="BE778" t="s">
        <v>6702</v>
      </c>
    </row>
    <row r="779" spans="1:57">
      <c r="A779" s="1">
        <f>HYPERLINK("https://lsnyc.legalserver.org/matter/dynamic-profile/view/1907597","19-1907597")</f>
        <v>0</v>
      </c>
      <c r="B779" t="s">
        <v>60</v>
      </c>
      <c r="C779" t="s">
        <v>194</v>
      </c>
      <c r="D779" t="s">
        <v>214</v>
      </c>
      <c r="E779" t="s">
        <v>286</v>
      </c>
      <c r="G779" t="s">
        <v>1191</v>
      </c>
      <c r="H779" t="s">
        <v>1892</v>
      </c>
      <c r="J779" t="s">
        <v>2778</v>
      </c>
      <c r="K779" t="s">
        <v>3047</v>
      </c>
      <c r="L779" t="s">
        <v>3333</v>
      </c>
      <c r="M779" t="s">
        <v>3379</v>
      </c>
      <c r="N779">
        <v>11434</v>
      </c>
      <c r="O779" t="s">
        <v>3380</v>
      </c>
      <c r="P779" t="s">
        <v>3381</v>
      </c>
      <c r="Q779" t="s">
        <v>3383</v>
      </c>
      <c r="R779" t="s">
        <v>4009</v>
      </c>
      <c r="S779">
        <v>1</v>
      </c>
      <c r="T779" t="s">
        <v>4197</v>
      </c>
      <c r="U779" t="s">
        <v>4223</v>
      </c>
      <c r="W779" t="s">
        <v>4246</v>
      </c>
      <c r="X779" t="s">
        <v>3382</v>
      </c>
      <c r="Y779" t="s">
        <v>3380</v>
      </c>
      <c r="AA779" t="s">
        <v>4256</v>
      </c>
      <c r="AB779" t="s">
        <v>4261</v>
      </c>
      <c r="AC779">
        <v>0</v>
      </c>
      <c r="AD779">
        <v>650</v>
      </c>
      <c r="AE779">
        <v>14.28</v>
      </c>
      <c r="AG779" t="s">
        <v>5025</v>
      </c>
      <c r="AH779" t="s">
        <v>5344</v>
      </c>
      <c r="AI779" t="s">
        <v>6055</v>
      </c>
      <c r="AJ779">
        <v>2</v>
      </c>
      <c r="AK779" t="s">
        <v>6274</v>
      </c>
      <c r="AL779">
        <v>1</v>
      </c>
      <c r="AM779">
        <v>1</v>
      </c>
      <c r="AN779">
        <v>85.16</v>
      </c>
      <c r="AR779" t="s">
        <v>5312</v>
      </c>
      <c r="AS779" t="s">
        <v>6298</v>
      </c>
      <c r="AT779">
        <v>14400</v>
      </c>
      <c r="AX779" t="s">
        <v>6441</v>
      </c>
      <c r="BA779" t="s">
        <v>6473</v>
      </c>
      <c r="BD779" t="s">
        <v>334</v>
      </c>
      <c r="BE779" t="s">
        <v>6702</v>
      </c>
    </row>
    <row r="780" spans="1:57">
      <c r="A780" s="1">
        <f>HYPERLINK("https://lsnyc.legalserver.org/matter/dynamic-profile/view/1899217","19-1899217")</f>
        <v>0</v>
      </c>
      <c r="B780" t="s">
        <v>60</v>
      </c>
      <c r="C780" t="s">
        <v>194</v>
      </c>
      <c r="D780" t="s">
        <v>214</v>
      </c>
      <c r="E780" t="s">
        <v>513</v>
      </c>
      <c r="G780" t="s">
        <v>1192</v>
      </c>
      <c r="H780" t="s">
        <v>1599</v>
      </c>
      <c r="J780" t="s">
        <v>2779</v>
      </c>
      <c r="L780" t="s">
        <v>3333</v>
      </c>
      <c r="M780" t="s">
        <v>3379</v>
      </c>
      <c r="N780">
        <v>11434</v>
      </c>
      <c r="O780" t="s">
        <v>3381</v>
      </c>
      <c r="P780" t="s">
        <v>3381</v>
      </c>
      <c r="Q780" t="s">
        <v>3384</v>
      </c>
      <c r="R780" t="s">
        <v>4010</v>
      </c>
      <c r="S780">
        <v>2</v>
      </c>
      <c r="T780" t="s">
        <v>4196</v>
      </c>
      <c r="U780" t="s">
        <v>4223</v>
      </c>
      <c r="W780" t="s">
        <v>4246</v>
      </c>
      <c r="X780" t="s">
        <v>3382</v>
      </c>
      <c r="AA780" t="s">
        <v>4256</v>
      </c>
      <c r="AC780">
        <v>0</v>
      </c>
      <c r="AD780">
        <v>1300</v>
      </c>
      <c r="AE780">
        <v>4.45</v>
      </c>
      <c r="AG780" t="s">
        <v>5026</v>
      </c>
      <c r="AI780" t="s">
        <v>6056</v>
      </c>
      <c r="AJ780">
        <v>2</v>
      </c>
      <c r="AL780">
        <v>1</v>
      </c>
      <c r="AM780">
        <v>0</v>
      </c>
      <c r="AN780">
        <v>83.27</v>
      </c>
      <c r="AS780" t="s">
        <v>6298</v>
      </c>
      <c r="AT780">
        <v>10400</v>
      </c>
      <c r="AX780" t="s">
        <v>6446</v>
      </c>
      <c r="BA780" t="s">
        <v>6477</v>
      </c>
      <c r="BD780" t="s">
        <v>512</v>
      </c>
    </row>
    <row r="781" spans="1:57">
      <c r="A781" s="1">
        <f>HYPERLINK("https://lsnyc.legalserver.org/matter/dynamic-profile/view/1903640","19-1903640")</f>
        <v>0</v>
      </c>
      <c r="B781" t="s">
        <v>60</v>
      </c>
      <c r="C781" t="s">
        <v>194</v>
      </c>
      <c r="D781" t="s">
        <v>214</v>
      </c>
      <c r="E781" t="s">
        <v>386</v>
      </c>
      <c r="G781" t="s">
        <v>1193</v>
      </c>
      <c r="H781" t="s">
        <v>1636</v>
      </c>
      <c r="J781" t="s">
        <v>2780</v>
      </c>
      <c r="K781" t="s">
        <v>3108</v>
      </c>
      <c r="L781" t="s">
        <v>3333</v>
      </c>
      <c r="M781" t="s">
        <v>3379</v>
      </c>
      <c r="N781">
        <v>11434</v>
      </c>
      <c r="O781" t="s">
        <v>3380</v>
      </c>
      <c r="P781" t="s">
        <v>3381</v>
      </c>
      <c r="Q781" t="s">
        <v>3384</v>
      </c>
      <c r="R781" t="s">
        <v>4011</v>
      </c>
      <c r="S781">
        <v>1</v>
      </c>
      <c r="T781" t="s">
        <v>4196</v>
      </c>
      <c r="U781" t="s">
        <v>4224</v>
      </c>
      <c r="W781" t="s">
        <v>4246</v>
      </c>
      <c r="X781" t="s">
        <v>3382</v>
      </c>
      <c r="AA781" t="s">
        <v>4258</v>
      </c>
      <c r="AC781">
        <v>0</v>
      </c>
      <c r="AD781">
        <v>460</v>
      </c>
      <c r="AE781">
        <v>4</v>
      </c>
      <c r="AG781" t="s">
        <v>5027</v>
      </c>
      <c r="AI781" t="s">
        <v>6057</v>
      </c>
      <c r="AJ781">
        <v>80</v>
      </c>
      <c r="AK781" t="s">
        <v>6278</v>
      </c>
      <c r="AL781">
        <v>2</v>
      </c>
      <c r="AM781">
        <v>2</v>
      </c>
      <c r="AN781">
        <v>82.72</v>
      </c>
      <c r="AS781" t="s">
        <v>6298</v>
      </c>
      <c r="AT781">
        <v>21300</v>
      </c>
      <c r="AX781" t="s">
        <v>6441</v>
      </c>
      <c r="BA781" t="s">
        <v>6515</v>
      </c>
      <c r="BD781" t="s">
        <v>297</v>
      </c>
      <c r="BE781" t="s">
        <v>6702</v>
      </c>
    </row>
    <row r="782" spans="1:57">
      <c r="A782" s="1">
        <f>HYPERLINK("https://lsnyc.legalserver.org/matter/dynamic-profile/view/1886697","18-1886697")</f>
        <v>0</v>
      </c>
      <c r="B782" t="s">
        <v>60</v>
      </c>
      <c r="C782" t="s">
        <v>194</v>
      </c>
      <c r="D782" t="s">
        <v>214</v>
      </c>
      <c r="E782" t="s">
        <v>501</v>
      </c>
      <c r="G782" t="s">
        <v>1194</v>
      </c>
      <c r="H782" t="s">
        <v>1893</v>
      </c>
      <c r="J782" t="s">
        <v>2781</v>
      </c>
      <c r="L782" t="s">
        <v>3333</v>
      </c>
      <c r="M782" t="s">
        <v>3379</v>
      </c>
      <c r="N782">
        <v>11434</v>
      </c>
      <c r="O782" t="s">
        <v>3380</v>
      </c>
      <c r="P782" t="s">
        <v>3380</v>
      </c>
      <c r="Q782" t="s">
        <v>3384</v>
      </c>
      <c r="S782">
        <v>2</v>
      </c>
      <c r="U782" t="s">
        <v>4224</v>
      </c>
      <c r="W782" t="s">
        <v>4245</v>
      </c>
      <c r="X782" t="s">
        <v>3382</v>
      </c>
      <c r="Y782" t="s">
        <v>3382</v>
      </c>
      <c r="AA782" t="s">
        <v>4256</v>
      </c>
      <c r="AC782">
        <v>0</v>
      </c>
      <c r="AD782">
        <v>1550</v>
      </c>
      <c r="AE782">
        <v>4</v>
      </c>
      <c r="AG782" t="s">
        <v>5028</v>
      </c>
      <c r="AI782" t="s">
        <v>6058</v>
      </c>
      <c r="AJ782">
        <v>0</v>
      </c>
      <c r="AK782" t="s">
        <v>6266</v>
      </c>
      <c r="AL782">
        <v>3</v>
      </c>
      <c r="AM782">
        <v>0</v>
      </c>
      <c r="AN782">
        <v>110.68</v>
      </c>
      <c r="AQ782" t="s">
        <v>6287</v>
      </c>
      <c r="AS782" t="s">
        <v>6298</v>
      </c>
      <c r="AT782">
        <v>23000</v>
      </c>
      <c r="AX782" t="s">
        <v>184</v>
      </c>
      <c r="BA782" t="s">
        <v>6477</v>
      </c>
      <c r="BD782" t="s">
        <v>6674</v>
      </c>
    </row>
    <row r="783" spans="1:57">
      <c r="A783" s="1">
        <f>HYPERLINK("https://lsnyc.legalserver.org/matter/dynamic-profile/view/1879489","18-1879489")</f>
        <v>0</v>
      </c>
      <c r="B783" t="s">
        <v>60</v>
      </c>
      <c r="C783" t="s">
        <v>194</v>
      </c>
      <c r="D783" t="s">
        <v>214</v>
      </c>
      <c r="E783" t="s">
        <v>461</v>
      </c>
      <c r="G783" t="s">
        <v>1195</v>
      </c>
      <c r="H783" t="s">
        <v>1506</v>
      </c>
      <c r="J783" t="s">
        <v>2782</v>
      </c>
      <c r="L783" t="s">
        <v>3333</v>
      </c>
      <c r="M783" t="s">
        <v>3379</v>
      </c>
      <c r="N783">
        <v>11433</v>
      </c>
      <c r="O783" t="s">
        <v>3380</v>
      </c>
      <c r="P783" t="s">
        <v>3380</v>
      </c>
      <c r="Q783" t="s">
        <v>3386</v>
      </c>
      <c r="R783" t="s">
        <v>4012</v>
      </c>
      <c r="S783">
        <v>11</v>
      </c>
      <c r="T783" t="s">
        <v>4197</v>
      </c>
      <c r="U783" t="s">
        <v>4224</v>
      </c>
      <c r="W783" t="s">
        <v>4246</v>
      </c>
      <c r="X783" t="s">
        <v>3382</v>
      </c>
      <c r="Y783" t="s">
        <v>3382</v>
      </c>
      <c r="AA783" t="s">
        <v>4256</v>
      </c>
      <c r="AB783" t="s">
        <v>4261</v>
      </c>
      <c r="AC783">
        <v>220</v>
      </c>
      <c r="AD783">
        <v>2000</v>
      </c>
      <c r="AE783">
        <v>18.6</v>
      </c>
      <c r="AG783" t="s">
        <v>5029</v>
      </c>
      <c r="AI783" t="s">
        <v>6059</v>
      </c>
      <c r="AJ783">
        <v>2</v>
      </c>
      <c r="AL783">
        <v>5</v>
      </c>
      <c r="AM783">
        <v>4</v>
      </c>
      <c r="AN783">
        <v>63.33</v>
      </c>
      <c r="AQ783" t="s">
        <v>6286</v>
      </c>
      <c r="AR783" t="s">
        <v>6290</v>
      </c>
      <c r="AS783" t="s">
        <v>6298</v>
      </c>
      <c r="AT783">
        <v>29576.04</v>
      </c>
      <c r="AX783" t="s">
        <v>188</v>
      </c>
      <c r="BA783" t="s">
        <v>6517</v>
      </c>
      <c r="BD783" t="s">
        <v>6675</v>
      </c>
    </row>
    <row r="784" spans="1:57">
      <c r="A784" s="1">
        <f>HYPERLINK("https://lsnyc.legalserver.org/matter/dynamic-profile/view/1885178","18-1885178")</f>
        <v>0</v>
      </c>
      <c r="B784" t="s">
        <v>60</v>
      </c>
      <c r="C784" t="s">
        <v>194</v>
      </c>
      <c r="D784" t="s">
        <v>214</v>
      </c>
      <c r="E784" t="s">
        <v>298</v>
      </c>
      <c r="G784" t="s">
        <v>1196</v>
      </c>
      <c r="H784" t="s">
        <v>1894</v>
      </c>
      <c r="J784" t="s">
        <v>2783</v>
      </c>
      <c r="L784" t="s">
        <v>3333</v>
      </c>
      <c r="M784" t="s">
        <v>3379</v>
      </c>
      <c r="N784">
        <v>11433</v>
      </c>
      <c r="O784" t="s">
        <v>3380</v>
      </c>
      <c r="P784" t="s">
        <v>3380</v>
      </c>
      <c r="Q784" t="s">
        <v>3384</v>
      </c>
      <c r="R784" t="s">
        <v>4013</v>
      </c>
      <c r="S784">
        <v>2</v>
      </c>
      <c r="T784" t="s">
        <v>4197</v>
      </c>
      <c r="U784" t="s">
        <v>4224</v>
      </c>
      <c r="W784" t="s">
        <v>4245</v>
      </c>
      <c r="X784" t="s">
        <v>3382</v>
      </c>
      <c r="Y784" t="s">
        <v>3382</v>
      </c>
      <c r="AA784" t="s">
        <v>4256</v>
      </c>
      <c r="AC784">
        <v>0</v>
      </c>
      <c r="AD784">
        <v>1000</v>
      </c>
      <c r="AE784">
        <v>0.1</v>
      </c>
      <c r="AG784" t="s">
        <v>5030</v>
      </c>
      <c r="AI784" t="s">
        <v>6060</v>
      </c>
      <c r="AJ784">
        <v>0</v>
      </c>
      <c r="AK784" t="s">
        <v>6266</v>
      </c>
      <c r="AL784">
        <v>2</v>
      </c>
      <c r="AM784">
        <v>2</v>
      </c>
      <c r="AN784">
        <v>124.3</v>
      </c>
      <c r="AR784" t="s">
        <v>5312</v>
      </c>
      <c r="AS784" t="s">
        <v>6314</v>
      </c>
      <c r="AT784">
        <v>31200</v>
      </c>
      <c r="AX784" t="s">
        <v>184</v>
      </c>
      <c r="BA784" t="s">
        <v>6477</v>
      </c>
      <c r="BD784" t="s">
        <v>364</v>
      </c>
    </row>
    <row r="785" spans="1:57">
      <c r="A785" s="1">
        <f>HYPERLINK("https://lsnyc.legalserver.org/matter/dynamic-profile/view/1910008","19-1910008")</f>
        <v>0</v>
      </c>
      <c r="B785" t="s">
        <v>60</v>
      </c>
      <c r="C785" t="s">
        <v>194</v>
      </c>
      <c r="D785" t="s">
        <v>214</v>
      </c>
      <c r="E785" t="s">
        <v>238</v>
      </c>
      <c r="G785" t="s">
        <v>1197</v>
      </c>
      <c r="H785" t="s">
        <v>1895</v>
      </c>
      <c r="J785" t="s">
        <v>2784</v>
      </c>
      <c r="K785">
        <v>2</v>
      </c>
      <c r="L785" t="s">
        <v>3333</v>
      </c>
      <c r="M785" t="s">
        <v>3379</v>
      </c>
      <c r="N785">
        <v>11433</v>
      </c>
      <c r="O785" t="s">
        <v>3380</v>
      </c>
      <c r="P785" t="s">
        <v>3381</v>
      </c>
      <c r="Q785" t="s">
        <v>3384</v>
      </c>
      <c r="R785" t="s">
        <v>4014</v>
      </c>
      <c r="S785">
        <v>3</v>
      </c>
      <c r="T785" t="s">
        <v>4196</v>
      </c>
      <c r="U785" t="s">
        <v>4223</v>
      </c>
      <c r="W785" t="s">
        <v>4246</v>
      </c>
      <c r="X785" t="s">
        <v>3382</v>
      </c>
      <c r="Y785" t="s">
        <v>3382</v>
      </c>
      <c r="AA785" t="s">
        <v>4256</v>
      </c>
      <c r="AB785" t="s">
        <v>4261</v>
      </c>
      <c r="AC785">
        <v>0</v>
      </c>
      <c r="AD785">
        <v>1600</v>
      </c>
      <c r="AE785">
        <v>34.8</v>
      </c>
      <c r="AG785" t="s">
        <v>5031</v>
      </c>
      <c r="AI785" t="s">
        <v>6061</v>
      </c>
      <c r="AJ785">
        <v>0</v>
      </c>
      <c r="AK785" t="s">
        <v>6274</v>
      </c>
      <c r="AL785">
        <v>3</v>
      </c>
      <c r="AM785">
        <v>0</v>
      </c>
      <c r="AN785">
        <v>185.19</v>
      </c>
      <c r="AS785" t="s">
        <v>6298</v>
      </c>
      <c r="AT785">
        <v>39500</v>
      </c>
      <c r="AX785" t="s">
        <v>6441</v>
      </c>
      <c r="BA785" t="s">
        <v>6477</v>
      </c>
      <c r="BD785" t="s">
        <v>243</v>
      </c>
      <c r="BE785" t="s">
        <v>6702</v>
      </c>
    </row>
    <row r="786" spans="1:57">
      <c r="A786" s="1">
        <f>HYPERLINK("https://lsnyc.legalserver.org/matter/dynamic-profile/view/0820731","16-0820731")</f>
        <v>0</v>
      </c>
      <c r="B786" t="s">
        <v>60</v>
      </c>
      <c r="C786" t="s">
        <v>194</v>
      </c>
      <c r="D786" t="s">
        <v>214</v>
      </c>
      <c r="E786" t="s">
        <v>514</v>
      </c>
      <c r="G786" t="s">
        <v>1198</v>
      </c>
      <c r="H786" t="s">
        <v>1896</v>
      </c>
      <c r="J786" t="s">
        <v>2785</v>
      </c>
      <c r="K786" t="s">
        <v>3279</v>
      </c>
      <c r="L786" t="s">
        <v>3365</v>
      </c>
      <c r="M786" t="s">
        <v>3379</v>
      </c>
      <c r="N786">
        <v>11429</v>
      </c>
      <c r="O786" t="s">
        <v>3380</v>
      </c>
      <c r="P786" t="s">
        <v>3381</v>
      </c>
      <c r="Q786" t="s">
        <v>3383</v>
      </c>
      <c r="R786" t="s">
        <v>4015</v>
      </c>
      <c r="S786">
        <v>3</v>
      </c>
      <c r="T786" t="s">
        <v>4196</v>
      </c>
      <c r="U786" t="s">
        <v>4223</v>
      </c>
      <c r="W786" t="s">
        <v>4245</v>
      </c>
      <c r="X786" t="s">
        <v>3382</v>
      </c>
      <c r="Y786" t="s">
        <v>4250</v>
      </c>
      <c r="AA786" t="s">
        <v>4256</v>
      </c>
      <c r="AC786">
        <v>1248</v>
      </c>
      <c r="AD786">
        <v>1248</v>
      </c>
      <c r="AE786">
        <v>108.2</v>
      </c>
      <c r="AG786" t="s">
        <v>5032</v>
      </c>
      <c r="AH786" t="s">
        <v>5345</v>
      </c>
      <c r="AI786" t="s">
        <v>6062</v>
      </c>
      <c r="AJ786">
        <v>100</v>
      </c>
      <c r="AK786" t="s">
        <v>6267</v>
      </c>
      <c r="AL786">
        <v>1</v>
      </c>
      <c r="AM786">
        <v>3</v>
      </c>
      <c r="AN786">
        <v>102.88</v>
      </c>
      <c r="AQ786" t="s">
        <v>6286</v>
      </c>
      <c r="AR786" t="s">
        <v>5312</v>
      </c>
      <c r="AS786" t="s">
        <v>6302</v>
      </c>
      <c r="AT786">
        <v>25000</v>
      </c>
      <c r="AV786" t="s">
        <v>3380</v>
      </c>
      <c r="AX786" t="s">
        <v>196</v>
      </c>
      <c r="BA786" t="s">
        <v>6477</v>
      </c>
      <c r="BD786" t="s">
        <v>422</v>
      </c>
    </row>
    <row r="787" spans="1:57">
      <c r="A787" s="1">
        <f>HYPERLINK("https://lsnyc.legalserver.org/matter/dynamic-profile/view/1908921","19-1908921")</f>
        <v>0</v>
      </c>
      <c r="B787" t="s">
        <v>60</v>
      </c>
      <c r="C787" t="s">
        <v>194</v>
      </c>
      <c r="D787" t="s">
        <v>214</v>
      </c>
      <c r="E787" t="s">
        <v>235</v>
      </c>
      <c r="G787" t="s">
        <v>1199</v>
      </c>
      <c r="H787" t="s">
        <v>1897</v>
      </c>
      <c r="J787" t="s">
        <v>2786</v>
      </c>
      <c r="K787" t="s">
        <v>3280</v>
      </c>
      <c r="L787" t="s">
        <v>3336</v>
      </c>
      <c r="M787" t="s">
        <v>3379</v>
      </c>
      <c r="N787">
        <v>11427</v>
      </c>
      <c r="O787" t="s">
        <v>3380</v>
      </c>
      <c r="P787" t="s">
        <v>3381</v>
      </c>
      <c r="Q787" t="s">
        <v>3383</v>
      </c>
      <c r="S787">
        <v>7</v>
      </c>
      <c r="T787" t="s">
        <v>4197</v>
      </c>
      <c r="U787" t="s">
        <v>4224</v>
      </c>
      <c r="W787" t="s">
        <v>4245</v>
      </c>
      <c r="X787" t="s">
        <v>3382</v>
      </c>
      <c r="Y787" t="s">
        <v>3382</v>
      </c>
      <c r="AA787" t="s">
        <v>4256</v>
      </c>
      <c r="AB787" t="s">
        <v>4261</v>
      </c>
      <c r="AC787">
        <v>0</v>
      </c>
      <c r="AD787">
        <v>0</v>
      </c>
      <c r="AE787">
        <v>4.6</v>
      </c>
      <c r="AG787" t="s">
        <v>5033</v>
      </c>
      <c r="AI787" t="s">
        <v>6063</v>
      </c>
      <c r="AJ787">
        <v>80</v>
      </c>
      <c r="AK787" t="s">
        <v>6275</v>
      </c>
      <c r="AL787">
        <v>1</v>
      </c>
      <c r="AM787">
        <v>1</v>
      </c>
      <c r="AN787">
        <v>57.42</v>
      </c>
      <c r="AR787" t="s">
        <v>5312</v>
      </c>
      <c r="AT787">
        <v>9710</v>
      </c>
      <c r="AX787" t="s">
        <v>196</v>
      </c>
      <c r="BA787" t="s">
        <v>6477</v>
      </c>
      <c r="BD787" t="s">
        <v>293</v>
      </c>
    </row>
    <row r="788" spans="1:57">
      <c r="A788" s="1">
        <f>HYPERLINK("https://lsnyc.legalserver.org/matter/dynamic-profile/view/1855287","18-1855287")</f>
        <v>0</v>
      </c>
      <c r="B788" t="s">
        <v>60</v>
      </c>
      <c r="C788" t="s">
        <v>194</v>
      </c>
      <c r="D788" t="s">
        <v>214</v>
      </c>
      <c r="E788" t="s">
        <v>515</v>
      </c>
      <c r="G788" t="s">
        <v>767</v>
      </c>
      <c r="H788" t="s">
        <v>1898</v>
      </c>
      <c r="J788" t="s">
        <v>2787</v>
      </c>
      <c r="K788" t="s">
        <v>3116</v>
      </c>
      <c r="L788" t="s">
        <v>3347</v>
      </c>
      <c r="M788" t="s">
        <v>3379</v>
      </c>
      <c r="N788">
        <v>11423</v>
      </c>
      <c r="O788" t="s">
        <v>3380</v>
      </c>
      <c r="P788" t="s">
        <v>3381</v>
      </c>
      <c r="Q788" t="s">
        <v>3383</v>
      </c>
      <c r="R788" t="s">
        <v>4016</v>
      </c>
      <c r="S788">
        <v>46</v>
      </c>
      <c r="T788" t="s">
        <v>4196</v>
      </c>
      <c r="U788" t="s">
        <v>4223</v>
      </c>
      <c r="W788" t="s">
        <v>4245</v>
      </c>
      <c r="X788" t="s">
        <v>3382</v>
      </c>
      <c r="Y788" t="s">
        <v>3382</v>
      </c>
      <c r="AA788" t="s">
        <v>4256</v>
      </c>
      <c r="AC788">
        <v>1582</v>
      </c>
      <c r="AD788">
        <v>1582</v>
      </c>
      <c r="AE788">
        <v>30.1</v>
      </c>
      <c r="AG788" t="s">
        <v>5034</v>
      </c>
      <c r="AH788" t="s">
        <v>5346</v>
      </c>
      <c r="AI788" t="s">
        <v>6064</v>
      </c>
      <c r="AJ788">
        <v>48</v>
      </c>
      <c r="AL788">
        <v>4</v>
      </c>
      <c r="AM788">
        <v>0</v>
      </c>
      <c r="AN788">
        <v>170.72</v>
      </c>
      <c r="AP788" t="s">
        <v>6284</v>
      </c>
      <c r="AQ788" t="s">
        <v>6287</v>
      </c>
      <c r="AR788" t="s">
        <v>5312</v>
      </c>
      <c r="AS788" t="s">
        <v>6298</v>
      </c>
      <c r="AT788">
        <v>41997.4</v>
      </c>
      <c r="AV788" t="s">
        <v>3380</v>
      </c>
      <c r="AX788" t="s">
        <v>184</v>
      </c>
      <c r="BA788" t="s">
        <v>6583</v>
      </c>
      <c r="BD788" t="s">
        <v>6676</v>
      </c>
    </row>
    <row r="789" spans="1:57">
      <c r="A789" s="1">
        <f>HYPERLINK("https://lsnyc.legalserver.org/matter/dynamic-profile/view/1913854","19-1913854")</f>
        <v>0</v>
      </c>
      <c r="B789" t="s">
        <v>60</v>
      </c>
      <c r="C789" t="s">
        <v>194</v>
      </c>
      <c r="D789" t="s">
        <v>214</v>
      </c>
      <c r="E789" t="s">
        <v>222</v>
      </c>
      <c r="G789" t="s">
        <v>686</v>
      </c>
      <c r="H789" t="s">
        <v>1899</v>
      </c>
      <c r="J789" t="s">
        <v>2788</v>
      </c>
      <c r="K789" t="s">
        <v>3017</v>
      </c>
      <c r="L789" t="s">
        <v>3333</v>
      </c>
      <c r="M789" t="s">
        <v>3379</v>
      </c>
      <c r="N789">
        <v>11423</v>
      </c>
      <c r="O789" t="s">
        <v>3380</v>
      </c>
      <c r="P789" t="s">
        <v>3381</v>
      </c>
      <c r="Q789" t="s">
        <v>3383</v>
      </c>
      <c r="R789" t="s">
        <v>4017</v>
      </c>
      <c r="S789">
        <v>2</v>
      </c>
      <c r="T789" t="s">
        <v>4196</v>
      </c>
      <c r="U789" t="s">
        <v>4224</v>
      </c>
      <c r="W789" t="s">
        <v>4245</v>
      </c>
      <c r="X789" t="s">
        <v>3382</v>
      </c>
      <c r="Y789" t="s">
        <v>3382</v>
      </c>
      <c r="AA789" t="s">
        <v>4256</v>
      </c>
      <c r="AC789">
        <v>0</v>
      </c>
      <c r="AD789">
        <v>1400</v>
      </c>
      <c r="AE789">
        <v>1.33</v>
      </c>
      <c r="AG789" t="s">
        <v>5035</v>
      </c>
      <c r="AI789" t="s">
        <v>6065</v>
      </c>
      <c r="AJ789">
        <v>2</v>
      </c>
      <c r="AK789" t="s">
        <v>6274</v>
      </c>
      <c r="AL789">
        <v>1</v>
      </c>
      <c r="AM789">
        <v>1</v>
      </c>
      <c r="AN789">
        <v>138.38</v>
      </c>
      <c r="AR789" t="s">
        <v>6296</v>
      </c>
      <c r="AS789" t="s">
        <v>6298</v>
      </c>
      <c r="AT789">
        <v>23400</v>
      </c>
      <c r="AX789" t="s">
        <v>6441</v>
      </c>
      <c r="BA789" t="s">
        <v>6477</v>
      </c>
      <c r="BD789" t="s">
        <v>222</v>
      </c>
      <c r="BE789" t="s">
        <v>6702</v>
      </c>
    </row>
    <row r="790" spans="1:57">
      <c r="A790" s="1">
        <f>HYPERLINK("https://lsnyc.legalserver.org/matter/dynamic-profile/view/1874595","18-1874595")</f>
        <v>0</v>
      </c>
      <c r="B790" t="s">
        <v>60</v>
      </c>
      <c r="C790" t="s">
        <v>194</v>
      </c>
      <c r="D790" t="s">
        <v>215</v>
      </c>
      <c r="E790" t="s">
        <v>420</v>
      </c>
      <c r="F790" t="s">
        <v>294</v>
      </c>
      <c r="G790" t="s">
        <v>594</v>
      </c>
      <c r="H790" t="s">
        <v>1385</v>
      </c>
      <c r="J790" t="s">
        <v>2789</v>
      </c>
      <c r="K790" t="s">
        <v>3070</v>
      </c>
      <c r="L790" t="s">
        <v>3361</v>
      </c>
      <c r="M790" t="s">
        <v>3379</v>
      </c>
      <c r="N790">
        <v>11419</v>
      </c>
      <c r="O790" t="s">
        <v>3380</v>
      </c>
      <c r="P790" t="s">
        <v>3381</v>
      </c>
      <c r="Q790" t="s">
        <v>3383</v>
      </c>
      <c r="R790" t="s">
        <v>4018</v>
      </c>
      <c r="S790">
        <v>2</v>
      </c>
      <c r="T790" t="s">
        <v>4197</v>
      </c>
      <c r="U790" t="s">
        <v>4225</v>
      </c>
      <c r="V790" t="s">
        <v>4230</v>
      </c>
      <c r="W790" t="s">
        <v>4245</v>
      </c>
      <c r="X790" t="s">
        <v>3382</v>
      </c>
      <c r="Y790" t="s">
        <v>3382</v>
      </c>
      <c r="AA790" t="s">
        <v>4256</v>
      </c>
      <c r="AB790" t="s">
        <v>4261</v>
      </c>
      <c r="AC790">
        <v>1975</v>
      </c>
      <c r="AD790">
        <v>1975</v>
      </c>
      <c r="AE790">
        <v>1.4</v>
      </c>
      <c r="AF790" t="s">
        <v>4268</v>
      </c>
      <c r="AG790" t="s">
        <v>5036</v>
      </c>
      <c r="AI790" t="s">
        <v>6066</v>
      </c>
      <c r="AJ790">
        <v>4</v>
      </c>
      <c r="AK790" t="s">
        <v>6266</v>
      </c>
      <c r="AL790">
        <v>1</v>
      </c>
      <c r="AM790">
        <v>2</v>
      </c>
      <c r="AN790">
        <v>40.04</v>
      </c>
      <c r="AQ790" t="s">
        <v>6286</v>
      </c>
      <c r="AR790" t="s">
        <v>5312</v>
      </c>
      <c r="AS790" t="s">
        <v>6298</v>
      </c>
      <c r="AT790">
        <v>8320</v>
      </c>
      <c r="AV790" t="s">
        <v>3380</v>
      </c>
      <c r="AX790" t="s">
        <v>184</v>
      </c>
      <c r="BA790" t="s">
        <v>6477</v>
      </c>
      <c r="BD790" t="s">
        <v>424</v>
      </c>
    </row>
    <row r="791" spans="1:57">
      <c r="A791" s="1">
        <f>HYPERLINK("https://lsnyc.legalserver.org/matter/dynamic-profile/view/1865002","18-1865002")</f>
        <v>0</v>
      </c>
      <c r="B791" t="s">
        <v>60</v>
      </c>
      <c r="C791" t="s">
        <v>194</v>
      </c>
      <c r="D791" t="s">
        <v>214</v>
      </c>
      <c r="E791" t="s">
        <v>516</v>
      </c>
      <c r="G791" t="s">
        <v>1200</v>
      </c>
      <c r="H791" t="s">
        <v>1900</v>
      </c>
      <c r="J791" t="s">
        <v>2790</v>
      </c>
      <c r="K791" t="s">
        <v>3281</v>
      </c>
      <c r="L791" t="s">
        <v>3366</v>
      </c>
      <c r="M791" t="s">
        <v>3379</v>
      </c>
      <c r="N791">
        <v>11414</v>
      </c>
      <c r="O791" t="s">
        <v>3380</v>
      </c>
      <c r="P791" t="s">
        <v>3381</v>
      </c>
      <c r="Q791" t="s">
        <v>3383</v>
      </c>
      <c r="R791" t="s">
        <v>4019</v>
      </c>
      <c r="S791">
        <v>12</v>
      </c>
      <c r="T791" t="s">
        <v>4197</v>
      </c>
      <c r="U791" t="s">
        <v>4225</v>
      </c>
      <c r="W791" t="s">
        <v>4245</v>
      </c>
      <c r="X791" t="s">
        <v>3382</v>
      </c>
      <c r="Y791" t="s">
        <v>3382</v>
      </c>
      <c r="AA791" t="s">
        <v>4256</v>
      </c>
      <c r="AC791">
        <v>3800</v>
      </c>
      <c r="AD791">
        <v>3800</v>
      </c>
      <c r="AE791">
        <v>1.2</v>
      </c>
      <c r="AG791" t="s">
        <v>5037</v>
      </c>
      <c r="AI791" t="s">
        <v>6067</v>
      </c>
      <c r="AJ791">
        <v>0</v>
      </c>
      <c r="AK791" t="s">
        <v>6274</v>
      </c>
      <c r="AL791">
        <v>3</v>
      </c>
      <c r="AM791">
        <v>2</v>
      </c>
      <c r="AN791">
        <v>56.56</v>
      </c>
      <c r="AP791" t="s">
        <v>6284</v>
      </c>
      <c r="AQ791" t="s">
        <v>6288</v>
      </c>
      <c r="AR791" t="s">
        <v>5312</v>
      </c>
      <c r="AS791" t="s">
        <v>6299</v>
      </c>
      <c r="AT791">
        <v>16640</v>
      </c>
      <c r="AV791" t="s">
        <v>3380</v>
      </c>
      <c r="AX791" t="s">
        <v>184</v>
      </c>
      <c r="BA791" t="s">
        <v>6477</v>
      </c>
      <c r="BD791" t="s">
        <v>449</v>
      </c>
    </row>
    <row r="792" spans="1:57">
      <c r="A792" s="1">
        <f>HYPERLINK("https://lsnyc.legalserver.org/matter/dynamic-profile/view/1906961","19-1906961")</f>
        <v>0</v>
      </c>
      <c r="B792" t="s">
        <v>60</v>
      </c>
      <c r="C792" t="s">
        <v>194</v>
      </c>
      <c r="D792" t="s">
        <v>214</v>
      </c>
      <c r="E792" t="s">
        <v>498</v>
      </c>
      <c r="G792" t="s">
        <v>1201</v>
      </c>
      <c r="H792" t="s">
        <v>931</v>
      </c>
      <c r="J792" t="s">
        <v>2791</v>
      </c>
      <c r="K792" t="s">
        <v>3252</v>
      </c>
      <c r="L792" t="s">
        <v>3367</v>
      </c>
      <c r="M792" t="s">
        <v>3379</v>
      </c>
      <c r="N792">
        <v>11413</v>
      </c>
      <c r="O792" t="s">
        <v>3380</v>
      </c>
      <c r="P792" t="s">
        <v>3381</v>
      </c>
      <c r="Q792" t="s">
        <v>3383</v>
      </c>
      <c r="R792" t="s">
        <v>4020</v>
      </c>
      <c r="S792">
        <v>1</v>
      </c>
      <c r="T792" t="s">
        <v>4197</v>
      </c>
      <c r="U792" t="s">
        <v>4224</v>
      </c>
      <c r="W792" t="s">
        <v>4245</v>
      </c>
      <c r="X792" t="s">
        <v>3382</v>
      </c>
      <c r="Y792" t="s">
        <v>3382</v>
      </c>
      <c r="AA792" t="s">
        <v>4256</v>
      </c>
      <c r="AC792">
        <v>0</v>
      </c>
      <c r="AD792">
        <v>1000</v>
      </c>
      <c r="AE792">
        <v>1.33</v>
      </c>
      <c r="AG792" t="s">
        <v>5038</v>
      </c>
      <c r="AI792" t="s">
        <v>6068</v>
      </c>
      <c r="AJ792">
        <v>1</v>
      </c>
      <c r="AK792" t="s">
        <v>6274</v>
      </c>
      <c r="AL792">
        <v>2</v>
      </c>
      <c r="AM792">
        <v>1</v>
      </c>
      <c r="AN792">
        <v>137.27</v>
      </c>
      <c r="AR792" t="s">
        <v>5312</v>
      </c>
      <c r="AS792" t="s">
        <v>6298</v>
      </c>
      <c r="AT792">
        <v>29280</v>
      </c>
      <c r="AX792" t="s">
        <v>6441</v>
      </c>
      <c r="BA792" t="s">
        <v>6503</v>
      </c>
      <c r="BD792" t="s">
        <v>498</v>
      </c>
      <c r="BE792" t="s">
        <v>6702</v>
      </c>
    </row>
    <row r="793" spans="1:57">
      <c r="A793" s="1">
        <f>HYPERLINK("https://lsnyc.legalserver.org/matter/dynamic-profile/view/1902731","19-1902731")</f>
        <v>0</v>
      </c>
      <c r="B793" t="s">
        <v>60</v>
      </c>
      <c r="C793" t="s">
        <v>194</v>
      </c>
      <c r="D793" t="s">
        <v>214</v>
      </c>
      <c r="E793" t="s">
        <v>517</v>
      </c>
      <c r="G793" t="s">
        <v>1031</v>
      </c>
      <c r="H793" t="s">
        <v>1349</v>
      </c>
      <c r="J793" t="s">
        <v>2792</v>
      </c>
      <c r="K793" t="s">
        <v>3149</v>
      </c>
      <c r="L793" t="s">
        <v>3338</v>
      </c>
      <c r="M793" t="s">
        <v>3379</v>
      </c>
      <c r="N793">
        <v>11385</v>
      </c>
      <c r="O793" t="s">
        <v>3380</v>
      </c>
      <c r="P793" t="s">
        <v>3381</v>
      </c>
      <c r="Q793" t="s">
        <v>3383</v>
      </c>
      <c r="R793" t="s">
        <v>4021</v>
      </c>
      <c r="S793">
        <v>1</v>
      </c>
      <c r="T793" t="s">
        <v>4197</v>
      </c>
      <c r="U793" t="s">
        <v>4223</v>
      </c>
      <c r="W793" t="s">
        <v>4246</v>
      </c>
      <c r="X793" t="s">
        <v>3382</v>
      </c>
      <c r="Y793" t="s">
        <v>3382</v>
      </c>
      <c r="AA793" t="s">
        <v>4256</v>
      </c>
      <c r="AB793" t="s">
        <v>4261</v>
      </c>
      <c r="AC793">
        <v>0</v>
      </c>
      <c r="AD793">
        <v>1800</v>
      </c>
      <c r="AE793">
        <v>18.6</v>
      </c>
      <c r="AG793" t="s">
        <v>5039</v>
      </c>
      <c r="AI793" t="s">
        <v>6069</v>
      </c>
      <c r="AJ793">
        <v>2</v>
      </c>
      <c r="AK793" t="s">
        <v>6266</v>
      </c>
      <c r="AL793">
        <v>4</v>
      </c>
      <c r="AM793">
        <v>0</v>
      </c>
      <c r="AN793">
        <v>103.77</v>
      </c>
      <c r="AR793" t="s">
        <v>5312</v>
      </c>
      <c r="AS793" t="s">
        <v>6298</v>
      </c>
      <c r="AT793">
        <v>26720</v>
      </c>
      <c r="AX793" t="s">
        <v>6441</v>
      </c>
      <c r="BA793" t="s">
        <v>6584</v>
      </c>
      <c r="BD793" t="s">
        <v>238</v>
      </c>
      <c r="BE793" t="s">
        <v>6702</v>
      </c>
    </row>
    <row r="794" spans="1:57">
      <c r="A794" s="1">
        <f>HYPERLINK("https://lsnyc.legalserver.org/matter/dynamic-profile/view/1906987","19-1906987")</f>
        <v>0</v>
      </c>
      <c r="B794" t="s">
        <v>60</v>
      </c>
      <c r="C794" t="s">
        <v>194</v>
      </c>
      <c r="D794" t="s">
        <v>214</v>
      </c>
      <c r="E794" t="s">
        <v>498</v>
      </c>
      <c r="G794" t="s">
        <v>682</v>
      </c>
      <c r="H794" t="s">
        <v>1441</v>
      </c>
      <c r="J794" t="s">
        <v>2793</v>
      </c>
      <c r="K794" t="s">
        <v>3138</v>
      </c>
      <c r="L794" t="s">
        <v>3338</v>
      </c>
      <c r="M794" t="s">
        <v>3379</v>
      </c>
      <c r="N794">
        <v>11385</v>
      </c>
      <c r="O794" t="s">
        <v>3380</v>
      </c>
      <c r="P794" t="s">
        <v>3381</v>
      </c>
      <c r="Q794" t="s">
        <v>3383</v>
      </c>
      <c r="R794" t="s">
        <v>4022</v>
      </c>
      <c r="S794">
        <v>1</v>
      </c>
      <c r="T794" t="s">
        <v>4197</v>
      </c>
      <c r="U794" t="s">
        <v>4223</v>
      </c>
      <c r="W794" t="s">
        <v>4246</v>
      </c>
      <c r="X794" t="s">
        <v>3382</v>
      </c>
      <c r="Y794" t="s">
        <v>3382</v>
      </c>
      <c r="AA794" t="s">
        <v>4256</v>
      </c>
      <c r="AB794" t="s">
        <v>4261</v>
      </c>
      <c r="AC794">
        <v>0</v>
      </c>
      <c r="AD794">
        <v>1200</v>
      </c>
      <c r="AE794">
        <v>26.2</v>
      </c>
      <c r="AG794" t="s">
        <v>5040</v>
      </c>
      <c r="AI794" t="s">
        <v>6070</v>
      </c>
      <c r="AJ794">
        <v>3</v>
      </c>
      <c r="AK794" t="s">
        <v>6274</v>
      </c>
      <c r="AL794">
        <v>1</v>
      </c>
      <c r="AM794">
        <v>0</v>
      </c>
      <c r="AN794">
        <v>0</v>
      </c>
      <c r="AT794">
        <v>0</v>
      </c>
      <c r="AX794" t="s">
        <v>196</v>
      </c>
      <c r="BA794" t="s">
        <v>6479</v>
      </c>
      <c r="BD794" t="s">
        <v>221</v>
      </c>
      <c r="BE794" t="s">
        <v>6702</v>
      </c>
    </row>
    <row r="795" spans="1:57">
      <c r="A795" s="1">
        <f>HYPERLINK("https://lsnyc.legalserver.org/matter/dynamic-profile/view/1913146","19-1913146")</f>
        <v>0</v>
      </c>
      <c r="B795" t="s">
        <v>60</v>
      </c>
      <c r="C795" t="s">
        <v>194</v>
      </c>
      <c r="D795" t="s">
        <v>214</v>
      </c>
      <c r="E795" t="s">
        <v>219</v>
      </c>
      <c r="G795" t="s">
        <v>1202</v>
      </c>
      <c r="H795" t="s">
        <v>1901</v>
      </c>
      <c r="J795" t="s">
        <v>2794</v>
      </c>
      <c r="K795" t="s">
        <v>3189</v>
      </c>
      <c r="L795" t="s">
        <v>3338</v>
      </c>
      <c r="M795" t="s">
        <v>3379</v>
      </c>
      <c r="N795">
        <v>11385</v>
      </c>
      <c r="O795" t="s">
        <v>3381</v>
      </c>
      <c r="P795" t="s">
        <v>3381</v>
      </c>
      <c r="Q795" t="s">
        <v>3383</v>
      </c>
      <c r="R795" t="s">
        <v>4023</v>
      </c>
      <c r="S795">
        <v>25</v>
      </c>
      <c r="T795" t="s">
        <v>4197</v>
      </c>
      <c r="U795" t="s">
        <v>4223</v>
      </c>
      <c r="W795" t="s">
        <v>4246</v>
      </c>
      <c r="X795" t="s">
        <v>3382</v>
      </c>
      <c r="Y795" t="s">
        <v>3382</v>
      </c>
      <c r="AA795" t="s">
        <v>4256</v>
      </c>
      <c r="AB795" t="s">
        <v>4261</v>
      </c>
      <c r="AC795">
        <v>0</v>
      </c>
      <c r="AD795">
        <v>861.25</v>
      </c>
      <c r="AE795">
        <v>3</v>
      </c>
      <c r="AG795" t="s">
        <v>5041</v>
      </c>
      <c r="AI795" t="s">
        <v>6071</v>
      </c>
      <c r="AJ795">
        <v>6</v>
      </c>
      <c r="AK795" t="s">
        <v>6267</v>
      </c>
      <c r="AL795">
        <v>2</v>
      </c>
      <c r="AM795">
        <v>2</v>
      </c>
      <c r="AN795">
        <v>52.75</v>
      </c>
      <c r="AS795" t="s">
        <v>6298</v>
      </c>
      <c r="AT795">
        <v>13584</v>
      </c>
      <c r="AX795" t="s">
        <v>6441</v>
      </c>
      <c r="BA795" t="s">
        <v>6585</v>
      </c>
      <c r="BD795" t="s">
        <v>266</v>
      </c>
    </row>
    <row r="796" spans="1:57">
      <c r="A796" s="1">
        <f>HYPERLINK("https://lsnyc.legalserver.org/matter/dynamic-profile/view/1864532","18-1864532")</f>
        <v>0</v>
      </c>
      <c r="B796" t="s">
        <v>60</v>
      </c>
      <c r="C796" t="s">
        <v>194</v>
      </c>
      <c r="D796" t="s">
        <v>214</v>
      </c>
      <c r="E796" t="s">
        <v>518</v>
      </c>
      <c r="G796" t="s">
        <v>1203</v>
      </c>
      <c r="H796" t="s">
        <v>1902</v>
      </c>
      <c r="J796" t="s">
        <v>2795</v>
      </c>
      <c r="K796" t="s">
        <v>3282</v>
      </c>
      <c r="L796" t="s">
        <v>3363</v>
      </c>
      <c r="M796" t="s">
        <v>3379</v>
      </c>
      <c r="N796">
        <v>11375</v>
      </c>
      <c r="O796" t="s">
        <v>3380</v>
      </c>
      <c r="P796" t="s">
        <v>3381</v>
      </c>
      <c r="Q796" t="s">
        <v>3394</v>
      </c>
      <c r="R796" t="s">
        <v>4024</v>
      </c>
      <c r="S796">
        <v>4</v>
      </c>
      <c r="T796" t="s">
        <v>4196</v>
      </c>
      <c r="U796" t="s">
        <v>4223</v>
      </c>
      <c r="W796" t="s">
        <v>4245</v>
      </c>
      <c r="X796" t="s">
        <v>3382</v>
      </c>
      <c r="Y796" t="s">
        <v>3380</v>
      </c>
      <c r="AA796" t="s">
        <v>4256</v>
      </c>
      <c r="AC796">
        <v>2100</v>
      </c>
      <c r="AD796">
        <v>2100</v>
      </c>
      <c r="AE796">
        <v>34.25</v>
      </c>
      <c r="AG796" t="s">
        <v>5042</v>
      </c>
      <c r="AI796" t="s">
        <v>6072</v>
      </c>
      <c r="AJ796">
        <v>1348</v>
      </c>
      <c r="AL796">
        <v>2</v>
      </c>
      <c r="AM796">
        <v>0</v>
      </c>
      <c r="AN796">
        <v>191.88</v>
      </c>
      <c r="AQ796" t="s">
        <v>6287</v>
      </c>
      <c r="AS796" t="s">
        <v>6298</v>
      </c>
      <c r="AT796">
        <v>31584</v>
      </c>
      <c r="AX796" t="s">
        <v>198</v>
      </c>
      <c r="BA796" t="s">
        <v>6474</v>
      </c>
      <c r="BD796" t="s">
        <v>424</v>
      </c>
    </row>
    <row r="797" spans="1:57">
      <c r="A797" s="1">
        <f>HYPERLINK("https://lsnyc.legalserver.org/matter/dynamic-profile/view/1903552","19-1903552")</f>
        <v>0</v>
      </c>
      <c r="B797" t="s">
        <v>60</v>
      </c>
      <c r="C797" t="s">
        <v>194</v>
      </c>
      <c r="D797" t="s">
        <v>214</v>
      </c>
      <c r="E797" t="s">
        <v>499</v>
      </c>
      <c r="G797" t="s">
        <v>588</v>
      </c>
      <c r="H797" t="s">
        <v>1903</v>
      </c>
      <c r="J797" t="s">
        <v>2796</v>
      </c>
      <c r="K797" t="s">
        <v>3252</v>
      </c>
      <c r="L797" t="s">
        <v>3343</v>
      </c>
      <c r="M797" t="s">
        <v>3379</v>
      </c>
      <c r="N797">
        <v>11368</v>
      </c>
      <c r="O797" t="s">
        <v>3380</v>
      </c>
      <c r="P797" t="s">
        <v>3381</v>
      </c>
      <c r="Q797" t="s">
        <v>3383</v>
      </c>
      <c r="R797" t="s">
        <v>4025</v>
      </c>
      <c r="S797">
        <v>9</v>
      </c>
      <c r="T797" t="s">
        <v>4197</v>
      </c>
      <c r="U797" t="s">
        <v>4224</v>
      </c>
      <c r="W797" t="s">
        <v>4245</v>
      </c>
      <c r="X797" t="s">
        <v>3382</v>
      </c>
      <c r="Y797" t="s">
        <v>3380</v>
      </c>
      <c r="AA797" t="s">
        <v>4256</v>
      </c>
      <c r="AC797">
        <v>0</v>
      </c>
      <c r="AD797">
        <v>850</v>
      </c>
      <c r="AE797">
        <v>1.5</v>
      </c>
      <c r="AG797" t="s">
        <v>5043</v>
      </c>
      <c r="AJ797">
        <v>3</v>
      </c>
      <c r="AL797">
        <v>1</v>
      </c>
      <c r="AM797">
        <v>0</v>
      </c>
      <c r="AN797">
        <v>120.74</v>
      </c>
      <c r="AR797" t="s">
        <v>5312</v>
      </c>
      <c r="AS797" t="s">
        <v>6299</v>
      </c>
      <c r="AT797">
        <v>15080</v>
      </c>
      <c r="AX797" t="s">
        <v>6441</v>
      </c>
      <c r="BA797" t="s">
        <v>6532</v>
      </c>
      <c r="BD797" t="s">
        <v>499</v>
      </c>
      <c r="BE797" t="s">
        <v>6702</v>
      </c>
    </row>
    <row r="798" spans="1:57">
      <c r="A798" s="1">
        <f>HYPERLINK("https://lsnyc.legalserver.org/matter/dynamic-profile/view/0770949","15-0770949")</f>
        <v>0</v>
      </c>
      <c r="B798" t="s">
        <v>60</v>
      </c>
      <c r="C798" t="s">
        <v>194</v>
      </c>
      <c r="D798" t="s">
        <v>214</v>
      </c>
      <c r="E798" t="s">
        <v>519</v>
      </c>
      <c r="G798" t="s">
        <v>837</v>
      </c>
      <c r="H798" t="s">
        <v>1525</v>
      </c>
      <c r="J798" t="s">
        <v>2797</v>
      </c>
      <c r="K798" t="s">
        <v>3189</v>
      </c>
      <c r="L798" t="s">
        <v>3343</v>
      </c>
      <c r="M798" t="s">
        <v>3379</v>
      </c>
      <c r="N798">
        <v>11368</v>
      </c>
      <c r="O798" t="s">
        <v>3381</v>
      </c>
      <c r="P798" t="s">
        <v>3381</v>
      </c>
      <c r="R798" t="s">
        <v>4026</v>
      </c>
      <c r="S798">
        <v>0</v>
      </c>
      <c r="T798" t="s">
        <v>4196</v>
      </c>
      <c r="U798" t="s">
        <v>4223</v>
      </c>
      <c r="W798" t="s">
        <v>4245</v>
      </c>
      <c r="X798" t="s">
        <v>3382</v>
      </c>
      <c r="AA798" t="s">
        <v>4256</v>
      </c>
      <c r="AC798">
        <v>0</v>
      </c>
      <c r="AD798">
        <v>0</v>
      </c>
      <c r="AE798">
        <v>103.8</v>
      </c>
      <c r="AG798" t="s">
        <v>5044</v>
      </c>
      <c r="AI798" t="s">
        <v>6073</v>
      </c>
      <c r="AJ798">
        <v>0</v>
      </c>
      <c r="AL798">
        <v>2</v>
      </c>
      <c r="AM798">
        <v>1</v>
      </c>
      <c r="AN798">
        <v>172.54</v>
      </c>
      <c r="AS798" t="s">
        <v>6298</v>
      </c>
      <c r="AT798">
        <v>34664</v>
      </c>
      <c r="AX798" t="s">
        <v>188</v>
      </c>
      <c r="AY798" t="s">
        <v>6461</v>
      </c>
      <c r="AZ798" t="s">
        <v>6471</v>
      </c>
      <c r="BA798" t="s">
        <v>6476</v>
      </c>
      <c r="BB798" t="s">
        <v>6602</v>
      </c>
      <c r="BC798" t="s">
        <v>6630</v>
      </c>
      <c r="BD798" t="s">
        <v>6677</v>
      </c>
    </row>
    <row r="799" spans="1:57">
      <c r="A799" s="1">
        <f>HYPERLINK("https://lsnyc.legalserver.org/matter/dynamic-profile/view/1900456","19-1900456")</f>
        <v>0</v>
      </c>
      <c r="B799" t="s">
        <v>60</v>
      </c>
      <c r="C799" t="s">
        <v>194</v>
      </c>
      <c r="D799" t="s">
        <v>214</v>
      </c>
      <c r="E799" t="s">
        <v>396</v>
      </c>
      <c r="G799" t="s">
        <v>1142</v>
      </c>
      <c r="H799" t="s">
        <v>1904</v>
      </c>
      <c r="J799" t="s">
        <v>2798</v>
      </c>
      <c r="K799" t="s">
        <v>3283</v>
      </c>
      <c r="L799" t="s">
        <v>3355</v>
      </c>
      <c r="M799" t="s">
        <v>3379</v>
      </c>
      <c r="N799">
        <v>11367</v>
      </c>
      <c r="O799" t="s">
        <v>3380</v>
      </c>
      <c r="P799" t="s">
        <v>3381</v>
      </c>
      <c r="R799" t="s">
        <v>4027</v>
      </c>
      <c r="S799">
        <v>6</v>
      </c>
      <c r="T799" t="s">
        <v>4196</v>
      </c>
      <c r="U799" t="s">
        <v>4223</v>
      </c>
      <c r="W799" t="s">
        <v>4245</v>
      </c>
      <c r="X799" t="s">
        <v>3382</v>
      </c>
      <c r="Y799" t="s">
        <v>3382</v>
      </c>
      <c r="AA799" t="s">
        <v>4256</v>
      </c>
      <c r="AB799" t="s">
        <v>4261</v>
      </c>
      <c r="AC799">
        <v>0</v>
      </c>
      <c r="AD799">
        <v>1396.94</v>
      </c>
      <c r="AE799">
        <v>21.65</v>
      </c>
      <c r="AG799" t="s">
        <v>4903</v>
      </c>
      <c r="AI799" t="s">
        <v>6074</v>
      </c>
      <c r="AJ799">
        <v>174</v>
      </c>
      <c r="AK799" t="s">
        <v>6267</v>
      </c>
      <c r="AL799">
        <v>1</v>
      </c>
      <c r="AM799">
        <v>0</v>
      </c>
      <c r="AN799">
        <v>117.12</v>
      </c>
      <c r="AR799" t="s">
        <v>5312</v>
      </c>
      <c r="AS799" t="s">
        <v>6298</v>
      </c>
      <c r="AT799">
        <v>14628</v>
      </c>
      <c r="AX799" t="s">
        <v>6447</v>
      </c>
      <c r="BA799" t="s">
        <v>6487</v>
      </c>
      <c r="BD799" t="s">
        <v>528</v>
      </c>
      <c r="BE799" t="s">
        <v>6702</v>
      </c>
    </row>
    <row r="800" spans="1:57">
      <c r="A800" s="1">
        <f>HYPERLINK("https://lsnyc.legalserver.org/matter/dynamic-profile/view/1909463","19-1909463")</f>
        <v>0</v>
      </c>
      <c r="B800" t="s">
        <v>60</v>
      </c>
      <c r="C800" t="s">
        <v>194</v>
      </c>
      <c r="D800" t="s">
        <v>214</v>
      </c>
      <c r="E800" t="s">
        <v>304</v>
      </c>
      <c r="G800" t="s">
        <v>1142</v>
      </c>
      <c r="H800" t="s">
        <v>1904</v>
      </c>
      <c r="J800" t="s">
        <v>2798</v>
      </c>
      <c r="K800" t="s">
        <v>3283</v>
      </c>
      <c r="L800" t="s">
        <v>3355</v>
      </c>
      <c r="M800" t="s">
        <v>3379</v>
      </c>
      <c r="N800">
        <v>11367</v>
      </c>
      <c r="O800" t="s">
        <v>3380</v>
      </c>
      <c r="P800" t="s">
        <v>3381</v>
      </c>
      <c r="Q800" t="s">
        <v>3386</v>
      </c>
      <c r="R800" t="s">
        <v>4028</v>
      </c>
      <c r="S800">
        <v>6</v>
      </c>
      <c r="T800" t="s">
        <v>4196</v>
      </c>
      <c r="U800" t="s">
        <v>4224</v>
      </c>
      <c r="W800" t="s">
        <v>4245</v>
      </c>
      <c r="X800" t="s">
        <v>3382</v>
      </c>
      <c r="Y800" t="s">
        <v>3382</v>
      </c>
      <c r="AA800" t="s">
        <v>4256</v>
      </c>
      <c r="AB800" t="s">
        <v>4261</v>
      </c>
      <c r="AC800">
        <v>0</v>
      </c>
      <c r="AD800">
        <v>1396.64</v>
      </c>
      <c r="AE800">
        <v>17.5</v>
      </c>
      <c r="AG800" t="s">
        <v>4903</v>
      </c>
      <c r="AI800" t="s">
        <v>6074</v>
      </c>
      <c r="AJ800">
        <v>174</v>
      </c>
      <c r="AK800" t="s">
        <v>6267</v>
      </c>
      <c r="AL800">
        <v>1</v>
      </c>
      <c r="AM800">
        <v>0</v>
      </c>
      <c r="AN800">
        <v>117.12</v>
      </c>
      <c r="AR800" t="s">
        <v>5312</v>
      </c>
      <c r="AS800" t="s">
        <v>6298</v>
      </c>
      <c r="AT800">
        <v>14628</v>
      </c>
      <c r="AX800" t="s">
        <v>6442</v>
      </c>
      <c r="BA800" t="s">
        <v>6487</v>
      </c>
      <c r="BD800" t="s">
        <v>267</v>
      </c>
      <c r="BE800" t="s">
        <v>6702</v>
      </c>
    </row>
    <row r="801" spans="1:57">
      <c r="A801" s="1">
        <f>HYPERLINK("https://lsnyc.legalserver.org/matter/dynamic-profile/view/0778307","15-0778307")</f>
        <v>0</v>
      </c>
      <c r="B801" t="s">
        <v>60</v>
      </c>
      <c r="C801" t="s">
        <v>194</v>
      </c>
      <c r="D801" t="s">
        <v>214</v>
      </c>
      <c r="E801" t="s">
        <v>520</v>
      </c>
      <c r="G801" t="s">
        <v>1204</v>
      </c>
      <c r="H801" t="s">
        <v>1905</v>
      </c>
      <c r="J801" t="s">
        <v>2799</v>
      </c>
      <c r="K801" t="s">
        <v>3145</v>
      </c>
      <c r="L801" t="s">
        <v>3346</v>
      </c>
      <c r="M801" t="s">
        <v>3379</v>
      </c>
      <c r="N801">
        <v>11105</v>
      </c>
      <c r="O801" t="s">
        <v>3381</v>
      </c>
      <c r="P801" t="s">
        <v>3381</v>
      </c>
      <c r="S801">
        <v>0</v>
      </c>
      <c r="T801" t="s">
        <v>4197</v>
      </c>
      <c r="W801" t="s">
        <v>4245</v>
      </c>
      <c r="X801" t="s">
        <v>3382</v>
      </c>
      <c r="AA801" t="s">
        <v>4256</v>
      </c>
      <c r="AC801">
        <v>0</v>
      </c>
      <c r="AD801">
        <v>0</v>
      </c>
      <c r="AE801">
        <v>200.8</v>
      </c>
      <c r="AG801" t="s">
        <v>5045</v>
      </c>
      <c r="AI801" t="s">
        <v>6075</v>
      </c>
      <c r="AJ801">
        <v>0</v>
      </c>
      <c r="AL801">
        <v>3</v>
      </c>
      <c r="AM801">
        <v>2</v>
      </c>
      <c r="AN801">
        <v>28.28</v>
      </c>
      <c r="AS801" t="s">
        <v>6304</v>
      </c>
      <c r="AT801">
        <v>8034</v>
      </c>
      <c r="AX801" t="s">
        <v>196</v>
      </c>
      <c r="BA801" t="s">
        <v>6483</v>
      </c>
      <c r="BD801" t="s">
        <v>558</v>
      </c>
    </row>
    <row r="802" spans="1:57">
      <c r="A802" s="1">
        <f>HYPERLINK("https://lsnyc.legalserver.org/matter/dynamic-profile/view/1912930","19-1912930")</f>
        <v>0</v>
      </c>
      <c r="B802" t="s">
        <v>60</v>
      </c>
      <c r="C802" t="s">
        <v>194</v>
      </c>
      <c r="D802" t="s">
        <v>214</v>
      </c>
      <c r="E802" t="s">
        <v>305</v>
      </c>
      <c r="G802" t="s">
        <v>1205</v>
      </c>
      <c r="H802" t="s">
        <v>1906</v>
      </c>
      <c r="J802" t="s">
        <v>2800</v>
      </c>
      <c r="K802" t="s">
        <v>3284</v>
      </c>
      <c r="L802" t="s">
        <v>3368</v>
      </c>
      <c r="M802" t="s">
        <v>3379</v>
      </c>
      <c r="N802">
        <v>11104</v>
      </c>
      <c r="O802" t="s">
        <v>3380</v>
      </c>
      <c r="P802" t="s">
        <v>3381</v>
      </c>
      <c r="Q802" t="s">
        <v>3383</v>
      </c>
      <c r="R802" t="s">
        <v>4029</v>
      </c>
      <c r="S802">
        <v>4</v>
      </c>
      <c r="T802" t="s">
        <v>4197</v>
      </c>
      <c r="W802" t="s">
        <v>4245</v>
      </c>
      <c r="X802" t="s">
        <v>3382</v>
      </c>
      <c r="AA802" t="s">
        <v>4256</v>
      </c>
      <c r="AC802">
        <v>0</v>
      </c>
      <c r="AD802">
        <v>1073</v>
      </c>
      <c r="AE802">
        <v>2.1</v>
      </c>
      <c r="AG802" t="s">
        <v>5046</v>
      </c>
      <c r="AI802" t="s">
        <v>6076</v>
      </c>
      <c r="AJ802">
        <v>100</v>
      </c>
      <c r="AK802" t="s">
        <v>6267</v>
      </c>
      <c r="AL802">
        <v>1</v>
      </c>
      <c r="AM802">
        <v>0</v>
      </c>
      <c r="AN802">
        <v>73.20999999999999</v>
      </c>
      <c r="AR802" t="s">
        <v>5312</v>
      </c>
      <c r="AS802" t="s">
        <v>6298</v>
      </c>
      <c r="AT802">
        <v>9144</v>
      </c>
      <c r="AX802" t="s">
        <v>196</v>
      </c>
      <c r="BA802" t="s">
        <v>6511</v>
      </c>
      <c r="BD802" t="s">
        <v>237</v>
      </c>
    </row>
    <row r="803" spans="1:57">
      <c r="A803" s="1">
        <f>HYPERLINK("https://lsnyc.legalserver.org/matter/dynamic-profile/view/0778715","15-0778715")</f>
        <v>0</v>
      </c>
      <c r="B803" t="s">
        <v>60</v>
      </c>
      <c r="C803" t="s">
        <v>194</v>
      </c>
      <c r="D803" t="s">
        <v>214</v>
      </c>
      <c r="E803" t="s">
        <v>521</v>
      </c>
      <c r="G803" t="s">
        <v>1206</v>
      </c>
      <c r="H803" t="s">
        <v>1907</v>
      </c>
      <c r="J803" t="s">
        <v>2801</v>
      </c>
      <c r="K803">
        <v>4</v>
      </c>
      <c r="L803" t="s">
        <v>3346</v>
      </c>
      <c r="M803" t="s">
        <v>3379</v>
      </c>
      <c r="N803">
        <v>11103</v>
      </c>
      <c r="O803" t="s">
        <v>3380</v>
      </c>
      <c r="P803" t="s">
        <v>3381</v>
      </c>
      <c r="S803">
        <v>0</v>
      </c>
      <c r="T803" t="s">
        <v>4197</v>
      </c>
      <c r="U803" t="s">
        <v>4223</v>
      </c>
      <c r="W803" t="s">
        <v>4247</v>
      </c>
      <c r="X803" t="s">
        <v>3382</v>
      </c>
      <c r="Z803" t="s">
        <v>4245</v>
      </c>
      <c r="AA803" t="s">
        <v>4256</v>
      </c>
      <c r="AC803">
        <v>0</v>
      </c>
      <c r="AD803">
        <v>0</v>
      </c>
      <c r="AE803">
        <v>235.55</v>
      </c>
      <c r="AG803" t="s">
        <v>5047</v>
      </c>
      <c r="AI803" t="s">
        <v>6077</v>
      </c>
      <c r="AJ803">
        <v>0</v>
      </c>
      <c r="AK803" t="s">
        <v>6267</v>
      </c>
      <c r="AL803">
        <v>2</v>
      </c>
      <c r="AM803">
        <v>0</v>
      </c>
      <c r="AN803">
        <v>54.46</v>
      </c>
      <c r="AS803" t="s">
        <v>6298</v>
      </c>
      <c r="AT803">
        <v>8676</v>
      </c>
      <c r="AX803" t="s">
        <v>196</v>
      </c>
      <c r="BA803" t="s">
        <v>6499</v>
      </c>
      <c r="BD803" t="s">
        <v>290</v>
      </c>
    </row>
    <row r="804" spans="1:57">
      <c r="A804" s="1">
        <f>HYPERLINK("https://lsnyc.legalserver.org/matter/dynamic-profile/view/1901014","19-1901014")</f>
        <v>0</v>
      </c>
      <c r="B804" t="s">
        <v>60</v>
      </c>
      <c r="C804" t="s">
        <v>194</v>
      </c>
      <c r="D804" t="s">
        <v>214</v>
      </c>
      <c r="E804" t="s">
        <v>261</v>
      </c>
      <c r="G804" t="s">
        <v>1207</v>
      </c>
      <c r="H804" t="s">
        <v>1908</v>
      </c>
      <c r="J804" t="s">
        <v>2802</v>
      </c>
      <c r="K804" t="s">
        <v>3025</v>
      </c>
      <c r="L804" t="s">
        <v>3346</v>
      </c>
      <c r="M804" t="s">
        <v>3379</v>
      </c>
      <c r="N804">
        <v>11103</v>
      </c>
      <c r="O804" t="s">
        <v>3381</v>
      </c>
      <c r="P804" t="s">
        <v>3381</v>
      </c>
      <c r="Q804" t="s">
        <v>3383</v>
      </c>
      <c r="R804" t="s">
        <v>4030</v>
      </c>
      <c r="S804">
        <v>7</v>
      </c>
      <c r="T804" t="s">
        <v>4196</v>
      </c>
      <c r="U804" t="s">
        <v>4223</v>
      </c>
      <c r="W804" t="s">
        <v>4245</v>
      </c>
      <c r="X804" t="s">
        <v>3382</v>
      </c>
      <c r="AA804" t="s">
        <v>4256</v>
      </c>
      <c r="AC804">
        <v>0</v>
      </c>
      <c r="AD804">
        <v>1168</v>
      </c>
      <c r="AE804">
        <v>22.2</v>
      </c>
      <c r="AG804" t="s">
        <v>5048</v>
      </c>
      <c r="AI804" t="s">
        <v>6078</v>
      </c>
      <c r="AJ804">
        <v>60</v>
      </c>
      <c r="AK804" t="s">
        <v>6267</v>
      </c>
      <c r="AL804">
        <v>2</v>
      </c>
      <c r="AM804">
        <v>0</v>
      </c>
      <c r="AN804">
        <v>64.86</v>
      </c>
      <c r="AR804" t="s">
        <v>5312</v>
      </c>
      <c r="AS804" t="s">
        <v>6298</v>
      </c>
      <c r="AT804">
        <v>10968</v>
      </c>
      <c r="AX804" t="s">
        <v>196</v>
      </c>
      <c r="BA804" t="s">
        <v>6491</v>
      </c>
      <c r="BD804" t="s">
        <v>227</v>
      </c>
    </row>
    <row r="805" spans="1:57">
      <c r="A805" s="1">
        <f>HYPERLINK("https://lsnyc.legalserver.org/matter/dynamic-profile/view/1915055","19-1915055")</f>
        <v>0</v>
      </c>
      <c r="B805" t="s">
        <v>60</v>
      </c>
      <c r="C805" t="s">
        <v>139</v>
      </c>
      <c r="D805" t="s">
        <v>214</v>
      </c>
      <c r="E805" t="s">
        <v>237</v>
      </c>
      <c r="G805" t="s">
        <v>615</v>
      </c>
      <c r="H805" t="s">
        <v>1909</v>
      </c>
      <c r="J805" t="s">
        <v>2803</v>
      </c>
      <c r="K805" t="s">
        <v>3087</v>
      </c>
      <c r="L805" t="s">
        <v>3357</v>
      </c>
      <c r="M805" t="s">
        <v>3379</v>
      </c>
      <c r="N805">
        <v>11385</v>
      </c>
      <c r="O805" t="s">
        <v>3380</v>
      </c>
      <c r="P805" t="s">
        <v>3381</v>
      </c>
      <c r="Q805" t="s">
        <v>3384</v>
      </c>
      <c r="R805" t="s">
        <v>4031</v>
      </c>
      <c r="S805">
        <v>7</v>
      </c>
      <c r="T805" t="s">
        <v>4196</v>
      </c>
      <c r="U805" t="s">
        <v>4224</v>
      </c>
      <c r="W805" t="s">
        <v>4246</v>
      </c>
      <c r="X805" t="s">
        <v>3382</v>
      </c>
      <c r="Y805" t="s">
        <v>3382</v>
      </c>
      <c r="AA805" t="s">
        <v>4256</v>
      </c>
      <c r="AC805">
        <v>0</v>
      </c>
      <c r="AD805">
        <v>0</v>
      </c>
      <c r="AE805">
        <v>0.83</v>
      </c>
      <c r="AG805" t="s">
        <v>5049</v>
      </c>
      <c r="AI805" t="s">
        <v>6079</v>
      </c>
      <c r="AJ805">
        <v>2</v>
      </c>
      <c r="AL805">
        <v>1</v>
      </c>
      <c r="AM805">
        <v>0</v>
      </c>
      <c r="AN805">
        <v>210.25</v>
      </c>
      <c r="AR805" t="s">
        <v>5312</v>
      </c>
      <c r="AS805" t="s">
        <v>6298</v>
      </c>
      <c r="AT805">
        <v>26260</v>
      </c>
      <c r="AX805" t="s">
        <v>6441</v>
      </c>
      <c r="BA805" t="s">
        <v>6485</v>
      </c>
      <c r="BD805" t="s">
        <v>231</v>
      </c>
      <c r="BE805" t="s">
        <v>6702</v>
      </c>
    </row>
    <row r="806" spans="1:57">
      <c r="A806" s="1">
        <f>HYPERLINK("https://lsnyc.legalserver.org/matter/dynamic-profile/view/1915185","19-1915185")</f>
        <v>0</v>
      </c>
      <c r="B806" t="s">
        <v>60</v>
      </c>
      <c r="C806" t="s">
        <v>139</v>
      </c>
      <c r="D806" t="s">
        <v>214</v>
      </c>
      <c r="E806" t="s">
        <v>275</v>
      </c>
      <c r="G806" t="s">
        <v>1208</v>
      </c>
      <c r="H806" t="s">
        <v>1830</v>
      </c>
      <c r="J806" t="s">
        <v>2804</v>
      </c>
      <c r="K806" t="s">
        <v>3101</v>
      </c>
      <c r="L806" t="s">
        <v>3368</v>
      </c>
      <c r="M806" t="s">
        <v>3379</v>
      </c>
      <c r="N806">
        <v>11104</v>
      </c>
      <c r="O806" t="s">
        <v>3380</v>
      </c>
      <c r="P806" t="s">
        <v>3381</v>
      </c>
      <c r="Q806" t="s">
        <v>3383</v>
      </c>
      <c r="R806" t="s">
        <v>4032</v>
      </c>
      <c r="S806">
        <v>1</v>
      </c>
      <c r="T806" t="s">
        <v>4197</v>
      </c>
      <c r="U806" t="s">
        <v>4225</v>
      </c>
      <c r="W806" t="s">
        <v>4245</v>
      </c>
      <c r="X806" t="s">
        <v>3382</v>
      </c>
      <c r="Y806" t="s">
        <v>3382</v>
      </c>
      <c r="AA806" t="s">
        <v>4256</v>
      </c>
      <c r="AC806">
        <v>0</v>
      </c>
      <c r="AD806">
        <v>1500</v>
      </c>
      <c r="AE806">
        <v>1</v>
      </c>
      <c r="AG806" t="s">
        <v>5050</v>
      </c>
      <c r="AI806" t="s">
        <v>6080</v>
      </c>
      <c r="AJ806">
        <v>46</v>
      </c>
      <c r="AK806" t="s">
        <v>6267</v>
      </c>
      <c r="AL806">
        <v>2</v>
      </c>
      <c r="AM806">
        <v>0</v>
      </c>
      <c r="AN806">
        <v>30.75</v>
      </c>
      <c r="AT806">
        <v>5200</v>
      </c>
      <c r="AX806" t="s">
        <v>196</v>
      </c>
      <c r="BA806" t="s">
        <v>6477</v>
      </c>
      <c r="BD806" t="s">
        <v>231</v>
      </c>
    </row>
    <row r="807" spans="1:57">
      <c r="A807" s="1">
        <f>HYPERLINK("https://lsnyc.legalserver.org/matter/dynamic-profile/view/1912282","19-1912282")</f>
        <v>0</v>
      </c>
      <c r="B807" t="s">
        <v>60</v>
      </c>
      <c r="C807" t="s">
        <v>195</v>
      </c>
      <c r="D807" t="s">
        <v>214</v>
      </c>
      <c r="E807" t="s">
        <v>268</v>
      </c>
      <c r="G807" t="s">
        <v>784</v>
      </c>
      <c r="H807" t="s">
        <v>1910</v>
      </c>
      <c r="J807" t="s">
        <v>2805</v>
      </c>
      <c r="K807" t="s">
        <v>3038</v>
      </c>
      <c r="L807" t="s">
        <v>3333</v>
      </c>
      <c r="M807" t="s">
        <v>3379</v>
      </c>
      <c r="N807">
        <v>11433</v>
      </c>
      <c r="O807" t="s">
        <v>3380</v>
      </c>
      <c r="P807" t="s">
        <v>3381</v>
      </c>
      <c r="Q807" t="s">
        <v>3384</v>
      </c>
      <c r="R807" t="s">
        <v>4033</v>
      </c>
      <c r="S807">
        <v>23</v>
      </c>
      <c r="T807" t="s">
        <v>4196</v>
      </c>
      <c r="U807" t="s">
        <v>4224</v>
      </c>
      <c r="W807" t="s">
        <v>4246</v>
      </c>
      <c r="X807" t="s">
        <v>3382</v>
      </c>
      <c r="Y807" t="s">
        <v>3382</v>
      </c>
      <c r="AA807" t="s">
        <v>4258</v>
      </c>
      <c r="AC807">
        <v>0</v>
      </c>
      <c r="AD807">
        <v>300</v>
      </c>
      <c r="AE807">
        <v>2.2</v>
      </c>
      <c r="AG807" t="s">
        <v>5051</v>
      </c>
      <c r="AI807" t="s">
        <v>6081</v>
      </c>
      <c r="AJ807">
        <v>9</v>
      </c>
      <c r="AK807" t="s">
        <v>6278</v>
      </c>
      <c r="AL807">
        <v>1</v>
      </c>
      <c r="AM807">
        <v>0</v>
      </c>
      <c r="AN807">
        <v>86.47</v>
      </c>
      <c r="AR807" t="s">
        <v>5312</v>
      </c>
      <c r="AS807" t="s">
        <v>6298</v>
      </c>
      <c r="AT807">
        <v>10800</v>
      </c>
      <c r="AX807" t="s">
        <v>6441</v>
      </c>
      <c r="BA807" t="s">
        <v>6475</v>
      </c>
      <c r="BD807" t="s">
        <v>217</v>
      </c>
      <c r="BE807" t="s">
        <v>6702</v>
      </c>
    </row>
    <row r="808" spans="1:57">
      <c r="A808" s="1">
        <f>HYPERLINK("https://lsnyc.legalserver.org/matter/dynamic-profile/view/1913799","19-1913799")</f>
        <v>0</v>
      </c>
      <c r="B808" t="s">
        <v>60</v>
      </c>
      <c r="C808" t="s">
        <v>195</v>
      </c>
      <c r="D808" t="s">
        <v>214</v>
      </c>
      <c r="E808" t="s">
        <v>222</v>
      </c>
      <c r="G808" t="s">
        <v>920</v>
      </c>
      <c r="H808" t="s">
        <v>1911</v>
      </c>
      <c r="J808" t="s">
        <v>2806</v>
      </c>
      <c r="K808" t="s">
        <v>3285</v>
      </c>
      <c r="L808" t="s">
        <v>3347</v>
      </c>
      <c r="M808" t="s">
        <v>3379</v>
      </c>
      <c r="N808">
        <v>11423</v>
      </c>
      <c r="O808" t="s">
        <v>3380</v>
      </c>
      <c r="P808" t="s">
        <v>3381</v>
      </c>
      <c r="Q808" t="s">
        <v>3383</v>
      </c>
      <c r="R808" t="s">
        <v>4034</v>
      </c>
      <c r="S808">
        <v>1</v>
      </c>
      <c r="T808" t="s">
        <v>4196</v>
      </c>
      <c r="U808" t="s">
        <v>4226</v>
      </c>
      <c r="W808" t="s">
        <v>4245</v>
      </c>
      <c r="X808" t="s">
        <v>3382</v>
      </c>
      <c r="Y808" t="s">
        <v>3382</v>
      </c>
      <c r="AA808" t="s">
        <v>4256</v>
      </c>
      <c r="AC808">
        <v>0</v>
      </c>
      <c r="AD808">
        <v>1236</v>
      </c>
      <c r="AE808">
        <v>15.08</v>
      </c>
      <c r="AG808" t="s">
        <v>5052</v>
      </c>
      <c r="AI808" t="s">
        <v>6082</v>
      </c>
      <c r="AJ808">
        <v>12</v>
      </c>
      <c r="AK808" t="s">
        <v>6266</v>
      </c>
      <c r="AL808">
        <v>1</v>
      </c>
      <c r="AM808">
        <v>1</v>
      </c>
      <c r="AN808">
        <v>83.03</v>
      </c>
      <c r="AR808" t="s">
        <v>5312</v>
      </c>
      <c r="AS808" t="s">
        <v>6298</v>
      </c>
      <c r="AT808">
        <v>14040</v>
      </c>
      <c r="AX808" t="s">
        <v>6441</v>
      </c>
      <c r="BA808" t="s">
        <v>6477</v>
      </c>
      <c r="BD808" t="s">
        <v>275</v>
      </c>
      <c r="BE808" t="s">
        <v>6702</v>
      </c>
    </row>
    <row r="809" spans="1:57">
      <c r="A809" s="1">
        <f>HYPERLINK("https://lsnyc.legalserver.org/matter/dynamic-profile/view/1914193","19-1914193")</f>
        <v>0</v>
      </c>
      <c r="B809" t="s">
        <v>60</v>
      </c>
      <c r="C809" t="s">
        <v>195</v>
      </c>
      <c r="D809" t="s">
        <v>214</v>
      </c>
      <c r="E809" t="s">
        <v>219</v>
      </c>
      <c r="G809" t="s">
        <v>831</v>
      </c>
      <c r="H809" t="s">
        <v>1912</v>
      </c>
      <c r="J809" t="s">
        <v>2807</v>
      </c>
      <c r="L809" t="s">
        <v>3343</v>
      </c>
      <c r="M809" t="s">
        <v>3379</v>
      </c>
      <c r="N809">
        <v>11368</v>
      </c>
      <c r="O809" t="s">
        <v>3380</v>
      </c>
      <c r="P809" t="s">
        <v>3381</v>
      </c>
      <c r="Q809" t="s">
        <v>3383</v>
      </c>
      <c r="R809" t="s">
        <v>4035</v>
      </c>
      <c r="S809">
        <v>0</v>
      </c>
      <c r="T809" t="s">
        <v>4197</v>
      </c>
      <c r="U809" t="s">
        <v>4225</v>
      </c>
      <c r="W809" t="s">
        <v>4245</v>
      </c>
      <c r="X809" t="s">
        <v>3382</v>
      </c>
      <c r="Y809" t="s">
        <v>3382</v>
      </c>
      <c r="AA809" t="s">
        <v>4256</v>
      </c>
      <c r="AC809">
        <v>0</v>
      </c>
      <c r="AD809">
        <v>500</v>
      </c>
      <c r="AE809">
        <v>1.03</v>
      </c>
      <c r="AG809" t="s">
        <v>5053</v>
      </c>
      <c r="AI809" t="s">
        <v>6083</v>
      </c>
      <c r="AJ809">
        <v>0</v>
      </c>
      <c r="AK809" t="s">
        <v>6274</v>
      </c>
      <c r="AL809">
        <v>2</v>
      </c>
      <c r="AM809">
        <v>0</v>
      </c>
      <c r="AN809">
        <v>56.77</v>
      </c>
      <c r="AS809" t="s">
        <v>6299</v>
      </c>
      <c r="AT809">
        <v>9600</v>
      </c>
      <c r="AX809" t="s">
        <v>6441</v>
      </c>
      <c r="BA809" t="s">
        <v>6482</v>
      </c>
      <c r="BD809" t="s">
        <v>341</v>
      </c>
      <c r="BE809" t="s">
        <v>6703</v>
      </c>
    </row>
    <row r="810" spans="1:57">
      <c r="A810" s="1">
        <f>HYPERLINK("https://lsnyc.legalserver.org/matter/dynamic-profile/view/1888651","19-1888651")</f>
        <v>0</v>
      </c>
      <c r="B810" t="s">
        <v>60</v>
      </c>
      <c r="C810" t="s">
        <v>196</v>
      </c>
      <c r="D810" t="s">
        <v>214</v>
      </c>
      <c r="E810" t="s">
        <v>358</v>
      </c>
      <c r="G810" t="s">
        <v>1209</v>
      </c>
      <c r="H810" t="s">
        <v>1913</v>
      </c>
      <c r="J810" t="s">
        <v>2808</v>
      </c>
      <c r="K810" t="s">
        <v>3021</v>
      </c>
      <c r="L810" t="s">
        <v>3333</v>
      </c>
      <c r="M810" t="s">
        <v>3379</v>
      </c>
      <c r="N810">
        <v>11435</v>
      </c>
      <c r="O810" t="s">
        <v>3381</v>
      </c>
      <c r="P810" t="s">
        <v>3381</v>
      </c>
      <c r="Q810" t="s">
        <v>3383</v>
      </c>
      <c r="R810" t="s">
        <v>4036</v>
      </c>
      <c r="S810">
        <v>8</v>
      </c>
      <c r="T810" t="s">
        <v>4196</v>
      </c>
      <c r="U810" t="s">
        <v>4225</v>
      </c>
      <c r="W810" t="s">
        <v>4245</v>
      </c>
      <c r="X810" t="s">
        <v>3382</v>
      </c>
      <c r="AA810" t="s">
        <v>4256</v>
      </c>
      <c r="AC810">
        <v>0</v>
      </c>
      <c r="AD810">
        <v>1327</v>
      </c>
      <c r="AE810">
        <v>3.6</v>
      </c>
      <c r="AG810" t="s">
        <v>5054</v>
      </c>
      <c r="AH810" t="s">
        <v>5347</v>
      </c>
      <c r="AI810" t="s">
        <v>6084</v>
      </c>
      <c r="AJ810">
        <v>8</v>
      </c>
      <c r="AK810" t="s">
        <v>6267</v>
      </c>
      <c r="AL810">
        <v>3</v>
      </c>
      <c r="AM810">
        <v>0</v>
      </c>
      <c r="AN810">
        <v>84.39</v>
      </c>
      <c r="AQ810" t="s">
        <v>6287</v>
      </c>
      <c r="AR810" t="s">
        <v>5312</v>
      </c>
      <c r="AT810">
        <v>18000</v>
      </c>
      <c r="AX810" t="s">
        <v>196</v>
      </c>
      <c r="BA810" t="s">
        <v>6477</v>
      </c>
      <c r="BD810" t="s">
        <v>338</v>
      </c>
    </row>
    <row r="811" spans="1:57">
      <c r="A811" s="1">
        <f>HYPERLINK("https://lsnyc.legalserver.org/matter/dynamic-profile/view/1912742","19-1912742")</f>
        <v>0</v>
      </c>
      <c r="B811" t="s">
        <v>60</v>
      </c>
      <c r="C811" t="s">
        <v>196</v>
      </c>
      <c r="D811" t="s">
        <v>214</v>
      </c>
      <c r="E811" t="s">
        <v>246</v>
      </c>
      <c r="G811" t="s">
        <v>1210</v>
      </c>
      <c r="H811" t="s">
        <v>1325</v>
      </c>
      <c r="J811" t="s">
        <v>2809</v>
      </c>
      <c r="K811" t="s">
        <v>3259</v>
      </c>
      <c r="L811" t="s">
        <v>3333</v>
      </c>
      <c r="M811" t="s">
        <v>3379</v>
      </c>
      <c r="N811">
        <v>11433</v>
      </c>
      <c r="O811" t="s">
        <v>3381</v>
      </c>
      <c r="P811" t="s">
        <v>3381</v>
      </c>
      <c r="S811">
        <v>0</v>
      </c>
      <c r="U811" t="s">
        <v>4225</v>
      </c>
      <c r="W811" t="s">
        <v>4245</v>
      </c>
      <c r="X811" t="s">
        <v>3382</v>
      </c>
      <c r="AA811" t="s">
        <v>4260</v>
      </c>
      <c r="AC811">
        <v>0</v>
      </c>
      <c r="AD811">
        <v>0</v>
      </c>
      <c r="AE811">
        <v>4</v>
      </c>
      <c r="AG811" t="s">
        <v>5055</v>
      </c>
      <c r="AI811" t="s">
        <v>6085</v>
      </c>
      <c r="AJ811">
        <v>0</v>
      </c>
      <c r="AL811">
        <v>1</v>
      </c>
      <c r="AM811">
        <v>3</v>
      </c>
      <c r="AN811">
        <v>23.35</v>
      </c>
      <c r="AS811" t="s">
        <v>6299</v>
      </c>
      <c r="AT811">
        <v>6012</v>
      </c>
      <c r="AX811" t="s">
        <v>196</v>
      </c>
      <c r="BA811" t="s">
        <v>6478</v>
      </c>
      <c r="BD811" t="s">
        <v>266</v>
      </c>
    </row>
    <row r="812" spans="1:57">
      <c r="A812" s="1">
        <f>HYPERLINK("https://lsnyc.legalserver.org/matter/dynamic-profile/view/1914476","19-1914476")</f>
        <v>0</v>
      </c>
      <c r="B812" t="s">
        <v>60</v>
      </c>
      <c r="C812" t="s">
        <v>196</v>
      </c>
      <c r="D812" t="s">
        <v>214</v>
      </c>
      <c r="E812" t="s">
        <v>224</v>
      </c>
      <c r="G812" t="s">
        <v>1013</v>
      </c>
      <c r="H812" t="s">
        <v>1914</v>
      </c>
      <c r="J812" t="s">
        <v>2810</v>
      </c>
      <c r="L812" t="s">
        <v>3333</v>
      </c>
      <c r="M812" t="s">
        <v>3379</v>
      </c>
      <c r="N812">
        <v>11433</v>
      </c>
      <c r="O812" t="s">
        <v>3380</v>
      </c>
      <c r="P812" t="s">
        <v>3381</v>
      </c>
      <c r="Q812" t="s">
        <v>3383</v>
      </c>
      <c r="S812">
        <v>2</v>
      </c>
      <c r="W812" t="s">
        <v>4245</v>
      </c>
      <c r="X812" t="s">
        <v>3382</v>
      </c>
      <c r="AA812" t="s">
        <v>4256</v>
      </c>
      <c r="AC812">
        <v>0</v>
      </c>
      <c r="AD812">
        <v>1799</v>
      </c>
      <c r="AE812">
        <v>1.1</v>
      </c>
      <c r="AG812" t="s">
        <v>5056</v>
      </c>
      <c r="AI812" t="s">
        <v>6086</v>
      </c>
      <c r="AJ812">
        <v>120</v>
      </c>
      <c r="AL812">
        <v>2</v>
      </c>
      <c r="AM812">
        <v>0</v>
      </c>
      <c r="AN812">
        <v>82.67</v>
      </c>
      <c r="AR812" t="s">
        <v>3391</v>
      </c>
      <c r="AS812" t="s">
        <v>6299</v>
      </c>
      <c r="AT812">
        <v>13980</v>
      </c>
      <c r="AX812" t="s">
        <v>196</v>
      </c>
      <c r="BA812" t="s">
        <v>6546</v>
      </c>
      <c r="BD812" t="s">
        <v>224</v>
      </c>
    </row>
    <row r="813" spans="1:57">
      <c r="A813" s="1">
        <f>HYPERLINK("https://lsnyc.legalserver.org/matter/dynamic-profile/view/1871034","18-1871034")</f>
        <v>0</v>
      </c>
      <c r="B813" t="s">
        <v>60</v>
      </c>
      <c r="C813" t="s">
        <v>196</v>
      </c>
      <c r="D813" t="s">
        <v>214</v>
      </c>
      <c r="E813" t="s">
        <v>522</v>
      </c>
      <c r="G813" t="s">
        <v>1211</v>
      </c>
      <c r="H813" t="s">
        <v>1915</v>
      </c>
      <c r="J813" t="s">
        <v>2811</v>
      </c>
      <c r="K813" t="s">
        <v>3286</v>
      </c>
      <c r="L813" t="s">
        <v>3365</v>
      </c>
      <c r="M813" t="s">
        <v>3379</v>
      </c>
      <c r="N813">
        <v>11429</v>
      </c>
      <c r="O813" t="s">
        <v>3381</v>
      </c>
      <c r="P813" t="s">
        <v>3381</v>
      </c>
      <c r="S813">
        <v>0</v>
      </c>
      <c r="W813" t="s">
        <v>4245</v>
      </c>
      <c r="X813" t="s">
        <v>3382</v>
      </c>
      <c r="AA813" t="s">
        <v>4256</v>
      </c>
      <c r="AC813">
        <v>0</v>
      </c>
      <c r="AD813">
        <v>0</v>
      </c>
      <c r="AE813">
        <v>0.1</v>
      </c>
      <c r="AG813" t="s">
        <v>5057</v>
      </c>
      <c r="AI813" t="s">
        <v>6087</v>
      </c>
      <c r="AJ813">
        <v>0</v>
      </c>
      <c r="AL813">
        <v>4</v>
      </c>
      <c r="AM813">
        <v>2</v>
      </c>
      <c r="AN813">
        <v>53.28</v>
      </c>
      <c r="AT813">
        <v>17975</v>
      </c>
      <c r="AX813" t="s">
        <v>196</v>
      </c>
      <c r="BA813" t="s">
        <v>6480</v>
      </c>
      <c r="BD813" t="s">
        <v>223</v>
      </c>
    </row>
    <row r="814" spans="1:57">
      <c r="A814" s="1">
        <f>HYPERLINK("https://lsnyc.legalserver.org/matter/dynamic-profile/view/1913427","19-1913427")</f>
        <v>0</v>
      </c>
      <c r="B814" t="s">
        <v>60</v>
      </c>
      <c r="C814" t="s">
        <v>196</v>
      </c>
      <c r="D814" t="s">
        <v>214</v>
      </c>
      <c r="E814" t="s">
        <v>316</v>
      </c>
      <c r="G814" t="s">
        <v>1212</v>
      </c>
      <c r="H814" t="s">
        <v>1916</v>
      </c>
      <c r="J814" t="s">
        <v>2812</v>
      </c>
      <c r="L814" t="s">
        <v>3336</v>
      </c>
      <c r="M814" t="s">
        <v>3379</v>
      </c>
      <c r="N814">
        <v>11427</v>
      </c>
      <c r="O814" t="s">
        <v>3380</v>
      </c>
      <c r="P814" t="s">
        <v>3381</v>
      </c>
      <c r="Q814" t="s">
        <v>3383</v>
      </c>
      <c r="R814" t="s">
        <v>4037</v>
      </c>
      <c r="S814">
        <v>20</v>
      </c>
      <c r="T814" t="s">
        <v>4197</v>
      </c>
      <c r="W814" t="s">
        <v>4245</v>
      </c>
      <c r="X814" t="s">
        <v>3382</v>
      </c>
      <c r="AA814" t="s">
        <v>4256</v>
      </c>
      <c r="AC814">
        <v>0</v>
      </c>
      <c r="AD814">
        <v>1092</v>
      </c>
      <c r="AE814">
        <v>1</v>
      </c>
      <c r="AG814" t="s">
        <v>5058</v>
      </c>
      <c r="AI814" t="s">
        <v>6088</v>
      </c>
      <c r="AJ814">
        <v>150</v>
      </c>
      <c r="AK814" t="s">
        <v>6275</v>
      </c>
      <c r="AL814">
        <v>1</v>
      </c>
      <c r="AM814">
        <v>0</v>
      </c>
      <c r="AN814">
        <v>0</v>
      </c>
      <c r="AR814" t="s">
        <v>5312</v>
      </c>
      <c r="AT814">
        <v>0</v>
      </c>
      <c r="AX814" t="s">
        <v>196</v>
      </c>
      <c r="BA814" t="s">
        <v>6479</v>
      </c>
      <c r="BD814" t="s">
        <v>270</v>
      </c>
    </row>
    <row r="815" spans="1:57">
      <c r="A815" s="1">
        <f>HYPERLINK("https://lsnyc.legalserver.org/matter/dynamic-profile/view/1881868","18-1881868")</f>
        <v>0</v>
      </c>
      <c r="B815" t="s">
        <v>60</v>
      </c>
      <c r="C815" t="s">
        <v>196</v>
      </c>
      <c r="D815" t="s">
        <v>214</v>
      </c>
      <c r="E815" t="s">
        <v>455</v>
      </c>
      <c r="G815" t="s">
        <v>1213</v>
      </c>
      <c r="H815" t="s">
        <v>1917</v>
      </c>
      <c r="J815" t="s">
        <v>2813</v>
      </c>
      <c r="K815" t="s">
        <v>3243</v>
      </c>
      <c r="L815" t="s">
        <v>3337</v>
      </c>
      <c r="M815" t="s">
        <v>3379</v>
      </c>
      <c r="N815">
        <v>11416</v>
      </c>
      <c r="O815" t="s">
        <v>3380</v>
      </c>
      <c r="P815" t="s">
        <v>3380</v>
      </c>
      <c r="Q815" t="s">
        <v>3383</v>
      </c>
      <c r="R815" t="s">
        <v>4038</v>
      </c>
      <c r="S815">
        <v>8</v>
      </c>
      <c r="T815" t="s">
        <v>4197</v>
      </c>
      <c r="U815" t="s">
        <v>4226</v>
      </c>
      <c r="W815" t="s">
        <v>4245</v>
      </c>
      <c r="X815" t="s">
        <v>3382</v>
      </c>
      <c r="Y815" t="s">
        <v>3380</v>
      </c>
      <c r="AA815" t="s">
        <v>4256</v>
      </c>
      <c r="AC815">
        <v>1000</v>
      </c>
      <c r="AD815">
        <v>1000</v>
      </c>
      <c r="AE815">
        <v>1.58</v>
      </c>
      <c r="AG815" t="s">
        <v>5059</v>
      </c>
      <c r="AI815" t="s">
        <v>6089</v>
      </c>
      <c r="AJ815">
        <v>2</v>
      </c>
      <c r="AK815" t="s">
        <v>6274</v>
      </c>
      <c r="AL815">
        <v>1</v>
      </c>
      <c r="AM815">
        <v>0</v>
      </c>
      <c r="AN815">
        <v>70.56999999999999</v>
      </c>
      <c r="AQ815" t="s">
        <v>6287</v>
      </c>
      <c r="AR815" t="s">
        <v>5312</v>
      </c>
      <c r="AS815" t="s">
        <v>6314</v>
      </c>
      <c r="AT815">
        <v>8567</v>
      </c>
      <c r="AX815" t="s">
        <v>196</v>
      </c>
      <c r="BA815" t="s">
        <v>6514</v>
      </c>
      <c r="BD815" t="s">
        <v>246</v>
      </c>
    </row>
    <row r="816" spans="1:57">
      <c r="A816" s="1">
        <f>HYPERLINK("https://lsnyc.legalserver.org/matter/dynamic-profile/view/1915320","19-1915320")</f>
        <v>0</v>
      </c>
      <c r="B816" t="s">
        <v>60</v>
      </c>
      <c r="C816" t="s">
        <v>196</v>
      </c>
      <c r="D816" t="s">
        <v>214</v>
      </c>
      <c r="E816" t="s">
        <v>217</v>
      </c>
      <c r="G816" t="s">
        <v>1214</v>
      </c>
      <c r="H816" t="s">
        <v>1918</v>
      </c>
      <c r="J816" t="s">
        <v>2814</v>
      </c>
      <c r="K816" t="s">
        <v>3047</v>
      </c>
      <c r="L816" t="s">
        <v>3337</v>
      </c>
      <c r="M816" t="s">
        <v>3379</v>
      </c>
      <c r="N816">
        <v>11416</v>
      </c>
      <c r="O816" t="s">
        <v>3380</v>
      </c>
      <c r="P816" t="s">
        <v>3381</v>
      </c>
      <c r="Q816" t="s">
        <v>3386</v>
      </c>
      <c r="R816" t="s">
        <v>4039</v>
      </c>
      <c r="S816">
        <v>5</v>
      </c>
      <c r="T816" t="s">
        <v>4196</v>
      </c>
      <c r="W816" t="s">
        <v>4245</v>
      </c>
      <c r="X816" t="s">
        <v>3382</v>
      </c>
      <c r="AA816" t="s">
        <v>4256</v>
      </c>
      <c r="AC816">
        <v>0</v>
      </c>
      <c r="AD816">
        <v>1515</v>
      </c>
      <c r="AE816">
        <v>0.5</v>
      </c>
      <c r="AG816" t="s">
        <v>5060</v>
      </c>
      <c r="AH816" t="s">
        <v>5348</v>
      </c>
      <c r="AI816" t="s">
        <v>6090</v>
      </c>
      <c r="AJ816">
        <v>2</v>
      </c>
      <c r="AK816" t="s">
        <v>6274</v>
      </c>
      <c r="AL816">
        <v>2</v>
      </c>
      <c r="AM816">
        <v>2</v>
      </c>
      <c r="AN816">
        <v>34.25</v>
      </c>
      <c r="AR816" t="s">
        <v>5312</v>
      </c>
      <c r="AS816" t="s">
        <v>6298</v>
      </c>
      <c r="AT816">
        <v>8820</v>
      </c>
      <c r="AX816" t="s">
        <v>196</v>
      </c>
      <c r="BA816" t="s">
        <v>6482</v>
      </c>
      <c r="BD816" t="s">
        <v>217</v>
      </c>
    </row>
    <row r="817" spans="1:57">
      <c r="A817" s="1">
        <f>HYPERLINK("https://lsnyc.legalserver.org/matter/dynamic-profile/view/1833621","17-1833621")</f>
        <v>0</v>
      </c>
      <c r="B817" t="s">
        <v>60</v>
      </c>
      <c r="C817" t="s">
        <v>196</v>
      </c>
      <c r="D817" t="s">
        <v>214</v>
      </c>
      <c r="E817" t="s">
        <v>523</v>
      </c>
      <c r="G817" t="s">
        <v>1215</v>
      </c>
      <c r="H817" t="s">
        <v>1615</v>
      </c>
      <c r="J817" t="s">
        <v>2815</v>
      </c>
      <c r="K817" t="s">
        <v>3016</v>
      </c>
      <c r="L817" t="s">
        <v>3350</v>
      </c>
      <c r="M817" t="s">
        <v>3379</v>
      </c>
      <c r="N817">
        <v>11415</v>
      </c>
      <c r="O817" t="s">
        <v>3381</v>
      </c>
      <c r="P817" t="s">
        <v>3381</v>
      </c>
      <c r="R817" t="s">
        <v>4040</v>
      </c>
      <c r="S817">
        <v>0</v>
      </c>
      <c r="T817" t="s">
        <v>4196</v>
      </c>
      <c r="U817" t="s">
        <v>4226</v>
      </c>
      <c r="W817" t="s">
        <v>4245</v>
      </c>
      <c r="X817" t="s">
        <v>3382</v>
      </c>
      <c r="AA817" t="s">
        <v>4256</v>
      </c>
      <c r="AC817">
        <v>2137</v>
      </c>
      <c r="AD817">
        <v>2137</v>
      </c>
      <c r="AE817">
        <v>3.4</v>
      </c>
      <c r="AG817" t="s">
        <v>5061</v>
      </c>
      <c r="AI817" t="s">
        <v>6091</v>
      </c>
      <c r="AJ817">
        <v>0</v>
      </c>
      <c r="AK817" t="s">
        <v>6267</v>
      </c>
      <c r="AL817">
        <v>2</v>
      </c>
      <c r="AM817">
        <v>1</v>
      </c>
      <c r="AN817">
        <v>35.25</v>
      </c>
      <c r="AQ817" t="s">
        <v>6286</v>
      </c>
      <c r="AS817" t="s">
        <v>6301</v>
      </c>
      <c r="AT817">
        <v>7199</v>
      </c>
      <c r="AX817" t="s">
        <v>196</v>
      </c>
      <c r="BA817" t="s">
        <v>6477</v>
      </c>
      <c r="BD817" t="s">
        <v>6673</v>
      </c>
    </row>
    <row r="818" spans="1:57">
      <c r="A818" s="1">
        <f>HYPERLINK("https://lsnyc.legalserver.org/matter/dynamic-profile/view/1912587","19-1912587")</f>
        <v>0</v>
      </c>
      <c r="B818" t="s">
        <v>60</v>
      </c>
      <c r="C818" t="s">
        <v>196</v>
      </c>
      <c r="D818" t="s">
        <v>214</v>
      </c>
      <c r="E818" t="s">
        <v>225</v>
      </c>
      <c r="G818" t="s">
        <v>1216</v>
      </c>
      <c r="H818" t="s">
        <v>1919</v>
      </c>
      <c r="J818" t="s">
        <v>2816</v>
      </c>
      <c r="K818" t="s">
        <v>3243</v>
      </c>
      <c r="L818" t="s">
        <v>3364</v>
      </c>
      <c r="M818" t="s">
        <v>3379</v>
      </c>
      <c r="N818">
        <v>11412</v>
      </c>
      <c r="O818" t="s">
        <v>3380</v>
      </c>
      <c r="P818" t="s">
        <v>3381</v>
      </c>
      <c r="Q818" t="s">
        <v>3383</v>
      </c>
      <c r="R818" t="s">
        <v>4041</v>
      </c>
      <c r="S818">
        <v>6</v>
      </c>
      <c r="T818" t="s">
        <v>4197</v>
      </c>
      <c r="W818" t="s">
        <v>4245</v>
      </c>
      <c r="X818" t="s">
        <v>3382</v>
      </c>
      <c r="AA818" t="s">
        <v>4256</v>
      </c>
      <c r="AC818">
        <v>0</v>
      </c>
      <c r="AD818">
        <v>1300</v>
      </c>
      <c r="AE818">
        <v>1</v>
      </c>
      <c r="AG818" t="s">
        <v>5062</v>
      </c>
      <c r="AI818" t="s">
        <v>6092</v>
      </c>
      <c r="AJ818">
        <v>2</v>
      </c>
      <c r="AL818">
        <v>2</v>
      </c>
      <c r="AM818">
        <v>3</v>
      </c>
      <c r="AN818">
        <v>66.29000000000001</v>
      </c>
      <c r="AR818" t="s">
        <v>5312</v>
      </c>
      <c r="AS818" t="s">
        <v>6298</v>
      </c>
      <c r="AT818">
        <v>20000</v>
      </c>
      <c r="AX818" t="s">
        <v>184</v>
      </c>
      <c r="BA818" t="s">
        <v>6477</v>
      </c>
      <c r="BD818" t="s">
        <v>293</v>
      </c>
    </row>
    <row r="819" spans="1:57">
      <c r="A819" s="1">
        <f>HYPERLINK("https://lsnyc.legalserver.org/matter/dynamic-profile/view/1907179","19-1907179")</f>
        <v>0</v>
      </c>
      <c r="B819" t="s">
        <v>60</v>
      </c>
      <c r="C819" t="s">
        <v>196</v>
      </c>
      <c r="D819" t="s">
        <v>214</v>
      </c>
      <c r="E819" t="s">
        <v>498</v>
      </c>
      <c r="G819" t="s">
        <v>1217</v>
      </c>
      <c r="H819" t="s">
        <v>1479</v>
      </c>
      <c r="J819" t="s">
        <v>2817</v>
      </c>
      <c r="K819" t="s">
        <v>3110</v>
      </c>
      <c r="L819" t="s">
        <v>3338</v>
      </c>
      <c r="M819" t="s">
        <v>3379</v>
      </c>
      <c r="N819">
        <v>11385</v>
      </c>
      <c r="O819" t="s">
        <v>3380</v>
      </c>
      <c r="P819" t="s">
        <v>3381</v>
      </c>
      <c r="Q819" t="s">
        <v>3388</v>
      </c>
      <c r="R819" t="s">
        <v>4042</v>
      </c>
      <c r="S819">
        <v>23</v>
      </c>
      <c r="T819" t="s">
        <v>4196</v>
      </c>
      <c r="U819" t="s">
        <v>4226</v>
      </c>
      <c r="W819" t="s">
        <v>4245</v>
      </c>
      <c r="X819" t="s">
        <v>3382</v>
      </c>
      <c r="AA819" t="s">
        <v>4256</v>
      </c>
      <c r="AC819">
        <v>0</v>
      </c>
      <c r="AD819">
        <v>1044</v>
      </c>
      <c r="AE819">
        <v>12.05</v>
      </c>
      <c r="AG819" t="s">
        <v>5063</v>
      </c>
      <c r="AI819" t="s">
        <v>6093</v>
      </c>
      <c r="AJ819">
        <v>6</v>
      </c>
      <c r="AK819" t="s">
        <v>6267</v>
      </c>
      <c r="AL819">
        <v>1</v>
      </c>
      <c r="AM819">
        <v>0</v>
      </c>
      <c r="AN819">
        <v>249.8</v>
      </c>
      <c r="AR819" t="s">
        <v>5312</v>
      </c>
      <c r="AS819" t="s">
        <v>6299</v>
      </c>
      <c r="AT819">
        <v>31200</v>
      </c>
      <c r="AX819" t="s">
        <v>196</v>
      </c>
      <c r="BA819" t="s">
        <v>6477</v>
      </c>
      <c r="BD819" t="s">
        <v>228</v>
      </c>
    </row>
    <row r="820" spans="1:57">
      <c r="A820" s="1">
        <f>HYPERLINK("https://lsnyc.legalserver.org/matter/dynamic-profile/view/1912301","19-1912301")</f>
        <v>0</v>
      </c>
      <c r="B820" t="s">
        <v>60</v>
      </c>
      <c r="C820" t="s">
        <v>196</v>
      </c>
      <c r="D820" t="s">
        <v>214</v>
      </c>
      <c r="E820" t="s">
        <v>248</v>
      </c>
      <c r="G820" t="s">
        <v>1218</v>
      </c>
      <c r="H820" t="s">
        <v>1920</v>
      </c>
      <c r="J820" t="s">
        <v>2818</v>
      </c>
      <c r="K820" t="s">
        <v>3287</v>
      </c>
      <c r="L820" t="s">
        <v>3340</v>
      </c>
      <c r="M820" t="s">
        <v>3379</v>
      </c>
      <c r="N820">
        <v>11377</v>
      </c>
      <c r="O820" t="s">
        <v>3382</v>
      </c>
      <c r="P820" t="s">
        <v>3381</v>
      </c>
      <c r="Q820" t="s">
        <v>3394</v>
      </c>
      <c r="R820" t="s">
        <v>4043</v>
      </c>
      <c r="S820">
        <v>10</v>
      </c>
      <c r="T820" t="s">
        <v>4197</v>
      </c>
      <c r="U820" t="s">
        <v>4225</v>
      </c>
      <c r="W820" t="s">
        <v>4245</v>
      </c>
      <c r="X820" t="s">
        <v>3382</v>
      </c>
      <c r="AA820" t="s">
        <v>4256</v>
      </c>
      <c r="AB820" t="s">
        <v>4261</v>
      </c>
      <c r="AC820">
        <v>0</v>
      </c>
      <c r="AD820">
        <v>475</v>
      </c>
      <c r="AE820">
        <v>0</v>
      </c>
      <c r="AG820" t="s">
        <v>5064</v>
      </c>
      <c r="AI820" t="s">
        <v>6094</v>
      </c>
      <c r="AJ820">
        <v>2</v>
      </c>
      <c r="AK820" t="s">
        <v>6274</v>
      </c>
      <c r="AL820">
        <v>1</v>
      </c>
      <c r="AM820">
        <v>0</v>
      </c>
      <c r="AN820">
        <v>76.86</v>
      </c>
      <c r="AR820" t="s">
        <v>5312</v>
      </c>
      <c r="AT820">
        <v>9600</v>
      </c>
      <c r="AX820" t="s">
        <v>196</v>
      </c>
      <c r="BA820" t="s">
        <v>6586</v>
      </c>
    </row>
    <row r="821" spans="1:57">
      <c r="A821" s="1">
        <f>HYPERLINK("https://lsnyc.legalserver.org/matter/dynamic-profile/view/1907947","19-1907947")</f>
        <v>0</v>
      </c>
      <c r="B821" t="s">
        <v>60</v>
      </c>
      <c r="C821" t="s">
        <v>196</v>
      </c>
      <c r="D821" t="s">
        <v>214</v>
      </c>
      <c r="E821" t="s">
        <v>381</v>
      </c>
      <c r="G821" t="s">
        <v>1219</v>
      </c>
      <c r="H821" t="s">
        <v>1921</v>
      </c>
      <c r="J821" t="s">
        <v>2819</v>
      </c>
      <c r="K821" t="s">
        <v>3050</v>
      </c>
      <c r="L821" t="s">
        <v>3340</v>
      </c>
      <c r="M821" t="s">
        <v>3379</v>
      </c>
      <c r="N821">
        <v>11377</v>
      </c>
      <c r="O821" t="s">
        <v>3382</v>
      </c>
      <c r="P821" t="s">
        <v>3381</v>
      </c>
      <c r="Q821" t="s">
        <v>3394</v>
      </c>
      <c r="R821" t="s">
        <v>3406</v>
      </c>
      <c r="S821">
        <v>59</v>
      </c>
      <c r="T821" t="s">
        <v>4203</v>
      </c>
      <c r="U821" t="s">
        <v>4225</v>
      </c>
      <c r="W821" t="s">
        <v>4245</v>
      </c>
      <c r="X821" t="s">
        <v>3382</v>
      </c>
      <c r="AA821" t="s">
        <v>4256</v>
      </c>
      <c r="AC821">
        <v>0</v>
      </c>
      <c r="AD821">
        <v>1138.94</v>
      </c>
      <c r="AE821">
        <v>1</v>
      </c>
      <c r="AG821" t="s">
        <v>5065</v>
      </c>
      <c r="AI821" t="s">
        <v>5448</v>
      </c>
      <c r="AJ821">
        <v>30</v>
      </c>
      <c r="AK821" t="s">
        <v>6269</v>
      </c>
      <c r="AL821">
        <v>1</v>
      </c>
      <c r="AM821">
        <v>0</v>
      </c>
      <c r="AN821">
        <v>0</v>
      </c>
      <c r="AT821">
        <v>0</v>
      </c>
      <c r="AX821" t="s">
        <v>196</v>
      </c>
      <c r="BA821" t="s">
        <v>6518</v>
      </c>
      <c r="BD821" t="s">
        <v>381</v>
      </c>
    </row>
    <row r="822" spans="1:57">
      <c r="A822" s="1">
        <f>HYPERLINK("https://lsnyc.legalserver.org/matter/dynamic-profile/view/1848208","17-1848208")</f>
        <v>0</v>
      </c>
      <c r="B822" t="s">
        <v>60</v>
      </c>
      <c r="C822" t="s">
        <v>196</v>
      </c>
      <c r="D822" t="s">
        <v>214</v>
      </c>
      <c r="E822" t="s">
        <v>524</v>
      </c>
      <c r="G822" t="s">
        <v>1199</v>
      </c>
      <c r="H822" t="s">
        <v>1922</v>
      </c>
      <c r="J822" t="s">
        <v>2820</v>
      </c>
      <c r="K822" t="s">
        <v>3101</v>
      </c>
      <c r="L822" t="s">
        <v>3340</v>
      </c>
      <c r="M822" t="s">
        <v>3379</v>
      </c>
      <c r="N822">
        <v>11377</v>
      </c>
      <c r="O822" t="s">
        <v>3381</v>
      </c>
      <c r="P822" t="s">
        <v>3381</v>
      </c>
      <c r="Q822" t="s">
        <v>3392</v>
      </c>
      <c r="R822" t="s">
        <v>3406</v>
      </c>
      <c r="S822">
        <v>0</v>
      </c>
      <c r="T822" t="s">
        <v>4218</v>
      </c>
      <c r="U822" t="s">
        <v>4226</v>
      </c>
      <c r="W822" t="s">
        <v>4245</v>
      </c>
      <c r="X822" t="s">
        <v>3382</v>
      </c>
      <c r="AA822" t="s">
        <v>4256</v>
      </c>
      <c r="AC822">
        <v>1000</v>
      </c>
      <c r="AD822">
        <v>1000</v>
      </c>
      <c r="AE822">
        <v>15.35</v>
      </c>
      <c r="AG822" t="s">
        <v>5066</v>
      </c>
      <c r="AI822" t="s">
        <v>6095</v>
      </c>
      <c r="AJ822">
        <v>6</v>
      </c>
      <c r="AK822" t="s">
        <v>6267</v>
      </c>
      <c r="AL822">
        <v>2</v>
      </c>
      <c r="AM822">
        <v>0</v>
      </c>
      <c r="AN822">
        <v>160.1</v>
      </c>
      <c r="AQ822" t="s">
        <v>6287</v>
      </c>
      <c r="AR822" t="s">
        <v>5312</v>
      </c>
      <c r="AT822">
        <v>26000</v>
      </c>
      <c r="AX822" t="s">
        <v>196</v>
      </c>
      <c r="BA822" t="s">
        <v>6477</v>
      </c>
      <c r="BD822" t="s">
        <v>217</v>
      </c>
    </row>
    <row r="823" spans="1:57">
      <c r="A823" s="1">
        <f>HYPERLINK("https://lsnyc.legalserver.org/matter/dynamic-profile/view/1848956","17-1848956")</f>
        <v>0</v>
      </c>
      <c r="B823" t="s">
        <v>60</v>
      </c>
      <c r="C823" t="s">
        <v>196</v>
      </c>
      <c r="D823" t="s">
        <v>215</v>
      </c>
      <c r="E823" t="s">
        <v>525</v>
      </c>
      <c r="F823" t="s">
        <v>234</v>
      </c>
      <c r="G823" t="s">
        <v>613</v>
      </c>
      <c r="H823" t="s">
        <v>1923</v>
      </c>
      <c r="J823" t="s">
        <v>2821</v>
      </c>
      <c r="K823" t="s">
        <v>3243</v>
      </c>
      <c r="L823" t="s">
        <v>3340</v>
      </c>
      <c r="M823" t="s">
        <v>3379</v>
      </c>
      <c r="N823">
        <v>11377</v>
      </c>
      <c r="O823" t="s">
        <v>3381</v>
      </c>
      <c r="P823" t="s">
        <v>3381</v>
      </c>
      <c r="Q823" t="s">
        <v>3394</v>
      </c>
      <c r="R823" t="s">
        <v>4044</v>
      </c>
      <c r="S823">
        <v>1</v>
      </c>
      <c r="T823" t="s">
        <v>4218</v>
      </c>
      <c r="U823" t="s">
        <v>4225</v>
      </c>
      <c r="V823" t="s">
        <v>4230</v>
      </c>
      <c r="W823" t="s">
        <v>4245</v>
      </c>
      <c r="X823" t="s">
        <v>3382</v>
      </c>
      <c r="Y823" t="s">
        <v>3382</v>
      </c>
      <c r="AA823" t="s">
        <v>4256</v>
      </c>
      <c r="AC823">
        <v>900</v>
      </c>
      <c r="AD823">
        <v>900</v>
      </c>
      <c r="AE823">
        <v>0.75</v>
      </c>
      <c r="AF823" t="s">
        <v>4268</v>
      </c>
      <c r="AG823" t="s">
        <v>5067</v>
      </c>
      <c r="AI823" t="s">
        <v>6096</v>
      </c>
      <c r="AJ823">
        <v>2</v>
      </c>
      <c r="AK823" t="s">
        <v>6274</v>
      </c>
      <c r="AL823">
        <v>2</v>
      </c>
      <c r="AM823">
        <v>0</v>
      </c>
      <c r="AN823">
        <v>184.73</v>
      </c>
      <c r="AQ823" t="s">
        <v>6287</v>
      </c>
      <c r="AR823" t="s">
        <v>5312</v>
      </c>
      <c r="AT823">
        <v>30000</v>
      </c>
      <c r="AX823" t="s">
        <v>196</v>
      </c>
      <c r="BA823" t="s">
        <v>6587</v>
      </c>
      <c r="BD823" t="s">
        <v>463</v>
      </c>
    </row>
    <row r="824" spans="1:57">
      <c r="A824" s="1">
        <f>HYPERLINK("https://lsnyc.legalserver.org/matter/dynamic-profile/view/1913415","19-1913415")</f>
        <v>0</v>
      </c>
      <c r="B824" t="s">
        <v>60</v>
      </c>
      <c r="C824" t="s">
        <v>196</v>
      </c>
      <c r="D824" t="s">
        <v>214</v>
      </c>
      <c r="E824" t="s">
        <v>316</v>
      </c>
      <c r="G824" t="s">
        <v>1220</v>
      </c>
      <c r="H824" t="s">
        <v>1924</v>
      </c>
      <c r="J824" t="s">
        <v>2822</v>
      </c>
      <c r="K824" t="s">
        <v>3288</v>
      </c>
      <c r="L824" t="s">
        <v>3369</v>
      </c>
      <c r="M824" t="s">
        <v>3379</v>
      </c>
      <c r="N824">
        <v>11374</v>
      </c>
      <c r="O824" t="s">
        <v>3380</v>
      </c>
      <c r="P824" t="s">
        <v>3381</v>
      </c>
      <c r="Q824" t="s">
        <v>3383</v>
      </c>
      <c r="R824" t="s">
        <v>4045</v>
      </c>
      <c r="S824">
        <v>2</v>
      </c>
      <c r="T824" t="s">
        <v>4197</v>
      </c>
      <c r="W824" t="s">
        <v>4245</v>
      </c>
      <c r="X824" t="s">
        <v>3382</v>
      </c>
      <c r="AA824" t="s">
        <v>4256</v>
      </c>
      <c r="AC824">
        <v>0</v>
      </c>
      <c r="AD824">
        <v>700</v>
      </c>
      <c r="AE824">
        <v>1.5</v>
      </c>
      <c r="AG824" t="s">
        <v>4393</v>
      </c>
      <c r="AI824" t="s">
        <v>6097</v>
      </c>
      <c r="AJ824">
        <v>150</v>
      </c>
      <c r="AK824" t="s">
        <v>6275</v>
      </c>
      <c r="AL824">
        <v>1</v>
      </c>
      <c r="AM824">
        <v>0</v>
      </c>
      <c r="AN824">
        <v>18.25</v>
      </c>
      <c r="AR824" t="s">
        <v>5312</v>
      </c>
      <c r="AS824" t="s">
        <v>6298</v>
      </c>
      <c r="AT824">
        <v>2280</v>
      </c>
      <c r="AX824" t="s">
        <v>196</v>
      </c>
      <c r="BA824" t="s">
        <v>6483</v>
      </c>
      <c r="BD824" t="s">
        <v>316</v>
      </c>
    </row>
    <row r="825" spans="1:57">
      <c r="A825" s="1">
        <f>HYPERLINK("https://lsnyc.legalserver.org/matter/dynamic-profile/view/0817134","16-0817134")</f>
        <v>0</v>
      </c>
      <c r="B825" t="s">
        <v>60</v>
      </c>
      <c r="C825" t="s">
        <v>196</v>
      </c>
      <c r="D825" t="s">
        <v>214</v>
      </c>
      <c r="E825" t="s">
        <v>526</v>
      </c>
      <c r="G825" t="s">
        <v>1221</v>
      </c>
      <c r="H825" t="s">
        <v>1925</v>
      </c>
      <c r="J825" t="s">
        <v>2823</v>
      </c>
      <c r="K825" t="s">
        <v>3017</v>
      </c>
      <c r="L825" t="s">
        <v>3352</v>
      </c>
      <c r="M825" t="s">
        <v>3379</v>
      </c>
      <c r="N825">
        <v>11372</v>
      </c>
      <c r="O825" t="s">
        <v>3381</v>
      </c>
      <c r="P825" t="s">
        <v>3381</v>
      </c>
      <c r="Q825" t="s">
        <v>3386</v>
      </c>
      <c r="S825">
        <v>40</v>
      </c>
      <c r="T825" t="s">
        <v>4212</v>
      </c>
      <c r="U825" t="s">
        <v>4225</v>
      </c>
      <c r="W825" t="s">
        <v>4247</v>
      </c>
      <c r="X825" t="s">
        <v>3382</v>
      </c>
      <c r="Z825" t="s">
        <v>4245</v>
      </c>
      <c r="AA825" t="s">
        <v>4256</v>
      </c>
      <c r="AC825">
        <v>873.75</v>
      </c>
      <c r="AD825">
        <v>873.75</v>
      </c>
      <c r="AE825">
        <v>4.2</v>
      </c>
      <c r="AG825" t="s">
        <v>4836</v>
      </c>
      <c r="AI825" t="s">
        <v>6098</v>
      </c>
      <c r="AJ825">
        <v>0</v>
      </c>
      <c r="AK825" t="s">
        <v>6267</v>
      </c>
      <c r="AL825">
        <v>2</v>
      </c>
      <c r="AM825">
        <v>0</v>
      </c>
      <c r="AN825">
        <v>20.97</v>
      </c>
      <c r="AS825" t="s">
        <v>6299</v>
      </c>
      <c r="AT825">
        <v>3360</v>
      </c>
      <c r="AX825" t="s">
        <v>201</v>
      </c>
      <c r="BA825" t="s">
        <v>6483</v>
      </c>
      <c r="BD825" t="s">
        <v>473</v>
      </c>
    </row>
    <row r="826" spans="1:57">
      <c r="A826" s="1">
        <f>HYPERLINK("https://lsnyc.legalserver.org/matter/dynamic-profile/view/1884835","18-1884835")</f>
        <v>0</v>
      </c>
      <c r="B826" t="s">
        <v>60</v>
      </c>
      <c r="C826" t="s">
        <v>196</v>
      </c>
      <c r="D826" t="s">
        <v>214</v>
      </c>
      <c r="E826" t="s">
        <v>374</v>
      </c>
      <c r="G826" t="s">
        <v>1222</v>
      </c>
      <c r="H826" t="s">
        <v>1926</v>
      </c>
      <c r="J826" t="s">
        <v>2824</v>
      </c>
      <c r="K826" t="s">
        <v>3289</v>
      </c>
      <c r="L826" t="s">
        <v>3352</v>
      </c>
      <c r="M826" t="s">
        <v>3379</v>
      </c>
      <c r="N826">
        <v>11372</v>
      </c>
      <c r="O826" t="s">
        <v>3382</v>
      </c>
      <c r="P826" t="s">
        <v>3382</v>
      </c>
      <c r="Q826" t="s">
        <v>3394</v>
      </c>
      <c r="R826" t="s">
        <v>3406</v>
      </c>
      <c r="S826">
        <v>12</v>
      </c>
      <c r="U826" t="s">
        <v>4225</v>
      </c>
      <c r="W826" t="s">
        <v>4245</v>
      </c>
      <c r="X826" t="s">
        <v>3382</v>
      </c>
      <c r="AA826" t="s">
        <v>4256</v>
      </c>
      <c r="AC826">
        <v>0</v>
      </c>
      <c r="AD826">
        <v>1450</v>
      </c>
      <c r="AE826">
        <v>0</v>
      </c>
      <c r="AG826" t="s">
        <v>5068</v>
      </c>
      <c r="AI826" t="s">
        <v>6099</v>
      </c>
      <c r="AJ826">
        <v>54</v>
      </c>
      <c r="AK826" t="s">
        <v>6267</v>
      </c>
      <c r="AL826">
        <v>1</v>
      </c>
      <c r="AM826">
        <v>0</v>
      </c>
      <c r="AN826">
        <v>247.12</v>
      </c>
      <c r="AQ826" t="s">
        <v>6287</v>
      </c>
      <c r="AR826" t="s">
        <v>5312</v>
      </c>
      <c r="AT826">
        <v>30000</v>
      </c>
      <c r="AX826" t="s">
        <v>196</v>
      </c>
      <c r="BA826" t="s">
        <v>6477</v>
      </c>
    </row>
    <row r="827" spans="1:57">
      <c r="A827" s="1">
        <f>HYPERLINK("https://lsnyc.legalserver.org/matter/dynamic-profile/view/1913411","19-1913411")</f>
        <v>0</v>
      </c>
      <c r="B827" t="s">
        <v>60</v>
      </c>
      <c r="C827" t="s">
        <v>196</v>
      </c>
      <c r="D827" t="s">
        <v>214</v>
      </c>
      <c r="E827" t="s">
        <v>316</v>
      </c>
      <c r="G827" t="s">
        <v>1223</v>
      </c>
      <c r="H827" t="s">
        <v>1927</v>
      </c>
      <c r="J827" t="s">
        <v>2825</v>
      </c>
      <c r="L827" t="s">
        <v>3343</v>
      </c>
      <c r="M827" t="s">
        <v>3379</v>
      </c>
      <c r="N827">
        <v>11368</v>
      </c>
      <c r="O827" t="s">
        <v>3380</v>
      </c>
      <c r="P827" t="s">
        <v>3381</v>
      </c>
      <c r="R827" t="s">
        <v>4046</v>
      </c>
      <c r="S827">
        <v>14</v>
      </c>
      <c r="T827" t="s">
        <v>4197</v>
      </c>
      <c r="W827" t="s">
        <v>4245</v>
      </c>
      <c r="X827" t="s">
        <v>3382</v>
      </c>
      <c r="AA827" t="s">
        <v>4256</v>
      </c>
      <c r="AC827">
        <v>0</v>
      </c>
      <c r="AD827">
        <v>1300</v>
      </c>
      <c r="AE827">
        <v>1</v>
      </c>
      <c r="AG827" t="s">
        <v>5069</v>
      </c>
      <c r="AI827" t="s">
        <v>6100</v>
      </c>
      <c r="AJ827">
        <v>2</v>
      </c>
      <c r="AK827" t="s">
        <v>6274</v>
      </c>
      <c r="AL827">
        <v>1</v>
      </c>
      <c r="AM827">
        <v>2</v>
      </c>
      <c r="AN827">
        <v>87.76000000000001</v>
      </c>
      <c r="AR827" t="s">
        <v>5312</v>
      </c>
      <c r="AS827" t="s">
        <v>6299</v>
      </c>
      <c r="AT827">
        <v>18720</v>
      </c>
      <c r="AX827" t="s">
        <v>196</v>
      </c>
      <c r="BA827" t="s">
        <v>6477</v>
      </c>
      <c r="BD827" t="s">
        <v>270</v>
      </c>
    </row>
    <row r="828" spans="1:57">
      <c r="A828" s="1">
        <f>HYPERLINK("https://lsnyc.legalserver.org/matter/dynamic-profile/view/1885103","18-1885103")</f>
        <v>0</v>
      </c>
      <c r="B828" t="s">
        <v>60</v>
      </c>
      <c r="C828" t="s">
        <v>196</v>
      </c>
      <c r="D828" t="s">
        <v>214</v>
      </c>
      <c r="E828" t="s">
        <v>298</v>
      </c>
      <c r="G828" t="s">
        <v>1224</v>
      </c>
      <c r="H828" t="s">
        <v>1928</v>
      </c>
      <c r="J828" t="s">
        <v>2826</v>
      </c>
      <c r="L828" t="s">
        <v>3343</v>
      </c>
      <c r="M828" t="s">
        <v>3379</v>
      </c>
      <c r="N828">
        <v>11368</v>
      </c>
      <c r="O828" t="s">
        <v>3382</v>
      </c>
      <c r="P828" t="s">
        <v>3382</v>
      </c>
      <c r="Q828" t="s">
        <v>3388</v>
      </c>
      <c r="R828" t="s">
        <v>3406</v>
      </c>
      <c r="S828">
        <v>12</v>
      </c>
      <c r="T828" t="s">
        <v>4203</v>
      </c>
      <c r="U828" t="s">
        <v>4225</v>
      </c>
      <c r="W828" t="s">
        <v>4245</v>
      </c>
      <c r="X828" t="s">
        <v>3382</v>
      </c>
      <c r="AA828" t="s">
        <v>4256</v>
      </c>
      <c r="AC828">
        <v>0</v>
      </c>
      <c r="AD828">
        <v>700</v>
      </c>
      <c r="AE828">
        <v>0</v>
      </c>
      <c r="AG828" t="s">
        <v>5070</v>
      </c>
      <c r="AI828" t="s">
        <v>5448</v>
      </c>
      <c r="AJ828">
        <v>9</v>
      </c>
      <c r="AK828" t="s">
        <v>6267</v>
      </c>
      <c r="AL828">
        <v>1</v>
      </c>
      <c r="AM828">
        <v>3</v>
      </c>
      <c r="AN828">
        <v>0</v>
      </c>
      <c r="AQ828" t="s">
        <v>6286</v>
      </c>
      <c r="AR828" t="s">
        <v>5312</v>
      </c>
      <c r="AS828" t="s">
        <v>6299</v>
      </c>
      <c r="AT828">
        <v>0</v>
      </c>
      <c r="AX828" t="s">
        <v>196</v>
      </c>
      <c r="BA828" t="s">
        <v>6479</v>
      </c>
    </row>
    <row r="829" spans="1:57">
      <c r="A829" s="1">
        <f>HYPERLINK("https://lsnyc.legalserver.org/matter/dynamic-profile/view/1907606","19-1907606")</f>
        <v>0</v>
      </c>
      <c r="B829" t="s">
        <v>60</v>
      </c>
      <c r="C829" t="s">
        <v>196</v>
      </c>
      <c r="D829" t="s">
        <v>214</v>
      </c>
      <c r="E829" t="s">
        <v>286</v>
      </c>
      <c r="G829" t="s">
        <v>610</v>
      </c>
      <c r="H829" t="s">
        <v>1929</v>
      </c>
      <c r="J829" t="s">
        <v>2827</v>
      </c>
      <c r="K829" t="s">
        <v>3290</v>
      </c>
      <c r="L829" t="s">
        <v>3355</v>
      </c>
      <c r="M829" t="s">
        <v>3379</v>
      </c>
      <c r="N829">
        <v>11367</v>
      </c>
      <c r="O829" t="s">
        <v>3382</v>
      </c>
      <c r="P829" t="s">
        <v>3381</v>
      </c>
      <c r="Q829" t="s">
        <v>3394</v>
      </c>
      <c r="R829" t="s">
        <v>4047</v>
      </c>
      <c r="S829">
        <v>50</v>
      </c>
      <c r="T829" t="s">
        <v>4196</v>
      </c>
      <c r="U829" t="s">
        <v>4225</v>
      </c>
      <c r="W829" t="s">
        <v>4245</v>
      </c>
      <c r="X829" t="s">
        <v>3382</v>
      </c>
      <c r="AA829" t="s">
        <v>4256</v>
      </c>
      <c r="AC829">
        <v>0</v>
      </c>
      <c r="AD829">
        <v>992.5700000000001</v>
      </c>
      <c r="AE829">
        <v>6.05</v>
      </c>
      <c r="AG829" t="s">
        <v>5071</v>
      </c>
      <c r="AI829" t="s">
        <v>6101</v>
      </c>
      <c r="AJ829">
        <v>60</v>
      </c>
      <c r="AK829" t="s">
        <v>6267</v>
      </c>
      <c r="AL829">
        <v>1</v>
      </c>
      <c r="AM829">
        <v>0</v>
      </c>
      <c r="AN829">
        <v>234.52</v>
      </c>
      <c r="AO829" t="s">
        <v>318</v>
      </c>
      <c r="AP829" t="s">
        <v>6283</v>
      </c>
      <c r="AR829" t="s">
        <v>6293</v>
      </c>
      <c r="AT829">
        <v>29292</v>
      </c>
      <c r="AX829" t="s">
        <v>196</v>
      </c>
      <c r="BA829" t="s">
        <v>6527</v>
      </c>
      <c r="BD829" t="s">
        <v>228</v>
      </c>
      <c r="BE829" t="s">
        <v>5312</v>
      </c>
    </row>
    <row r="830" spans="1:57">
      <c r="A830" s="1">
        <f>HYPERLINK("https://lsnyc.legalserver.org/matter/dynamic-profile/view/1866787","18-1866787")</f>
        <v>0</v>
      </c>
      <c r="B830" t="s">
        <v>60</v>
      </c>
      <c r="C830" t="s">
        <v>196</v>
      </c>
      <c r="D830" t="s">
        <v>214</v>
      </c>
      <c r="E830" t="s">
        <v>399</v>
      </c>
      <c r="G830" t="s">
        <v>1225</v>
      </c>
      <c r="H830" t="s">
        <v>1598</v>
      </c>
      <c r="J830" t="s">
        <v>2828</v>
      </c>
      <c r="K830" t="s">
        <v>3291</v>
      </c>
      <c r="L830" t="s">
        <v>3353</v>
      </c>
      <c r="M830" t="s">
        <v>3379</v>
      </c>
      <c r="N830">
        <v>11365</v>
      </c>
      <c r="O830" t="s">
        <v>3381</v>
      </c>
      <c r="P830" t="s">
        <v>3381</v>
      </c>
      <c r="Q830" t="s">
        <v>3394</v>
      </c>
      <c r="R830" t="s">
        <v>3406</v>
      </c>
      <c r="S830">
        <v>36</v>
      </c>
      <c r="T830" t="s">
        <v>4201</v>
      </c>
      <c r="U830" t="s">
        <v>4225</v>
      </c>
      <c r="W830" t="s">
        <v>4245</v>
      </c>
      <c r="X830" t="s">
        <v>3382</v>
      </c>
      <c r="Y830" t="s">
        <v>4250</v>
      </c>
      <c r="AA830" t="s">
        <v>4256</v>
      </c>
      <c r="AC830">
        <v>752</v>
      </c>
      <c r="AD830">
        <v>752</v>
      </c>
      <c r="AE830">
        <v>0</v>
      </c>
      <c r="AG830" t="s">
        <v>5072</v>
      </c>
      <c r="AI830" t="s">
        <v>6102</v>
      </c>
      <c r="AJ830">
        <v>28</v>
      </c>
      <c r="AK830" t="s">
        <v>6270</v>
      </c>
      <c r="AL830">
        <v>1</v>
      </c>
      <c r="AM830">
        <v>3</v>
      </c>
      <c r="AN830">
        <v>46.82</v>
      </c>
      <c r="AQ830" t="s">
        <v>6286</v>
      </c>
      <c r="AR830" t="s">
        <v>5312</v>
      </c>
      <c r="AS830" t="s">
        <v>6298</v>
      </c>
      <c r="AT830">
        <v>11752</v>
      </c>
      <c r="AX830" t="s">
        <v>196</v>
      </c>
      <c r="BA830" t="s">
        <v>6588</v>
      </c>
    </row>
    <row r="831" spans="1:57">
      <c r="A831" s="1">
        <f>HYPERLINK("https://lsnyc.legalserver.org/matter/dynamic-profile/view/1908174","19-1908174")</f>
        <v>0</v>
      </c>
      <c r="B831" t="s">
        <v>60</v>
      </c>
      <c r="C831" t="s">
        <v>196</v>
      </c>
      <c r="D831" t="s">
        <v>214</v>
      </c>
      <c r="E831" t="s">
        <v>450</v>
      </c>
      <c r="G831" t="s">
        <v>1226</v>
      </c>
      <c r="H831" t="s">
        <v>1930</v>
      </c>
      <c r="J831" t="s">
        <v>2829</v>
      </c>
      <c r="K831" t="s">
        <v>3104</v>
      </c>
      <c r="L831" t="s">
        <v>3345</v>
      </c>
      <c r="M831" t="s">
        <v>3379</v>
      </c>
      <c r="N831">
        <v>11361</v>
      </c>
      <c r="O831" t="s">
        <v>3381</v>
      </c>
      <c r="P831" t="s">
        <v>3381</v>
      </c>
      <c r="Q831" t="s">
        <v>3383</v>
      </c>
      <c r="R831" t="s">
        <v>4048</v>
      </c>
      <c r="S831">
        <v>4</v>
      </c>
      <c r="T831" t="s">
        <v>4196</v>
      </c>
      <c r="U831" t="s">
        <v>4226</v>
      </c>
      <c r="W831" t="s">
        <v>4245</v>
      </c>
      <c r="X831" t="s">
        <v>3382</v>
      </c>
      <c r="AA831" t="s">
        <v>4256</v>
      </c>
      <c r="AC831">
        <v>0</v>
      </c>
      <c r="AD831">
        <v>1878</v>
      </c>
      <c r="AE831">
        <v>35.65</v>
      </c>
      <c r="AG831" t="s">
        <v>5073</v>
      </c>
      <c r="AI831" t="s">
        <v>6103</v>
      </c>
      <c r="AJ831">
        <v>14</v>
      </c>
      <c r="AK831" t="s">
        <v>6267</v>
      </c>
      <c r="AL831">
        <v>1</v>
      </c>
      <c r="AM831">
        <v>2</v>
      </c>
      <c r="AN831">
        <v>56.26</v>
      </c>
      <c r="AR831" t="s">
        <v>5312</v>
      </c>
      <c r="AS831" t="s">
        <v>6298</v>
      </c>
      <c r="AT831">
        <v>12000</v>
      </c>
      <c r="AX831" t="s">
        <v>196</v>
      </c>
      <c r="BA831" t="s">
        <v>6589</v>
      </c>
      <c r="BD831" t="s">
        <v>218</v>
      </c>
    </row>
    <row r="832" spans="1:57">
      <c r="A832" s="1">
        <f>HYPERLINK("https://lsnyc.legalserver.org/matter/dynamic-profile/view/1867813","18-1867813")</f>
        <v>0</v>
      </c>
      <c r="B832" t="s">
        <v>60</v>
      </c>
      <c r="C832" t="s">
        <v>196</v>
      </c>
      <c r="D832" t="s">
        <v>214</v>
      </c>
      <c r="E832" t="s">
        <v>445</v>
      </c>
      <c r="G832" t="s">
        <v>1227</v>
      </c>
      <c r="H832" t="s">
        <v>1931</v>
      </c>
      <c r="J832" t="s">
        <v>2830</v>
      </c>
      <c r="K832" t="s">
        <v>3292</v>
      </c>
      <c r="L832" t="s">
        <v>3346</v>
      </c>
      <c r="M832" t="s">
        <v>3379</v>
      </c>
      <c r="N832">
        <v>11106</v>
      </c>
      <c r="O832" t="s">
        <v>3382</v>
      </c>
      <c r="P832" t="s">
        <v>3381</v>
      </c>
      <c r="Q832" t="s">
        <v>3386</v>
      </c>
      <c r="R832" t="s">
        <v>4049</v>
      </c>
      <c r="S832">
        <v>10</v>
      </c>
      <c r="T832" t="s">
        <v>4196</v>
      </c>
      <c r="U832" t="s">
        <v>4225</v>
      </c>
      <c r="W832" t="s">
        <v>4245</v>
      </c>
      <c r="X832" t="s">
        <v>3382</v>
      </c>
      <c r="Y832" t="s">
        <v>3382</v>
      </c>
      <c r="AA832" t="s">
        <v>4256</v>
      </c>
      <c r="AC832">
        <v>1081</v>
      </c>
      <c r="AD832">
        <v>1081</v>
      </c>
      <c r="AE832">
        <v>0</v>
      </c>
      <c r="AG832" t="s">
        <v>5074</v>
      </c>
      <c r="AI832" t="s">
        <v>6104</v>
      </c>
      <c r="AJ832">
        <v>42</v>
      </c>
      <c r="AK832" t="s">
        <v>6270</v>
      </c>
      <c r="AL832">
        <v>3</v>
      </c>
      <c r="AM832">
        <v>1</v>
      </c>
      <c r="AN832">
        <v>160.96</v>
      </c>
      <c r="AQ832" t="s">
        <v>6287</v>
      </c>
      <c r="AR832" t="s">
        <v>5312</v>
      </c>
      <c r="AS832" t="s">
        <v>6298</v>
      </c>
      <c r="AT832">
        <v>40400</v>
      </c>
      <c r="AX832" t="s">
        <v>196</v>
      </c>
      <c r="BA832" t="s">
        <v>6477</v>
      </c>
    </row>
    <row r="833" spans="1:57">
      <c r="A833" s="1">
        <f>HYPERLINK("https://lsnyc.legalserver.org/matter/dynamic-profile/view/1910125","19-1910125")</f>
        <v>0</v>
      </c>
      <c r="B833" t="s">
        <v>60</v>
      </c>
      <c r="C833" t="s">
        <v>196</v>
      </c>
      <c r="D833" t="s">
        <v>214</v>
      </c>
      <c r="E833" t="s">
        <v>274</v>
      </c>
      <c r="G833" t="s">
        <v>827</v>
      </c>
      <c r="H833" t="s">
        <v>1932</v>
      </c>
      <c r="J833" t="s">
        <v>2831</v>
      </c>
      <c r="L833" t="s">
        <v>3346</v>
      </c>
      <c r="M833" t="s">
        <v>3379</v>
      </c>
      <c r="N833">
        <v>11105</v>
      </c>
      <c r="O833" t="s">
        <v>3380</v>
      </c>
      <c r="P833" t="s">
        <v>3381</v>
      </c>
      <c r="Q833" t="s">
        <v>3383</v>
      </c>
      <c r="R833" t="s">
        <v>4050</v>
      </c>
      <c r="S833">
        <v>1</v>
      </c>
      <c r="T833" t="s">
        <v>4196</v>
      </c>
      <c r="U833" t="s">
        <v>4225</v>
      </c>
      <c r="W833" t="s">
        <v>4245</v>
      </c>
      <c r="X833" t="s">
        <v>3382</v>
      </c>
      <c r="Y833" t="s">
        <v>3382</v>
      </c>
      <c r="AA833" t="s">
        <v>4256</v>
      </c>
      <c r="AB833" t="s">
        <v>4261</v>
      </c>
      <c r="AC833">
        <v>0</v>
      </c>
      <c r="AD833">
        <v>2500</v>
      </c>
      <c r="AE833">
        <v>2.15</v>
      </c>
      <c r="AG833" t="s">
        <v>5075</v>
      </c>
      <c r="AI833" t="s">
        <v>6105</v>
      </c>
      <c r="AJ833">
        <v>2</v>
      </c>
      <c r="AK833" t="s">
        <v>6274</v>
      </c>
      <c r="AL833">
        <v>2</v>
      </c>
      <c r="AM833">
        <v>1</v>
      </c>
      <c r="AN833">
        <v>0</v>
      </c>
      <c r="AR833" t="s">
        <v>5312</v>
      </c>
      <c r="AT833">
        <v>0</v>
      </c>
      <c r="AX833" t="s">
        <v>196</v>
      </c>
      <c r="BA833" t="s">
        <v>6486</v>
      </c>
      <c r="BD833" t="s">
        <v>284</v>
      </c>
    </row>
    <row r="834" spans="1:57">
      <c r="A834" s="1">
        <f>HYPERLINK("https://lsnyc.legalserver.org/matter/dynamic-profile/view/1850946","17-1850946")</f>
        <v>0</v>
      </c>
      <c r="B834" t="s">
        <v>60</v>
      </c>
      <c r="C834" t="s">
        <v>196</v>
      </c>
      <c r="D834" t="s">
        <v>214</v>
      </c>
      <c r="E834" t="s">
        <v>527</v>
      </c>
      <c r="G834" t="s">
        <v>1228</v>
      </c>
      <c r="H834" t="s">
        <v>1933</v>
      </c>
      <c r="J834" t="s">
        <v>2832</v>
      </c>
      <c r="K834" t="s">
        <v>3036</v>
      </c>
      <c r="L834" t="s">
        <v>3368</v>
      </c>
      <c r="M834" t="s">
        <v>3379</v>
      </c>
      <c r="N834">
        <v>11104</v>
      </c>
      <c r="O834" t="s">
        <v>3381</v>
      </c>
      <c r="P834" t="s">
        <v>3381</v>
      </c>
      <c r="Q834" t="s">
        <v>3392</v>
      </c>
      <c r="R834" t="s">
        <v>3406</v>
      </c>
      <c r="S834">
        <v>18</v>
      </c>
      <c r="T834" t="s">
        <v>4203</v>
      </c>
      <c r="U834" t="s">
        <v>4225</v>
      </c>
      <c r="W834" t="s">
        <v>4245</v>
      </c>
      <c r="X834" t="s">
        <v>3382</v>
      </c>
      <c r="Y834" t="s">
        <v>3382</v>
      </c>
      <c r="AA834" t="s">
        <v>4256</v>
      </c>
      <c r="AC834">
        <v>1099</v>
      </c>
      <c r="AD834">
        <v>1099</v>
      </c>
      <c r="AE834">
        <v>1</v>
      </c>
      <c r="AG834" t="s">
        <v>5076</v>
      </c>
      <c r="AI834" t="s">
        <v>6106</v>
      </c>
      <c r="AJ834">
        <v>10</v>
      </c>
      <c r="AK834" t="s">
        <v>6267</v>
      </c>
      <c r="AL834">
        <v>2</v>
      </c>
      <c r="AM834">
        <v>0</v>
      </c>
      <c r="AN834">
        <v>360</v>
      </c>
      <c r="AQ834" t="s">
        <v>6287</v>
      </c>
      <c r="AR834" t="s">
        <v>5312</v>
      </c>
      <c r="AT834">
        <v>58463.84</v>
      </c>
      <c r="AX834" t="s">
        <v>196</v>
      </c>
      <c r="BA834" t="s">
        <v>6480</v>
      </c>
      <c r="BD834" t="s">
        <v>527</v>
      </c>
    </row>
    <row r="835" spans="1:57">
      <c r="A835" s="1">
        <f>HYPERLINK("https://lsnyc.legalserver.org/matter/dynamic-profile/view/1910934","19-1910934")</f>
        <v>0</v>
      </c>
      <c r="B835" t="s">
        <v>60</v>
      </c>
      <c r="C835" t="s">
        <v>196</v>
      </c>
      <c r="D835" t="s">
        <v>214</v>
      </c>
      <c r="E835" t="s">
        <v>250</v>
      </c>
      <c r="G835" t="s">
        <v>777</v>
      </c>
      <c r="H835" t="s">
        <v>1934</v>
      </c>
      <c r="J835" t="s">
        <v>2833</v>
      </c>
      <c r="K835">
        <v>5</v>
      </c>
      <c r="L835" t="s">
        <v>3346</v>
      </c>
      <c r="M835" t="s">
        <v>3379</v>
      </c>
      <c r="N835">
        <v>11102</v>
      </c>
      <c r="O835" t="s">
        <v>3382</v>
      </c>
      <c r="P835" t="s">
        <v>3381</v>
      </c>
      <c r="R835" t="s">
        <v>4051</v>
      </c>
      <c r="S835">
        <v>43</v>
      </c>
      <c r="T835" t="s">
        <v>4197</v>
      </c>
      <c r="W835" t="s">
        <v>4245</v>
      </c>
      <c r="X835" t="s">
        <v>3382</v>
      </c>
      <c r="AA835" t="s">
        <v>4256</v>
      </c>
      <c r="AC835">
        <v>0</v>
      </c>
      <c r="AD835">
        <v>980</v>
      </c>
      <c r="AE835">
        <v>6.4</v>
      </c>
      <c r="AG835" t="s">
        <v>5077</v>
      </c>
      <c r="AI835" t="s">
        <v>6107</v>
      </c>
      <c r="AJ835">
        <v>0</v>
      </c>
      <c r="AK835" t="s">
        <v>6267</v>
      </c>
      <c r="AL835">
        <v>1</v>
      </c>
      <c r="AM835">
        <v>0</v>
      </c>
      <c r="AN835">
        <v>182.55</v>
      </c>
      <c r="AR835" t="s">
        <v>5312</v>
      </c>
      <c r="AS835" t="s">
        <v>6298</v>
      </c>
      <c r="AT835">
        <v>22800</v>
      </c>
      <c r="AX835" t="s">
        <v>196</v>
      </c>
      <c r="BA835" t="s">
        <v>6487</v>
      </c>
      <c r="BD835" t="s">
        <v>305</v>
      </c>
    </row>
    <row r="836" spans="1:57">
      <c r="A836" s="1">
        <f>HYPERLINK("https://lsnyc.legalserver.org/matter/dynamic-profile/view/1912347","19-1912347")</f>
        <v>0</v>
      </c>
      <c r="B836" t="s">
        <v>60</v>
      </c>
      <c r="C836" t="s">
        <v>196</v>
      </c>
      <c r="D836" t="s">
        <v>215</v>
      </c>
      <c r="E836" t="s">
        <v>248</v>
      </c>
      <c r="F836" t="s">
        <v>248</v>
      </c>
      <c r="G836" t="s">
        <v>1229</v>
      </c>
      <c r="H836" t="s">
        <v>1935</v>
      </c>
      <c r="J836" t="s">
        <v>2834</v>
      </c>
      <c r="K836" t="s">
        <v>3069</v>
      </c>
      <c r="L836" t="s">
        <v>3370</v>
      </c>
      <c r="M836" t="s">
        <v>3379</v>
      </c>
      <c r="N836">
        <v>11101</v>
      </c>
      <c r="O836" t="s">
        <v>3382</v>
      </c>
      <c r="P836" t="s">
        <v>3381</v>
      </c>
      <c r="Q836" t="s">
        <v>3385</v>
      </c>
      <c r="R836" t="s">
        <v>3406</v>
      </c>
      <c r="S836">
        <v>23</v>
      </c>
      <c r="T836" t="s">
        <v>4196</v>
      </c>
      <c r="U836" t="s">
        <v>4225</v>
      </c>
      <c r="V836" t="s">
        <v>4230</v>
      </c>
      <c r="W836" t="s">
        <v>4245</v>
      </c>
      <c r="X836" t="s">
        <v>3382</v>
      </c>
      <c r="AA836" t="s">
        <v>4256</v>
      </c>
      <c r="AC836">
        <v>0</v>
      </c>
      <c r="AD836">
        <v>306</v>
      </c>
      <c r="AE836">
        <v>1.5</v>
      </c>
      <c r="AF836" t="s">
        <v>4268</v>
      </c>
      <c r="AG836" t="s">
        <v>5078</v>
      </c>
      <c r="AI836" t="s">
        <v>6108</v>
      </c>
      <c r="AJ836">
        <v>30</v>
      </c>
      <c r="AK836" t="s">
        <v>6270</v>
      </c>
      <c r="AL836">
        <v>1</v>
      </c>
      <c r="AM836">
        <v>0</v>
      </c>
      <c r="AN836">
        <v>91.37</v>
      </c>
      <c r="AR836" t="s">
        <v>5312</v>
      </c>
      <c r="AS836" t="s">
        <v>6298</v>
      </c>
      <c r="AT836">
        <v>11412</v>
      </c>
      <c r="AX836" t="s">
        <v>196</v>
      </c>
      <c r="BA836" t="s">
        <v>6511</v>
      </c>
      <c r="BD836" t="s">
        <v>248</v>
      </c>
    </row>
    <row r="837" spans="1:57">
      <c r="A837" s="1">
        <f>HYPERLINK("https://lsnyc.legalserver.org/matter/dynamic-profile/view/1913561","19-1913561")</f>
        <v>0</v>
      </c>
      <c r="B837" t="s">
        <v>60</v>
      </c>
      <c r="C837" t="s">
        <v>197</v>
      </c>
      <c r="D837" t="s">
        <v>214</v>
      </c>
      <c r="E837" t="s">
        <v>251</v>
      </c>
      <c r="G837" t="s">
        <v>778</v>
      </c>
      <c r="H837" t="s">
        <v>1687</v>
      </c>
      <c r="J837" t="s">
        <v>2835</v>
      </c>
      <c r="K837" t="s">
        <v>3293</v>
      </c>
      <c r="L837" t="s">
        <v>3333</v>
      </c>
      <c r="M837" t="s">
        <v>3379</v>
      </c>
      <c r="N837">
        <v>11434</v>
      </c>
      <c r="O837" t="s">
        <v>3382</v>
      </c>
      <c r="P837" t="s">
        <v>3381</v>
      </c>
      <c r="Q837" t="s">
        <v>3384</v>
      </c>
      <c r="R837" t="s">
        <v>4052</v>
      </c>
      <c r="S837">
        <v>20</v>
      </c>
      <c r="T837" t="s">
        <v>4196</v>
      </c>
      <c r="U837" t="s">
        <v>4225</v>
      </c>
      <c r="W837" t="s">
        <v>4246</v>
      </c>
      <c r="X837" t="s">
        <v>3382</v>
      </c>
      <c r="Y837" t="s">
        <v>3382</v>
      </c>
      <c r="AA837" t="s">
        <v>4256</v>
      </c>
      <c r="AB837" t="s">
        <v>4262</v>
      </c>
      <c r="AC837">
        <v>0</v>
      </c>
      <c r="AD837">
        <v>1350</v>
      </c>
      <c r="AE837">
        <v>0.33</v>
      </c>
      <c r="AG837" t="s">
        <v>5079</v>
      </c>
      <c r="AI837" t="s">
        <v>6109</v>
      </c>
      <c r="AJ837">
        <v>50</v>
      </c>
      <c r="AK837" t="s">
        <v>6277</v>
      </c>
      <c r="AL837">
        <v>3</v>
      </c>
      <c r="AM837">
        <v>0</v>
      </c>
      <c r="AN837">
        <v>201.59</v>
      </c>
      <c r="AR837" t="s">
        <v>5312</v>
      </c>
      <c r="AS837" t="s">
        <v>6298</v>
      </c>
      <c r="AT837">
        <v>43000</v>
      </c>
      <c r="AX837" t="s">
        <v>6441</v>
      </c>
      <c r="BA837" t="s">
        <v>6477</v>
      </c>
      <c r="BD837" t="s">
        <v>251</v>
      </c>
      <c r="BE837" t="s">
        <v>6702</v>
      </c>
    </row>
    <row r="838" spans="1:57">
      <c r="A838" s="1">
        <f>HYPERLINK("https://lsnyc.legalserver.org/matter/dynamic-profile/view/1915007","19-1915007")</f>
        <v>0</v>
      </c>
      <c r="B838" t="s">
        <v>60</v>
      </c>
      <c r="C838" t="s">
        <v>197</v>
      </c>
      <c r="D838" t="s">
        <v>214</v>
      </c>
      <c r="E838" t="s">
        <v>237</v>
      </c>
      <c r="G838" t="s">
        <v>1230</v>
      </c>
      <c r="H838" t="s">
        <v>1588</v>
      </c>
      <c r="J838" t="s">
        <v>2836</v>
      </c>
      <c r="K838" t="s">
        <v>3294</v>
      </c>
      <c r="L838" t="s">
        <v>3333</v>
      </c>
      <c r="M838" t="s">
        <v>3379</v>
      </c>
      <c r="N838">
        <v>11434</v>
      </c>
      <c r="O838" t="s">
        <v>3380</v>
      </c>
      <c r="P838" t="s">
        <v>3381</v>
      </c>
      <c r="Q838" t="s">
        <v>3384</v>
      </c>
      <c r="R838" t="s">
        <v>4053</v>
      </c>
      <c r="S838">
        <v>26</v>
      </c>
      <c r="T838" t="s">
        <v>4196</v>
      </c>
      <c r="U838" t="s">
        <v>4224</v>
      </c>
      <c r="W838" t="s">
        <v>4246</v>
      </c>
      <c r="X838" t="s">
        <v>3382</v>
      </c>
      <c r="AA838" t="s">
        <v>4256</v>
      </c>
      <c r="AC838">
        <v>0</v>
      </c>
      <c r="AD838">
        <v>831</v>
      </c>
      <c r="AE838">
        <v>0.33</v>
      </c>
      <c r="AG838" t="s">
        <v>5080</v>
      </c>
      <c r="AI838" t="s">
        <v>6110</v>
      </c>
      <c r="AJ838">
        <v>200</v>
      </c>
      <c r="AK838" t="s">
        <v>6276</v>
      </c>
      <c r="AL838">
        <v>3</v>
      </c>
      <c r="AM838">
        <v>0</v>
      </c>
      <c r="AN838">
        <v>210.97</v>
      </c>
      <c r="AR838" t="s">
        <v>5312</v>
      </c>
      <c r="AS838" t="s">
        <v>6298</v>
      </c>
      <c r="AT838">
        <v>45000</v>
      </c>
      <c r="AX838" t="s">
        <v>6441</v>
      </c>
      <c r="BA838" t="s">
        <v>6477</v>
      </c>
      <c r="BD838" t="s">
        <v>237</v>
      </c>
      <c r="BE838" t="s">
        <v>6702</v>
      </c>
    </row>
    <row r="839" spans="1:57">
      <c r="A839" s="1">
        <f>HYPERLINK("https://lsnyc.legalserver.org/matter/dynamic-profile/view/1915045","19-1915045")</f>
        <v>0</v>
      </c>
      <c r="B839" t="s">
        <v>60</v>
      </c>
      <c r="C839" t="s">
        <v>197</v>
      </c>
      <c r="D839" t="s">
        <v>214</v>
      </c>
      <c r="E839" t="s">
        <v>237</v>
      </c>
      <c r="G839" t="s">
        <v>1231</v>
      </c>
      <c r="H839" t="s">
        <v>1936</v>
      </c>
      <c r="J839" t="s">
        <v>2837</v>
      </c>
      <c r="L839" t="s">
        <v>3333</v>
      </c>
      <c r="M839" t="s">
        <v>3379</v>
      </c>
      <c r="N839">
        <v>11434</v>
      </c>
      <c r="O839" t="s">
        <v>3380</v>
      </c>
      <c r="P839" t="s">
        <v>3381</v>
      </c>
      <c r="Q839" t="s">
        <v>3384</v>
      </c>
      <c r="R839" t="s">
        <v>4054</v>
      </c>
      <c r="S839">
        <v>1</v>
      </c>
      <c r="T839" t="s">
        <v>4196</v>
      </c>
      <c r="U839" t="s">
        <v>4224</v>
      </c>
      <c r="W839" t="s">
        <v>4246</v>
      </c>
      <c r="X839" t="s">
        <v>3382</v>
      </c>
      <c r="Y839" t="s">
        <v>3382</v>
      </c>
      <c r="AA839" t="s">
        <v>4256</v>
      </c>
      <c r="AC839">
        <v>0</v>
      </c>
      <c r="AD839">
        <v>1700</v>
      </c>
      <c r="AE839">
        <v>0.33</v>
      </c>
      <c r="AG839" t="s">
        <v>5081</v>
      </c>
      <c r="AI839" t="s">
        <v>6111</v>
      </c>
      <c r="AJ839">
        <v>1</v>
      </c>
      <c r="AK839" t="s">
        <v>6274</v>
      </c>
      <c r="AL839">
        <v>2</v>
      </c>
      <c r="AM839">
        <v>1</v>
      </c>
      <c r="AN839">
        <v>210.97</v>
      </c>
      <c r="AR839" t="s">
        <v>5312</v>
      </c>
      <c r="AS839" t="s">
        <v>6298</v>
      </c>
      <c r="AT839">
        <v>45000</v>
      </c>
      <c r="AX839" t="s">
        <v>6441</v>
      </c>
      <c r="BA839" t="s">
        <v>6477</v>
      </c>
      <c r="BD839" t="s">
        <v>237</v>
      </c>
      <c r="BE839" t="s">
        <v>6702</v>
      </c>
    </row>
    <row r="840" spans="1:57">
      <c r="A840" s="1">
        <f>HYPERLINK("https://lsnyc.legalserver.org/matter/dynamic-profile/view/1908620","19-1908620")</f>
        <v>0</v>
      </c>
      <c r="B840" t="s">
        <v>60</v>
      </c>
      <c r="C840" t="s">
        <v>197</v>
      </c>
      <c r="D840" t="s">
        <v>214</v>
      </c>
      <c r="E840" t="s">
        <v>528</v>
      </c>
      <c r="G840" t="s">
        <v>1232</v>
      </c>
      <c r="H840" t="s">
        <v>1937</v>
      </c>
      <c r="J840" t="s">
        <v>2838</v>
      </c>
      <c r="K840" t="s">
        <v>2995</v>
      </c>
      <c r="L840" t="s">
        <v>3340</v>
      </c>
      <c r="M840" t="s">
        <v>3379</v>
      </c>
      <c r="N840">
        <v>11377</v>
      </c>
      <c r="O840" t="s">
        <v>3380</v>
      </c>
      <c r="P840" t="s">
        <v>3381</v>
      </c>
      <c r="Q840" t="s">
        <v>3383</v>
      </c>
      <c r="R840" t="s">
        <v>4055</v>
      </c>
      <c r="S840">
        <v>20</v>
      </c>
      <c r="T840" t="s">
        <v>4196</v>
      </c>
      <c r="U840" t="s">
        <v>4223</v>
      </c>
      <c r="W840" t="s">
        <v>4245</v>
      </c>
      <c r="X840" t="s">
        <v>3382</v>
      </c>
      <c r="Y840" t="s">
        <v>3382</v>
      </c>
      <c r="AA840" t="s">
        <v>4256</v>
      </c>
      <c r="AB840" t="s">
        <v>4261</v>
      </c>
      <c r="AC840">
        <v>0</v>
      </c>
      <c r="AD840">
        <v>1155</v>
      </c>
      <c r="AE840">
        <v>18.93</v>
      </c>
      <c r="AG840" t="s">
        <v>5082</v>
      </c>
      <c r="AH840" t="s">
        <v>3406</v>
      </c>
      <c r="AI840" t="s">
        <v>6112</v>
      </c>
      <c r="AJ840">
        <v>6</v>
      </c>
      <c r="AK840" t="s">
        <v>6267</v>
      </c>
      <c r="AL840">
        <v>3</v>
      </c>
      <c r="AM840">
        <v>0</v>
      </c>
      <c r="AN840">
        <v>170.65</v>
      </c>
      <c r="AR840" t="s">
        <v>5312</v>
      </c>
      <c r="AS840" t="s">
        <v>6315</v>
      </c>
      <c r="AT840">
        <v>36400</v>
      </c>
      <c r="AX840" t="s">
        <v>184</v>
      </c>
      <c r="BA840" t="s">
        <v>6590</v>
      </c>
      <c r="BD840" t="s">
        <v>305</v>
      </c>
      <c r="BE840" t="s">
        <v>6702</v>
      </c>
    </row>
    <row r="841" spans="1:57">
      <c r="A841" s="1">
        <f>HYPERLINK("https://lsnyc.legalserver.org/matter/dynamic-profile/view/1913573","19-1913573")</f>
        <v>0</v>
      </c>
      <c r="B841" t="s">
        <v>60</v>
      </c>
      <c r="C841" t="s">
        <v>197</v>
      </c>
      <c r="D841" t="s">
        <v>214</v>
      </c>
      <c r="E841" t="s">
        <v>251</v>
      </c>
      <c r="G841" t="s">
        <v>1233</v>
      </c>
      <c r="H841" t="s">
        <v>1938</v>
      </c>
      <c r="J841" t="s">
        <v>2839</v>
      </c>
      <c r="K841">
        <v>16</v>
      </c>
      <c r="L841" t="s">
        <v>3341</v>
      </c>
      <c r="M841" t="s">
        <v>3379</v>
      </c>
      <c r="N841">
        <v>11373</v>
      </c>
      <c r="O841" t="s">
        <v>3380</v>
      </c>
      <c r="P841" t="s">
        <v>3381</v>
      </c>
      <c r="Q841" t="s">
        <v>3384</v>
      </c>
      <c r="R841" t="s">
        <v>4056</v>
      </c>
      <c r="S841">
        <v>9</v>
      </c>
      <c r="T841" t="s">
        <v>4197</v>
      </c>
      <c r="U841" t="s">
        <v>4224</v>
      </c>
      <c r="W841" t="s">
        <v>4246</v>
      </c>
      <c r="X841" t="s">
        <v>3382</v>
      </c>
      <c r="Y841" t="s">
        <v>3382</v>
      </c>
      <c r="AA841" t="s">
        <v>4256</v>
      </c>
      <c r="AC841">
        <v>0</v>
      </c>
      <c r="AD841">
        <v>1626.59</v>
      </c>
      <c r="AE841">
        <v>1.53</v>
      </c>
      <c r="AG841" t="s">
        <v>5083</v>
      </c>
      <c r="AI841" t="s">
        <v>6113</v>
      </c>
      <c r="AJ841">
        <v>40</v>
      </c>
      <c r="AK841" t="s">
        <v>6267</v>
      </c>
      <c r="AL841">
        <v>4</v>
      </c>
      <c r="AM841">
        <v>0</v>
      </c>
      <c r="AN841">
        <v>358.83</v>
      </c>
      <c r="AO841" t="s">
        <v>230</v>
      </c>
      <c r="AP841" t="s">
        <v>6283</v>
      </c>
      <c r="AR841" t="s">
        <v>5312</v>
      </c>
      <c r="AS841" t="s">
        <v>6299</v>
      </c>
      <c r="AT841">
        <v>92400</v>
      </c>
      <c r="AX841" t="s">
        <v>6441</v>
      </c>
      <c r="BA841" t="s">
        <v>6477</v>
      </c>
      <c r="BD841" t="s">
        <v>218</v>
      </c>
      <c r="BE841" t="s">
        <v>6702</v>
      </c>
    </row>
    <row r="842" spans="1:57">
      <c r="A842" s="1">
        <f>HYPERLINK("https://lsnyc.legalserver.org/matter/dynamic-profile/view/1910109","19-1910109")</f>
        <v>0</v>
      </c>
      <c r="B842" t="s">
        <v>60</v>
      </c>
      <c r="C842" t="s">
        <v>197</v>
      </c>
      <c r="D842" t="s">
        <v>214</v>
      </c>
      <c r="E842" t="s">
        <v>274</v>
      </c>
      <c r="G842" t="s">
        <v>1234</v>
      </c>
      <c r="H842" t="s">
        <v>1480</v>
      </c>
      <c r="J842" t="s">
        <v>2840</v>
      </c>
      <c r="K842" t="s">
        <v>3110</v>
      </c>
      <c r="L842" t="s">
        <v>3341</v>
      </c>
      <c r="M842" t="s">
        <v>3379</v>
      </c>
      <c r="N842">
        <v>11373</v>
      </c>
      <c r="O842" t="s">
        <v>3380</v>
      </c>
      <c r="P842" t="s">
        <v>3381</v>
      </c>
      <c r="Q842" t="s">
        <v>3384</v>
      </c>
      <c r="R842" t="s">
        <v>4057</v>
      </c>
      <c r="S842">
        <v>30</v>
      </c>
      <c r="T842" t="s">
        <v>4196</v>
      </c>
      <c r="U842" t="s">
        <v>4223</v>
      </c>
      <c r="W842" t="s">
        <v>4246</v>
      </c>
      <c r="X842" t="s">
        <v>3382</v>
      </c>
      <c r="AA842" t="s">
        <v>4256</v>
      </c>
      <c r="AC842">
        <v>0</v>
      </c>
      <c r="AD842">
        <v>1900</v>
      </c>
      <c r="AE842">
        <v>8.18</v>
      </c>
      <c r="AG842" t="s">
        <v>5084</v>
      </c>
      <c r="AI842" t="s">
        <v>6114</v>
      </c>
      <c r="AJ842">
        <v>120</v>
      </c>
      <c r="AK842" t="s">
        <v>6267</v>
      </c>
      <c r="AL842">
        <v>4</v>
      </c>
      <c r="AM842">
        <v>1</v>
      </c>
      <c r="AN842">
        <v>91.48</v>
      </c>
      <c r="AR842" t="s">
        <v>5312</v>
      </c>
      <c r="AS842" t="s">
        <v>6298</v>
      </c>
      <c r="AT842">
        <v>27600</v>
      </c>
      <c r="AX842" t="s">
        <v>6441</v>
      </c>
      <c r="BA842" t="s">
        <v>6591</v>
      </c>
      <c r="BD842" t="s">
        <v>266</v>
      </c>
      <c r="BE842" t="s">
        <v>6702</v>
      </c>
    </row>
    <row r="843" spans="1:57">
      <c r="A843" s="1">
        <f>HYPERLINK("https://lsnyc.legalserver.org/matter/dynamic-profile/view/1913584","19-1913584")</f>
        <v>0</v>
      </c>
      <c r="B843" t="s">
        <v>60</v>
      </c>
      <c r="C843" t="s">
        <v>197</v>
      </c>
      <c r="D843" t="s">
        <v>214</v>
      </c>
      <c r="E843" t="s">
        <v>251</v>
      </c>
      <c r="G843" t="s">
        <v>849</v>
      </c>
      <c r="H843" t="s">
        <v>1939</v>
      </c>
      <c r="J843" t="s">
        <v>2841</v>
      </c>
      <c r="K843" t="s">
        <v>3126</v>
      </c>
      <c r="L843" t="s">
        <v>3341</v>
      </c>
      <c r="M843" t="s">
        <v>3379</v>
      </c>
      <c r="N843">
        <v>11373</v>
      </c>
      <c r="O843" t="s">
        <v>3380</v>
      </c>
      <c r="P843" t="s">
        <v>3381</v>
      </c>
      <c r="Q843" t="s">
        <v>3384</v>
      </c>
      <c r="R843" t="s">
        <v>4058</v>
      </c>
      <c r="S843">
        <v>34</v>
      </c>
      <c r="T843" t="s">
        <v>4196</v>
      </c>
      <c r="U843" t="s">
        <v>4223</v>
      </c>
      <c r="W843" t="s">
        <v>4246</v>
      </c>
      <c r="X843" t="s">
        <v>3382</v>
      </c>
      <c r="Y843" t="s">
        <v>3382</v>
      </c>
      <c r="AA843" t="s">
        <v>4256</v>
      </c>
      <c r="AC843">
        <v>0</v>
      </c>
      <c r="AD843">
        <v>1140.01</v>
      </c>
      <c r="AE843">
        <v>2.93</v>
      </c>
      <c r="AG843" t="s">
        <v>5085</v>
      </c>
      <c r="AI843" t="s">
        <v>6115</v>
      </c>
      <c r="AJ843">
        <v>25</v>
      </c>
      <c r="AK843" t="s">
        <v>6267</v>
      </c>
      <c r="AL843">
        <v>1</v>
      </c>
      <c r="AM843">
        <v>1</v>
      </c>
      <c r="AN843">
        <v>0</v>
      </c>
      <c r="AR843" t="s">
        <v>5312</v>
      </c>
      <c r="AS843" t="s">
        <v>6298</v>
      </c>
      <c r="AT843">
        <v>0</v>
      </c>
      <c r="AX843" t="s">
        <v>6441</v>
      </c>
      <c r="BA843" t="s">
        <v>6479</v>
      </c>
      <c r="BD843" t="s">
        <v>267</v>
      </c>
      <c r="BE843" t="s">
        <v>6702</v>
      </c>
    </row>
    <row r="844" spans="1:57">
      <c r="A844" s="1">
        <f>HYPERLINK("https://lsnyc.legalserver.org/matter/dynamic-profile/view/1905254","19-1905254")</f>
        <v>0</v>
      </c>
      <c r="B844" t="s">
        <v>60</v>
      </c>
      <c r="C844" t="s">
        <v>198</v>
      </c>
      <c r="D844" t="s">
        <v>214</v>
      </c>
      <c r="E844" t="s">
        <v>405</v>
      </c>
      <c r="G844" t="s">
        <v>1235</v>
      </c>
      <c r="H844" t="s">
        <v>1940</v>
      </c>
      <c r="J844" t="s">
        <v>2842</v>
      </c>
      <c r="L844" t="s">
        <v>3333</v>
      </c>
      <c r="M844" t="s">
        <v>3379</v>
      </c>
      <c r="N844">
        <v>11434</v>
      </c>
      <c r="O844" t="s">
        <v>3380</v>
      </c>
      <c r="P844" t="s">
        <v>3381</v>
      </c>
      <c r="Q844" t="s">
        <v>3384</v>
      </c>
      <c r="R844" t="s">
        <v>4059</v>
      </c>
      <c r="S844">
        <v>-1</v>
      </c>
      <c r="T844" t="s">
        <v>4197</v>
      </c>
      <c r="U844" t="s">
        <v>4223</v>
      </c>
      <c r="W844" t="s">
        <v>4246</v>
      </c>
      <c r="X844" t="s">
        <v>3382</v>
      </c>
      <c r="Y844" t="s">
        <v>3382</v>
      </c>
      <c r="AA844" t="s">
        <v>4256</v>
      </c>
      <c r="AB844" t="s">
        <v>4261</v>
      </c>
      <c r="AC844">
        <v>0</v>
      </c>
      <c r="AD844">
        <v>1600</v>
      </c>
      <c r="AE844">
        <v>36.62</v>
      </c>
      <c r="AG844" t="s">
        <v>5086</v>
      </c>
      <c r="AI844" t="s">
        <v>6116</v>
      </c>
      <c r="AJ844">
        <v>0</v>
      </c>
      <c r="AL844">
        <v>2</v>
      </c>
      <c r="AM844">
        <v>4</v>
      </c>
      <c r="AN844">
        <v>115.64</v>
      </c>
      <c r="AR844" t="s">
        <v>5312</v>
      </c>
      <c r="AS844" t="s">
        <v>6298</v>
      </c>
      <c r="AT844">
        <v>40000</v>
      </c>
      <c r="AX844" t="s">
        <v>6441</v>
      </c>
      <c r="BA844" t="s">
        <v>6477</v>
      </c>
      <c r="BD844" t="s">
        <v>275</v>
      </c>
      <c r="BE844" t="s">
        <v>6702</v>
      </c>
    </row>
    <row r="845" spans="1:57">
      <c r="A845" s="1">
        <f>HYPERLINK("https://lsnyc.legalserver.org/matter/dynamic-profile/view/1908456","19-1908456")</f>
        <v>0</v>
      </c>
      <c r="B845" t="s">
        <v>60</v>
      </c>
      <c r="C845" t="s">
        <v>198</v>
      </c>
      <c r="D845" t="s">
        <v>214</v>
      </c>
      <c r="E845" t="s">
        <v>301</v>
      </c>
      <c r="G845" t="s">
        <v>1236</v>
      </c>
      <c r="H845" t="s">
        <v>1941</v>
      </c>
      <c r="J845" t="s">
        <v>2843</v>
      </c>
      <c r="K845">
        <v>1</v>
      </c>
      <c r="L845" t="s">
        <v>3333</v>
      </c>
      <c r="M845" t="s">
        <v>3379</v>
      </c>
      <c r="N845">
        <v>11434</v>
      </c>
      <c r="O845" t="s">
        <v>3381</v>
      </c>
      <c r="P845" t="s">
        <v>3381</v>
      </c>
      <c r="Q845" t="s">
        <v>3384</v>
      </c>
      <c r="R845" t="s">
        <v>4060</v>
      </c>
      <c r="S845">
        <v>1</v>
      </c>
      <c r="T845" t="s">
        <v>4197</v>
      </c>
      <c r="U845" t="s">
        <v>4223</v>
      </c>
      <c r="W845" t="s">
        <v>4246</v>
      </c>
      <c r="X845" t="s">
        <v>3382</v>
      </c>
      <c r="Y845" t="s">
        <v>3382</v>
      </c>
      <c r="Z845" t="s">
        <v>4246</v>
      </c>
      <c r="AA845" t="s">
        <v>4256</v>
      </c>
      <c r="AB845" t="s">
        <v>4261</v>
      </c>
      <c r="AC845">
        <v>0</v>
      </c>
      <c r="AD845">
        <v>2100</v>
      </c>
      <c r="AE845">
        <v>10.03</v>
      </c>
      <c r="AG845" t="s">
        <v>5087</v>
      </c>
      <c r="AI845" t="s">
        <v>6117</v>
      </c>
      <c r="AJ845">
        <v>3</v>
      </c>
      <c r="AK845" t="s">
        <v>6274</v>
      </c>
      <c r="AL845">
        <v>2</v>
      </c>
      <c r="AM845">
        <v>1</v>
      </c>
      <c r="AN845">
        <v>243.79</v>
      </c>
      <c r="AR845" t="s">
        <v>6297</v>
      </c>
      <c r="AS845" t="s">
        <v>6298</v>
      </c>
      <c r="AT845">
        <v>52000</v>
      </c>
      <c r="AX845" t="s">
        <v>6441</v>
      </c>
      <c r="BA845" t="s">
        <v>6477</v>
      </c>
      <c r="BD845" t="s">
        <v>233</v>
      </c>
    </row>
    <row r="846" spans="1:57">
      <c r="A846" s="1">
        <f>HYPERLINK("https://lsnyc.legalserver.org/matter/dynamic-profile/view/1902290","19-1902290")</f>
        <v>0</v>
      </c>
      <c r="B846" t="s">
        <v>60</v>
      </c>
      <c r="C846" t="s">
        <v>198</v>
      </c>
      <c r="D846" t="s">
        <v>214</v>
      </c>
      <c r="E846" t="s">
        <v>263</v>
      </c>
      <c r="G846" t="s">
        <v>710</v>
      </c>
      <c r="H846" t="s">
        <v>1942</v>
      </c>
      <c r="J846" t="s">
        <v>2844</v>
      </c>
      <c r="K846" t="s">
        <v>3009</v>
      </c>
      <c r="L846" t="s">
        <v>3333</v>
      </c>
      <c r="M846" t="s">
        <v>3379</v>
      </c>
      <c r="N846">
        <v>11433</v>
      </c>
      <c r="O846" t="s">
        <v>3380</v>
      </c>
      <c r="P846" t="s">
        <v>3381</v>
      </c>
      <c r="R846" t="s">
        <v>4061</v>
      </c>
      <c r="S846">
        <v>4</v>
      </c>
      <c r="T846" t="s">
        <v>4196</v>
      </c>
      <c r="U846" t="s">
        <v>4224</v>
      </c>
      <c r="W846" t="s">
        <v>4246</v>
      </c>
      <c r="X846" t="s">
        <v>3382</v>
      </c>
      <c r="AA846" t="s">
        <v>4256</v>
      </c>
      <c r="AC846">
        <v>0</v>
      </c>
      <c r="AD846">
        <v>250</v>
      </c>
      <c r="AE846">
        <v>4.5</v>
      </c>
      <c r="AG846" t="s">
        <v>5088</v>
      </c>
      <c r="AI846" t="s">
        <v>6118</v>
      </c>
      <c r="AJ846">
        <v>56</v>
      </c>
      <c r="AK846" t="s">
        <v>6270</v>
      </c>
      <c r="AL846">
        <v>1</v>
      </c>
      <c r="AM846">
        <v>0</v>
      </c>
      <c r="AN846">
        <v>0</v>
      </c>
      <c r="AS846" t="s">
        <v>6298</v>
      </c>
      <c r="AT846">
        <v>0</v>
      </c>
      <c r="AX846" t="s">
        <v>6388</v>
      </c>
      <c r="BA846" t="s">
        <v>6486</v>
      </c>
      <c r="BD846" t="s">
        <v>287</v>
      </c>
    </row>
    <row r="847" spans="1:57">
      <c r="A847" s="1">
        <f>HYPERLINK("https://lsnyc.legalserver.org/matter/dynamic-profile/view/1907937","19-1907937")</f>
        <v>0</v>
      </c>
      <c r="B847" t="s">
        <v>60</v>
      </c>
      <c r="C847" t="s">
        <v>198</v>
      </c>
      <c r="D847" t="s">
        <v>214</v>
      </c>
      <c r="E847" t="s">
        <v>381</v>
      </c>
      <c r="G847" t="s">
        <v>1034</v>
      </c>
      <c r="H847" t="s">
        <v>1335</v>
      </c>
      <c r="J847" t="s">
        <v>2845</v>
      </c>
      <c r="K847">
        <v>2</v>
      </c>
      <c r="L847" t="s">
        <v>3337</v>
      </c>
      <c r="M847" t="s">
        <v>3379</v>
      </c>
      <c r="N847">
        <v>11417</v>
      </c>
      <c r="O847" t="s">
        <v>3380</v>
      </c>
      <c r="P847" t="s">
        <v>3381</v>
      </c>
      <c r="Q847" t="s">
        <v>3383</v>
      </c>
      <c r="R847" t="s">
        <v>4062</v>
      </c>
      <c r="S847">
        <v>29</v>
      </c>
      <c r="T847" t="s">
        <v>4197</v>
      </c>
      <c r="U847" t="s">
        <v>4223</v>
      </c>
      <c r="W847" t="s">
        <v>4245</v>
      </c>
      <c r="X847" t="s">
        <v>3382</v>
      </c>
      <c r="Y847" t="s">
        <v>3382</v>
      </c>
      <c r="AA847" t="s">
        <v>4256</v>
      </c>
      <c r="AB847" t="s">
        <v>4261</v>
      </c>
      <c r="AC847">
        <v>0</v>
      </c>
      <c r="AD847">
        <v>650</v>
      </c>
      <c r="AE847">
        <v>9.15</v>
      </c>
      <c r="AG847" t="s">
        <v>5089</v>
      </c>
      <c r="AH847" t="s">
        <v>5349</v>
      </c>
      <c r="AI847" t="s">
        <v>6119</v>
      </c>
      <c r="AJ847">
        <v>3</v>
      </c>
      <c r="AK847" t="s">
        <v>6274</v>
      </c>
      <c r="AL847">
        <v>1</v>
      </c>
      <c r="AM847">
        <v>0</v>
      </c>
      <c r="AN847">
        <v>76.29000000000001</v>
      </c>
      <c r="AR847" t="s">
        <v>5312</v>
      </c>
      <c r="AS847" t="s">
        <v>6298</v>
      </c>
      <c r="AT847">
        <v>9528</v>
      </c>
      <c r="AX847" t="s">
        <v>184</v>
      </c>
      <c r="BA847" t="s">
        <v>6482</v>
      </c>
      <c r="BD847" t="s">
        <v>272</v>
      </c>
      <c r="BE847" t="s">
        <v>6702</v>
      </c>
    </row>
    <row r="848" spans="1:57">
      <c r="A848" s="1">
        <f>HYPERLINK("https://lsnyc.legalserver.org/matter/dynamic-profile/view/1913809","19-1913809")</f>
        <v>0</v>
      </c>
      <c r="B848" t="s">
        <v>60</v>
      </c>
      <c r="C848" t="s">
        <v>198</v>
      </c>
      <c r="D848" t="s">
        <v>214</v>
      </c>
      <c r="E848" t="s">
        <v>222</v>
      </c>
      <c r="G848" t="s">
        <v>702</v>
      </c>
      <c r="H848" t="s">
        <v>1943</v>
      </c>
      <c r="J848" t="s">
        <v>2846</v>
      </c>
      <c r="K848" t="s">
        <v>3252</v>
      </c>
      <c r="L848" t="s">
        <v>3359</v>
      </c>
      <c r="M848" t="s">
        <v>3379</v>
      </c>
      <c r="N848">
        <v>11413</v>
      </c>
      <c r="O848" t="s">
        <v>3380</v>
      </c>
      <c r="P848" t="s">
        <v>3381</v>
      </c>
      <c r="Q848" t="s">
        <v>3383</v>
      </c>
      <c r="R848" t="s">
        <v>4063</v>
      </c>
      <c r="S848">
        <v>3</v>
      </c>
      <c r="T848" t="s">
        <v>4197</v>
      </c>
      <c r="U848" t="s">
        <v>4225</v>
      </c>
      <c r="W848" t="s">
        <v>4245</v>
      </c>
      <c r="X848" t="s">
        <v>3382</v>
      </c>
      <c r="Y848" t="s">
        <v>3382</v>
      </c>
      <c r="AA848" t="s">
        <v>4256</v>
      </c>
      <c r="AC848">
        <v>0</v>
      </c>
      <c r="AD848">
        <v>650</v>
      </c>
      <c r="AE848">
        <v>1.43</v>
      </c>
      <c r="AG848" t="s">
        <v>5090</v>
      </c>
      <c r="AH848" t="s">
        <v>5350</v>
      </c>
      <c r="AI848" t="s">
        <v>6120</v>
      </c>
      <c r="AJ848">
        <v>3</v>
      </c>
      <c r="AK848" t="s">
        <v>6274</v>
      </c>
      <c r="AL848">
        <v>1</v>
      </c>
      <c r="AM848">
        <v>0</v>
      </c>
      <c r="AN848">
        <v>17.58</v>
      </c>
      <c r="AR848" t="s">
        <v>5312</v>
      </c>
      <c r="AS848" t="s">
        <v>6298</v>
      </c>
      <c r="AT848">
        <v>2196</v>
      </c>
      <c r="AX848" t="s">
        <v>6441</v>
      </c>
      <c r="BA848" t="s">
        <v>6526</v>
      </c>
      <c r="BD848" t="s">
        <v>230</v>
      </c>
      <c r="BE848" t="s">
        <v>6702</v>
      </c>
    </row>
    <row r="849" spans="1:57">
      <c r="A849" s="1">
        <f>HYPERLINK("https://lsnyc.legalserver.org/matter/dynamic-profile/view/1914925","19-1914925")</f>
        <v>0</v>
      </c>
      <c r="B849" t="s">
        <v>60</v>
      </c>
      <c r="C849" t="s">
        <v>198</v>
      </c>
      <c r="D849" t="s">
        <v>214</v>
      </c>
      <c r="E849" t="s">
        <v>243</v>
      </c>
      <c r="G849" t="s">
        <v>1237</v>
      </c>
      <c r="H849" t="s">
        <v>1764</v>
      </c>
      <c r="J849" t="s">
        <v>2847</v>
      </c>
      <c r="K849" t="s">
        <v>3047</v>
      </c>
      <c r="L849" t="s">
        <v>3357</v>
      </c>
      <c r="M849" t="s">
        <v>3379</v>
      </c>
      <c r="N849">
        <v>11385</v>
      </c>
      <c r="O849" t="s">
        <v>3380</v>
      </c>
      <c r="P849" t="s">
        <v>3381</v>
      </c>
      <c r="Q849" t="s">
        <v>3384</v>
      </c>
      <c r="R849" t="s">
        <v>4064</v>
      </c>
      <c r="S849">
        <v>12</v>
      </c>
      <c r="T849" t="s">
        <v>4197</v>
      </c>
      <c r="U849" t="s">
        <v>4224</v>
      </c>
      <c r="W849" t="s">
        <v>4246</v>
      </c>
      <c r="X849" t="s">
        <v>3382</v>
      </c>
      <c r="Y849" t="s">
        <v>3382</v>
      </c>
      <c r="AA849" t="s">
        <v>4256</v>
      </c>
      <c r="AC849">
        <v>0</v>
      </c>
      <c r="AD849">
        <v>2050</v>
      </c>
      <c r="AE849">
        <v>0.25</v>
      </c>
      <c r="AG849" t="s">
        <v>5091</v>
      </c>
      <c r="AI849" t="s">
        <v>6121</v>
      </c>
      <c r="AJ849">
        <v>3</v>
      </c>
      <c r="AK849" t="s">
        <v>6274</v>
      </c>
      <c r="AL849">
        <v>4</v>
      </c>
      <c r="AM849">
        <v>1</v>
      </c>
      <c r="AN849">
        <v>149.15</v>
      </c>
      <c r="AR849" t="s">
        <v>5312</v>
      </c>
      <c r="AS849" t="s">
        <v>6299</v>
      </c>
      <c r="AT849">
        <v>45000</v>
      </c>
      <c r="AX849" t="s">
        <v>6441</v>
      </c>
      <c r="BA849" t="s">
        <v>6477</v>
      </c>
      <c r="BD849" t="s">
        <v>243</v>
      </c>
      <c r="BE849" t="s">
        <v>6702</v>
      </c>
    </row>
    <row r="850" spans="1:57">
      <c r="A850" s="1">
        <f>HYPERLINK("https://lsnyc.legalserver.org/matter/dynamic-profile/view/1909693","19-1909693")</f>
        <v>0</v>
      </c>
      <c r="B850" t="s">
        <v>60</v>
      </c>
      <c r="C850" t="s">
        <v>198</v>
      </c>
      <c r="D850" t="s">
        <v>214</v>
      </c>
      <c r="E850" t="s">
        <v>407</v>
      </c>
      <c r="G850" t="s">
        <v>1238</v>
      </c>
      <c r="H850" t="s">
        <v>1944</v>
      </c>
      <c r="J850" t="s">
        <v>2848</v>
      </c>
      <c r="K850" t="s">
        <v>3259</v>
      </c>
      <c r="L850" t="s">
        <v>3353</v>
      </c>
      <c r="M850" t="s">
        <v>3379</v>
      </c>
      <c r="N850">
        <v>11365</v>
      </c>
      <c r="O850" t="s">
        <v>3380</v>
      </c>
      <c r="P850" t="s">
        <v>3381</v>
      </c>
      <c r="Q850" t="s">
        <v>3383</v>
      </c>
      <c r="R850" t="s">
        <v>4065</v>
      </c>
      <c r="S850">
        <v>3</v>
      </c>
      <c r="T850" t="s">
        <v>4197</v>
      </c>
      <c r="U850" t="s">
        <v>4224</v>
      </c>
      <c r="W850" t="s">
        <v>4245</v>
      </c>
      <c r="X850" t="s">
        <v>3382</v>
      </c>
      <c r="Y850" t="s">
        <v>3382</v>
      </c>
      <c r="AA850" t="s">
        <v>4256</v>
      </c>
      <c r="AC850">
        <v>0</v>
      </c>
      <c r="AD850">
        <v>2400</v>
      </c>
      <c r="AE850">
        <v>19.82</v>
      </c>
      <c r="AG850" t="s">
        <v>5092</v>
      </c>
      <c r="AH850" t="s">
        <v>5351</v>
      </c>
      <c r="AI850" t="s">
        <v>6122</v>
      </c>
      <c r="AJ850">
        <v>3</v>
      </c>
      <c r="AL850">
        <v>3</v>
      </c>
      <c r="AM850">
        <v>1</v>
      </c>
      <c r="AN850">
        <v>39.75</v>
      </c>
      <c r="AR850" t="s">
        <v>6290</v>
      </c>
      <c r="AS850" t="s">
        <v>6298</v>
      </c>
      <c r="AT850">
        <v>10236</v>
      </c>
      <c r="AX850" t="s">
        <v>6441</v>
      </c>
      <c r="BA850" t="s">
        <v>6482</v>
      </c>
      <c r="BD850" t="s">
        <v>230</v>
      </c>
      <c r="BE850" t="s">
        <v>6702</v>
      </c>
    </row>
    <row r="851" spans="1:57">
      <c r="A851" s="1">
        <f>HYPERLINK("https://lsnyc.legalserver.org/matter/dynamic-profile/view/1913344","19-1913344")</f>
        <v>0</v>
      </c>
      <c r="B851" t="s">
        <v>60</v>
      </c>
      <c r="C851" t="s">
        <v>199</v>
      </c>
      <c r="D851" t="s">
        <v>214</v>
      </c>
      <c r="E851" t="s">
        <v>316</v>
      </c>
      <c r="G851" t="s">
        <v>1239</v>
      </c>
      <c r="H851" t="s">
        <v>1945</v>
      </c>
      <c r="J851" t="s">
        <v>2849</v>
      </c>
      <c r="L851" t="s">
        <v>3371</v>
      </c>
      <c r="M851" t="s">
        <v>3379</v>
      </c>
      <c r="N851">
        <v>11411</v>
      </c>
      <c r="O851" t="s">
        <v>3380</v>
      </c>
      <c r="P851" t="s">
        <v>3381</v>
      </c>
      <c r="Q851" t="s">
        <v>3383</v>
      </c>
      <c r="R851" t="s">
        <v>4066</v>
      </c>
      <c r="S851">
        <v>-1</v>
      </c>
      <c r="T851" t="s">
        <v>4197</v>
      </c>
      <c r="U851" t="s">
        <v>4224</v>
      </c>
      <c r="W851" t="s">
        <v>4245</v>
      </c>
      <c r="X851" t="s">
        <v>3382</v>
      </c>
      <c r="Y851" t="s">
        <v>3382</v>
      </c>
      <c r="AA851" t="s">
        <v>4256</v>
      </c>
      <c r="AC851">
        <v>0</v>
      </c>
      <c r="AD851">
        <v>2500</v>
      </c>
      <c r="AE851">
        <v>2</v>
      </c>
      <c r="AG851" t="s">
        <v>5093</v>
      </c>
      <c r="AI851" t="s">
        <v>6123</v>
      </c>
      <c r="AJ851">
        <v>1</v>
      </c>
      <c r="AK851" t="s">
        <v>6266</v>
      </c>
      <c r="AL851">
        <v>1</v>
      </c>
      <c r="AM851">
        <v>6</v>
      </c>
      <c r="AN851">
        <v>146.85</v>
      </c>
      <c r="AR851" t="s">
        <v>5312</v>
      </c>
      <c r="AS851" t="s">
        <v>6298</v>
      </c>
      <c r="AT851">
        <v>57288</v>
      </c>
      <c r="AX851" t="s">
        <v>6441</v>
      </c>
      <c r="BA851" t="s">
        <v>6474</v>
      </c>
      <c r="BD851" t="s">
        <v>316</v>
      </c>
      <c r="BE851" t="s">
        <v>6702</v>
      </c>
    </row>
    <row r="852" spans="1:57">
      <c r="A852" s="1">
        <f>HYPERLINK("https://lsnyc.legalserver.org/matter/dynamic-profile/view/1913336","19-1913336")</f>
        <v>0</v>
      </c>
      <c r="B852" t="s">
        <v>60</v>
      </c>
      <c r="C852" t="s">
        <v>200</v>
      </c>
      <c r="D852" t="s">
        <v>214</v>
      </c>
      <c r="E852" t="s">
        <v>316</v>
      </c>
      <c r="G852" t="s">
        <v>759</v>
      </c>
      <c r="H852" t="s">
        <v>1946</v>
      </c>
      <c r="J852" t="s">
        <v>2850</v>
      </c>
      <c r="K852" t="s">
        <v>3040</v>
      </c>
      <c r="L852" t="s">
        <v>3333</v>
      </c>
      <c r="M852" t="s">
        <v>3379</v>
      </c>
      <c r="N852">
        <v>11435</v>
      </c>
      <c r="O852" t="s">
        <v>3380</v>
      </c>
      <c r="P852" t="s">
        <v>3381</v>
      </c>
      <c r="Q852" t="s">
        <v>3383</v>
      </c>
      <c r="R852" t="s">
        <v>4067</v>
      </c>
      <c r="S852">
        <v>30</v>
      </c>
      <c r="T852" t="s">
        <v>4196</v>
      </c>
      <c r="U852" t="s">
        <v>4224</v>
      </c>
      <c r="W852" t="s">
        <v>4246</v>
      </c>
      <c r="X852" t="s">
        <v>3382</v>
      </c>
      <c r="Y852" t="s">
        <v>3382</v>
      </c>
      <c r="AA852" t="s">
        <v>4256</v>
      </c>
      <c r="AC852">
        <v>0</v>
      </c>
      <c r="AD852">
        <v>1016.33</v>
      </c>
      <c r="AE852">
        <v>2.9</v>
      </c>
      <c r="AG852" t="s">
        <v>5094</v>
      </c>
      <c r="AI852" t="s">
        <v>6124</v>
      </c>
      <c r="AJ852">
        <v>35</v>
      </c>
      <c r="AK852" t="s">
        <v>6266</v>
      </c>
      <c r="AL852">
        <v>1</v>
      </c>
      <c r="AM852">
        <v>0</v>
      </c>
      <c r="AN852">
        <v>124.32</v>
      </c>
      <c r="AR852" t="s">
        <v>5312</v>
      </c>
      <c r="AS852" t="s">
        <v>6299</v>
      </c>
      <c r="AT852">
        <v>15528</v>
      </c>
      <c r="AX852" t="s">
        <v>6441</v>
      </c>
      <c r="BA852" t="s">
        <v>6592</v>
      </c>
      <c r="BD852" t="s">
        <v>237</v>
      </c>
      <c r="BE852" t="s">
        <v>6702</v>
      </c>
    </row>
    <row r="853" spans="1:57">
      <c r="A853" s="1">
        <f>HYPERLINK("https://lsnyc.legalserver.org/matter/dynamic-profile/view/1909128","19-1909128")</f>
        <v>0</v>
      </c>
      <c r="B853" t="s">
        <v>60</v>
      </c>
      <c r="C853" t="s">
        <v>200</v>
      </c>
      <c r="D853" t="s">
        <v>214</v>
      </c>
      <c r="E853" t="s">
        <v>318</v>
      </c>
      <c r="G853" t="s">
        <v>954</v>
      </c>
      <c r="H853" t="s">
        <v>1899</v>
      </c>
      <c r="J853" t="s">
        <v>2851</v>
      </c>
      <c r="K853" t="s">
        <v>3295</v>
      </c>
      <c r="L853" t="s">
        <v>3333</v>
      </c>
      <c r="M853" t="s">
        <v>3379</v>
      </c>
      <c r="N853">
        <v>11434</v>
      </c>
      <c r="O853" t="s">
        <v>3382</v>
      </c>
      <c r="P853" t="s">
        <v>3381</v>
      </c>
      <c r="R853" t="s">
        <v>4068</v>
      </c>
      <c r="S853">
        <v>3</v>
      </c>
      <c r="T853" t="s">
        <v>4197</v>
      </c>
      <c r="U853" t="s">
        <v>4223</v>
      </c>
      <c r="W853" t="s">
        <v>4246</v>
      </c>
      <c r="X853" t="s">
        <v>3382</v>
      </c>
      <c r="Y853" t="s">
        <v>3382</v>
      </c>
      <c r="AA853" t="s">
        <v>4256</v>
      </c>
      <c r="AC853">
        <v>0</v>
      </c>
      <c r="AD853">
        <v>1800</v>
      </c>
      <c r="AE853">
        <v>16.45</v>
      </c>
      <c r="AG853" t="s">
        <v>5095</v>
      </c>
      <c r="AI853" t="s">
        <v>6125</v>
      </c>
      <c r="AJ853">
        <v>293</v>
      </c>
      <c r="AK853" t="s">
        <v>6277</v>
      </c>
      <c r="AL853">
        <v>3</v>
      </c>
      <c r="AM853">
        <v>1</v>
      </c>
      <c r="AN853">
        <v>155.34</v>
      </c>
      <c r="AR853" t="s">
        <v>5312</v>
      </c>
      <c r="AS853" t="s">
        <v>6298</v>
      </c>
      <c r="AT853">
        <v>40000</v>
      </c>
      <c r="AX853" t="s">
        <v>6441</v>
      </c>
      <c r="BA853" t="s">
        <v>6477</v>
      </c>
      <c r="BD853" t="s">
        <v>243</v>
      </c>
      <c r="BE853" t="s">
        <v>5312</v>
      </c>
    </row>
    <row r="854" spans="1:57">
      <c r="A854" s="1">
        <f>HYPERLINK("https://lsnyc.legalserver.org/matter/dynamic-profile/view/1915075","19-1915075")</f>
        <v>0</v>
      </c>
      <c r="B854" t="s">
        <v>60</v>
      </c>
      <c r="C854" t="s">
        <v>200</v>
      </c>
      <c r="D854" t="s">
        <v>214</v>
      </c>
      <c r="E854" t="s">
        <v>237</v>
      </c>
      <c r="G854" t="s">
        <v>712</v>
      </c>
      <c r="H854" t="s">
        <v>1947</v>
      </c>
      <c r="J854" t="s">
        <v>2852</v>
      </c>
      <c r="K854" t="s">
        <v>3047</v>
      </c>
      <c r="L854" t="s">
        <v>3333</v>
      </c>
      <c r="M854" t="s">
        <v>3379</v>
      </c>
      <c r="N854">
        <v>11434</v>
      </c>
      <c r="O854" t="s">
        <v>3380</v>
      </c>
      <c r="P854" t="s">
        <v>3381</v>
      </c>
      <c r="Q854" t="s">
        <v>3384</v>
      </c>
      <c r="R854" t="s">
        <v>4069</v>
      </c>
      <c r="S854">
        <v>-1</v>
      </c>
      <c r="T854" t="s">
        <v>4197</v>
      </c>
      <c r="U854" t="s">
        <v>4223</v>
      </c>
      <c r="W854" t="s">
        <v>4246</v>
      </c>
      <c r="X854" t="s">
        <v>3382</v>
      </c>
      <c r="Y854" t="s">
        <v>3382</v>
      </c>
      <c r="AA854" t="s">
        <v>4256</v>
      </c>
      <c r="AC854">
        <v>0</v>
      </c>
      <c r="AD854">
        <v>500</v>
      </c>
      <c r="AE854">
        <v>3.33</v>
      </c>
      <c r="AG854" t="s">
        <v>5096</v>
      </c>
      <c r="AI854" t="s">
        <v>6126</v>
      </c>
      <c r="AJ854">
        <v>0</v>
      </c>
      <c r="AK854" t="s">
        <v>6274</v>
      </c>
      <c r="AL854">
        <v>1</v>
      </c>
      <c r="AM854">
        <v>0</v>
      </c>
      <c r="AN854">
        <v>96.08</v>
      </c>
      <c r="AS854" t="s">
        <v>6298</v>
      </c>
      <c r="AT854">
        <v>12000</v>
      </c>
      <c r="AX854" t="s">
        <v>6441</v>
      </c>
      <c r="BA854" t="s">
        <v>6477</v>
      </c>
      <c r="BD854" t="s">
        <v>218</v>
      </c>
      <c r="BE854" t="s">
        <v>6702</v>
      </c>
    </row>
    <row r="855" spans="1:57">
      <c r="A855" s="1">
        <f>HYPERLINK("https://lsnyc.legalserver.org/matter/dynamic-profile/view/1902785","19-1902785")</f>
        <v>0</v>
      </c>
      <c r="B855" t="s">
        <v>60</v>
      </c>
      <c r="C855" t="s">
        <v>200</v>
      </c>
      <c r="D855" t="s">
        <v>214</v>
      </c>
      <c r="E855" t="s">
        <v>517</v>
      </c>
      <c r="G855" t="s">
        <v>1240</v>
      </c>
      <c r="H855" t="s">
        <v>1525</v>
      </c>
      <c r="J855" t="s">
        <v>2853</v>
      </c>
      <c r="K855" t="s">
        <v>3230</v>
      </c>
      <c r="L855" t="s">
        <v>3333</v>
      </c>
      <c r="M855" t="s">
        <v>3379</v>
      </c>
      <c r="N855">
        <v>11434</v>
      </c>
      <c r="O855" t="s">
        <v>3380</v>
      </c>
      <c r="P855" t="s">
        <v>3381</v>
      </c>
      <c r="Q855" t="s">
        <v>3383</v>
      </c>
      <c r="R855" t="s">
        <v>4070</v>
      </c>
      <c r="S855">
        <v>0</v>
      </c>
      <c r="T855" t="s">
        <v>4196</v>
      </c>
      <c r="U855" t="s">
        <v>4223</v>
      </c>
      <c r="W855" t="s">
        <v>4246</v>
      </c>
      <c r="X855" t="s">
        <v>3382</v>
      </c>
      <c r="Y855" t="s">
        <v>3382</v>
      </c>
      <c r="AA855" t="s">
        <v>4256</v>
      </c>
      <c r="AB855" t="s">
        <v>4265</v>
      </c>
      <c r="AC855">
        <v>0</v>
      </c>
      <c r="AD855">
        <v>811</v>
      </c>
      <c r="AE855">
        <v>8.6</v>
      </c>
      <c r="AG855" t="s">
        <v>5097</v>
      </c>
      <c r="AI855" t="s">
        <v>6127</v>
      </c>
      <c r="AJ855">
        <v>100</v>
      </c>
      <c r="AK855" t="s">
        <v>6277</v>
      </c>
      <c r="AL855">
        <v>2</v>
      </c>
      <c r="AM855">
        <v>1</v>
      </c>
      <c r="AN855">
        <v>187.53</v>
      </c>
      <c r="AR855" t="s">
        <v>5312</v>
      </c>
      <c r="AS855" t="s">
        <v>6298</v>
      </c>
      <c r="AT855">
        <v>40000</v>
      </c>
      <c r="AX855" t="s">
        <v>6441</v>
      </c>
      <c r="AY855" t="s">
        <v>6462</v>
      </c>
      <c r="BA855" t="s">
        <v>6477</v>
      </c>
      <c r="BB855" t="s">
        <v>6602</v>
      </c>
      <c r="BC855" t="s">
        <v>6625</v>
      </c>
      <c r="BD855" t="s">
        <v>310</v>
      </c>
      <c r="BE855" t="s">
        <v>6702</v>
      </c>
    </row>
    <row r="856" spans="1:57">
      <c r="A856" s="1">
        <f>HYPERLINK("https://lsnyc.legalserver.org/matter/dynamic-profile/view/1903848","19-1903848")</f>
        <v>0</v>
      </c>
      <c r="B856" t="s">
        <v>60</v>
      </c>
      <c r="C856" t="s">
        <v>200</v>
      </c>
      <c r="D856" t="s">
        <v>214</v>
      </c>
      <c r="E856" t="s">
        <v>339</v>
      </c>
      <c r="G856" t="s">
        <v>1241</v>
      </c>
      <c r="H856" t="s">
        <v>1948</v>
      </c>
      <c r="J856" t="s">
        <v>2854</v>
      </c>
      <c r="K856">
        <v>1</v>
      </c>
      <c r="L856" t="s">
        <v>3333</v>
      </c>
      <c r="M856" t="s">
        <v>3379</v>
      </c>
      <c r="N856">
        <v>11434</v>
      </c>
      <c r="O856" t="s">
        <v>3380</v>
      </c>
      <c r="P856" t="s">
        <v>3381</v>
      </c>
      <c r="Q856" t="s">
        <v>3383</v>
      </c>
      <c r="R856" t="s">
        <v>4071</v>
      </c>
      <c r="S856">
        <v>1</v>
      </c>
      <c r="T856" t="s">
        <v>4196</v>
      </c>
      <c r="U856" t="s">
        <v>4223</v>
      </c>
      <c r="W856" t="s">
        <v>4246</v>
      </c>
      <c r="X856" t="s">
        <v>3382</v>
      </c>
      <c r="Y856" t="s">
        <v>3382</v>
      </c>
      <c r="AA856" t="s">
        <v>4256</v>
      </c>
      <c r="AB856" t="s">
        <v>4261</v>
      </c>
      <c r="AC856">
        <v>0</v>
      </c>
      <c r="AD856">
        <v>2010</v>
      </c>
      <c r="AE856">
        <v>10.95</v>
      </c>
      <c r="AG856" t="s">
        <v>5098</v>
      </c>
      <c r="AH856" t="s">
        <v>5352</v>
      </c>
      <c r="AI856" t="s">
        <v>6128</v>
      </c>
      <c r="AJ856">
        <v>2</v>
      </c>
      <c r="AK856" t="s">
        <v>6274</v>
      </c>
      <c r="AL856">
        <v>1</v>
      </c>
      <c r="AM856">
        <v>4</v>
      </c>
      <c r="AN856">
        <v>21.29</v>
      </c>
      <c r="AR856" t="s">
        <v>6289</v>
      </c>
      <c r="AS856" t="s">
        <v>6299</v>
      </c>
      <c r="AT856">
        <v>6422</v>
      </c>
      <c r="AX856" t="s">
        <v>184</v>
      </c>
      <c r="BA856" t="s">
        <v>6564</v>
      </c>
      <c r="BD856" t="s">
        <v>575</v>
      </c>
      <c r="BE856" t="s">
        <v>6702</v>
      </c>
    </row>
    <row r="857" spans="1:57">
      <c r="A857" s="1">
        <f>HYPERLINK("https://lsnyc.legalserver.org/matter/dynamic-profile/view/1910118","19-1910118")</f>
        <v>0</v>
      </c>
      <c r="B857" t="s">
        <v>60</v>
      </c>
      <c r="C857" t="s">
        <v>200</v>
      </c>
      <c r="D857" t="s">
        <v>214</v>
      </c>
      <c r="E857" t="s">
        <v>274</v>
      </c>
      <c r="G857" t="s">
        <v>1242</v>
      </c>
      <c r="H857" t="s">
        <v>1949</v>
      </c>
      <c r="J857" t="s">
        <v>2855</v>
      </c>
      <c r="K857" t="s">
        <v>3149</v>
      </c>
      <c r="L857" t="s">
        <v>3333</v>
      </c>
      <c r="M857" t="s">
        <v>3379</v>
      </c>
      <c r="N857">
        <v>11433</v>
      </c>
      <c r="O857" t="s">
        <v>3380</v>
      </c>
      <c r="P857" t="s">
        <v>3381</v>
      </c>
      <c r="Q857" t="s">
        <v>3384</v>
      </c>
      <c r="R857" t="s">
        <v>4072</v>
      </c>
      <c r="S857">
        <v>1</v>
      </c>
      <c r="T857" t="s">
        <v>4197</v>
      </c>
      <c r="U857" t="s">
        <v>4223</v>
      </c>
      <c r="W857" t="s">
        <v>4246</v>
      </c>
      <c r="X857" t="s">
        <v>3382</v>
      </c>
      <c r="Y857" t="s">
        <v>3382</v>
      </c>
      <c r="AA857" t="s">
        <v>4256</v>
      </c>
      <c r="AB857" t="s">
        <v>4261</v>
      </c>
      <c r="AC857">
        <v>0</v>
      </c>
      <c r="AD857">
        <v>1950</v>
      </c>
      <c r="AE857">
        <v>11.5</v>
      </c>
      <c r="AG857" t="s">
        <v>5099</v>
      </c>
      <c r="AH857" t="s">
        <v>5353</v>
      </c>
      <c r="AI857" t="s">
        <v>6129</v>
      </c>
      <c r="AJ857">
        <v>4</v>
      </c>
      <c r="AK857" t="s">
        <v>6274</v>
      </c>
      <c r="AL857">
        <v>2</v>
      </c>
      <c r="AM857">
        <v>4</v>
      </c>
      <c r="AN857">
        <v>52.73</v>
      </c>
      <c r="AS857" t="s">
        <v>6298</v>
      </c>
      <c r="AT857">
        <v>18240</v>
      </c>
      <c r="AX857" t="s">
        <v>6441</v>
      </c>
      <c r="BA857" t="s">
        <v>6477</v>
      </c>
      <c r="BD857" t="s">
        <v>228</v>
      </c>
      <c r="BE857" t="s">
        <v>6702</v>
      </c>
    </row>
    <row r="858" spans="1:57">
      <c r="A858" s="1">
        <f>HYPERLINK("https://lsnyc.legalserver.org/matter/dynamic-profile/view/1902806","19-1902806")</f>
        <v>0</v>
      </c>
      <c r="B858" t="s">
        <v>60</v>
      </c>
      <c r="C858" t="s">
        <v>200</v>
      </c>
      <c r="D858" t="s">
        <v>214</v>
      </c>
      <c r="E858" t="s">
        <v>517</v>
      </c>
      <c r="G858" t="s">
        <v>1243</v>
      </c>
      <c r="H858" t="s">
        <v>1611</v>
      </c>
      <c r="J858" t="s">
        <v>2856</v>
      </c>
      <c r="K858" t="s">
        <v>3007</v>
      </c>
      <c r="L858" t="s">
        <v>3333</v>
      </c>
      <c r="M858" t="s">
        <v>3379</v>
      </c>
      <c r="N858">
        <v>11433</v>
      </c>
      <c r="O858" t="s">
        <v>3380</v>
      </c>
      <c r="P858" t="s">
        <v>3381</v>
      </c>
      <c r="Q858" t="s">
        <v>3383</v>
      </c>
      <c r="R858" t="s">
        <v>4073</v>
      </c>
      <c r="S858">
        <v>29</v>
      </c>
      <c r="T858" t="s">
        <v>4196</v>
      </c>
      <c r="U858" t="s">
        <v>4223</v>
      </c>
      <c r="W858" t="s">
        <v>4246</v>
      </c>
      <c r="X858" t="s">
        <v>3382</v>
      </c>
      <c r="Y858" t="s">
        <v>3380</v>
      </c>
      <c r="AA858" t="s">
        <v>4258</v>
      </c>
      <c r="AC858">
        <v>0</v>
      </c>
      <c r="AD858">
        <v>1237</v>
      </c>
      <c r="AE858">
        <v>19.3</v>
      </c>
      <c r="AG858" t="s">
        <v>5100</v>
      </c>
      <c r="AI858" t="s">
        <v>6130</v>
      </c>
      <c r="AJ858">
        <v>9</v>
      </c>
      <c r="AL858">
        <v>2</v>
      </c>
      <c r="AM858">
        <v>1</v>
      </c>
      <c r="AN858">
        <v>170.65</v>
      </c>
      <c r="AR858" t="s">
        <v>5312</v>
      </c>
      <c r="AS858" t="s">
        <v>6298</v>
      </c>
      <c r="AT858">
        <v>36400</v>
      </c>
      <c r="AX858" t="s">
        <v>6441</v>
      </c>
      <c r="BA858" t="s">
        <v>6477</v>
      </c>
      <c r="BD858" t="s">
        <v>528</v>
      </c>
      <c r="BE858" t="s">
        <v>6702</v>
      </c>
    </row>
    <row r="859" spans="1:57">
      <c r="A859" s="1">
        <f>HYPERLINK("https://lsnyc.legalserver.org/matter/dynamic-profile/view/1890257","19-1890257")</f>
        <v>0</v>
      </c>
      <c r="B859" t="s">
        <v>60</v>
      </c>
      <c r="C859" t="s">
        <v>200</v>
      </c>
      <c r="D859" t="s">
        <v>214</v>
      </c>
      <c r="E859" t="s">
        <v>490</v>
      </c>
      <c r="G859" t="s">
        <v>710</v>
      </c>
      <c r="H859" t="s">
        <v>1950</v>
      </c>
      <c r="J859" t="s">
        <v>2857</v>
      </c>
      <c r="K859">
        <v>2</v>
      </c>
      <c r="L859" t="s">
        <v>3348</v>
      </c>
      <c r="M859" t="s">
        <v>3379</v>
      </c>
      <c r="N859">
        <v>11421</v>
      </c>
      <c r="O859" t="s">
        <v>3380</v>
      </c>
      <c r="P859" t="s">
        <v>3381</v>
      </c>
      <c r="Q859" t="s">
        <v>3383</v>
      </c>
      <c r="R859" t="s">
        <v>4074</v>
      </c>
      <c r="S859">
        <v>5</v>
      </c>
      <c r="T859" t="s">
        <v>4197</v>
      </c>
      <c r="U859" t="s">
        <v>4225</v>
      </c>
      <c r="W859" t="s">
        <v>4245</v>
      </c>
      <c r="X859" t="s">
        <v>3382</v>
      </c>
      <c r="Y859" t="s">
        <v>3382</v>
      </c>
      <c r="AA859" t="s">
        <v>4256</v>
      </c>
      <c r="AB859" t="s">
        <v>4265</v>
      </c>
      <c r="AC859">
        <v>0</v>
      </c>
      <c r="AD859">
        <v>750</v>
      </c>
      <c r="AE859">
        <v>1</v>
      </c>
      <c r="AG859" t="s">
        <v>4352</v>
      </c>
      <c r="AI859" t="s">
        <v>6131</v>
      </c>
      <c r="AJ859">
        <v>1</v>
      </c>
      <c r="AK859" t="s">
        <v>6274</v>
      </c>
      <c r="AL859">
        <v>1</v>
      </c>
      <c r="AM859">
        <v>0</v>
      </c>
      <c r="AN859">
        <v>17.29</v>
      </c>
      <c r="AQ859" t="s">
        <v>6287</v>
      </c>
      <c r="AR859" t="s">
        <v>5312</v>
      </c>
      <c r="AS859" t="s">
        <v>6298</v>
      </c>
      <c r="AT859">
        <v>2160</v>
      </c>
      <c r="AX859" t="s">
        <v>196</v>
      </c>
      <c r="BA859" t="s">
        <v>6483</v>
      </c>
      <c r="BD859" t="s">
        <v>490</v>
      </c>
      <c r="BE859" t="s">
        <v>6702</v>
      </c>
    </row>
    <row r="860" spans="1:57">
      <c r="A860" s="1">
        <f>HYPERLINK("https://lsnyc.legalserver.org/matter/dynamic-profile/view/1913350","19-1913350")</f>
        <v>0</v>
      </c>
      <c r="B860" t="s">
        <v>60</v>
      </c>
      <c r="C860" t="s">
        <v>200</v>
      </c>
      <c r="D860" t="s">
        <v>214</v>
      </c>
      <c r="E860" t="s">
        <v>316</v>
      </c>
      <c r="G860" t="s">
        <v>1244</v>
      </c>
      <c r="H860" t="s">
        <v>1951</v>
      </c>
      <c r="J860" t="s">
        <v>2858</v>
      </c>
      <c r="K860" t="s">
        <v>3101</v>
      </c>
      <c r="L860" t="s">
        <v>3372</v>
      </c>
      <c r="M860" t="s">
        <v>3379</v>
      </c>
      <c r="N860">
        <v>11420</v>
      </c>
      <c r="O860" t="s">
        <v>3380</v>
      </c>
      <c r="P860" t="s">
        <v>3381</v>
      </c>
      <c r="Q860" t="s">
        <v>3383</v>
      </c>
      <c r="R860" t="s">
        <v>4075</v>
      </c>
      <c r="S860">
        <v>2</v>
      </c>
      <c r="T860" t="s">
        <v>4196</v>
      </c>
      <c r="U860" t="s">
        <v>4225</v>
      </c>
      <c r="W860" t="s">
        <v>4245</v>
      </c>
      <c r="X860" t="s">
        <v>3382</v>
      </c>
      <c r="Y860" t="s">
        <v>3382</v>
      </c>
      <c r="AA860" t="s">
        <v>4256</v>
      </c>
      <c r="AC860">
        <v>0</v>
      </c>
      <c r="AD860">
        <v>1650</v>
      </c>
      <c r="AE860">
        <v>1.33</v>
      </c>
      <c r="AG860" t="s">
        <v>5101</v>
      </c>
      <c r="AI860" t="s">
        <v>6132</v>
      </c>
      <c r="AJ860">
        <v>4</v>
      </c>
      <c r="AK860" t="s">
        <v>6266</v>
      </c>
      <c r="AL860">
        <v>1</v>
      </c>
      <c r="AM860">
        <v>2</v>
      </c>
      <c r="AN860">
        <v>179.18</v>
      </c>
      <c r="AR860" t="s">
        <v>5312</v>
      </c>
      <c r="AS860" t="s">
        <v>6298</v>
      </c>
      <c r="AT860">
        <v>38220</v>
      </c>
      <c r="AX860" t="s">
        <v>6441</v>
      </c>
      <c r="BA860" t="s">
        <v>6477</v>
      </c>
      <c r="BD860" t="s">
        <v>316</v>
      </c>
      <c r="BE860" t="s">
        <v>6702</v>
      </c>
    </row>
    <row r="861" spans="1:57">
      <c r="A861" s="1">
        <f>HYPERLINK("https://lsnyc.legalserver.org/matter/dynamic-profile/view/1913845","19-1913845")</f>
        <v>0</v>
      </c>
      <c r="B861" t="s">
        <v>60</v>
      </c>
      <c r="C861" t="s">
        <v>200</v>
      </c>
      <c r="D861" t="s">
        <v>214</v>
      </c>
      <c r="E861" t="s">
        <v>222</v>
      </c>
      <c r="G861" t="s">
        <v>687</v>
      </c>
      <c r="H861" t="s">
        <v>1952</v>
      </c>
      <c r="J861" t="s">
        <v>2859</v>
      </c>
      <c r="K861" t="s">
        <v>3047</v>
      </c>
      <c r="L861" t="s">
        <v>3337</v>
      </c>
      <c r="M861" t="s">
        <v>3379</v>
      </c>
      <c r="N861">
        <v>11417</v>
      </c>
      <c r="O861" t="s">
        <v>3380</v>
      </c>
      <c r="P861" t="s">
        <v>3381</v>
      </c>
      <c r="Q861" t="s">
        <v>3383</v>
      </c>
      <c r="R861" t="s">
        <v>4076</v>
      </c>
      <c r="S861">
        <v>-1</v>
      </c>
      <c r="T861" t="s">
        <v>4197</v>
      </c>
      <c r="U861" t="s">
        <v>4224</v>
      </c>
      <c r="W861" t="s">
        <v>4245</v>
      </c>
      <c r="X861" t="s">
        <v>3382</v>
      </c>
      <c r="AA861" t="s">
        <v>4256</v>
      </c>
      <c r="AC861">
        <v>0</v>
      </c>
      <c r="AD861">
        <v>1200</v>
      </c>
      <c r="AE861">
        <v>1.83</v>
      </c>
      <c r="AG861" t="s">
        <v>5102</v>
      </c>
      <c r="AH861" t="s">
        <v>5354</v>
      </c>
      <c r="AI861" t="s">
        <v>6133</v>
      </c>
      <c r="AJ861">
        <v>2</v>
      </c>
      <c r="AK861" t="s">
        <v>6274</v>
      </c>
      <c r="AL861">
        <v>2</v>
      </c>
      <c r="AM861">
        <v>0</v>
      </c>
      <c r="AN861">
        <v>112.69</v>
      </c>
      <c r="AR861" t="s">
        <v>5312</v>
      </c>
      <c r="AS861" t="s">
        <v>6298</v>
      </c>
      <c r="AT861">
        <v>19056</v>
      </c>
      <c r="AX861" t="s">
        <v>6441</v>
      </c>
      <c r="BA861" t="s">
        <v>6499</v>
      </c>
      <c r="BD861" t="s">
        <v>222</v>
      </c>
      <c r="BE861" t="s">
        <v>6702</v>
      </c>
    </row>
    <row r="862" spans="1:57">
      <c r="A862" s="1">
        <f>HYPERLINK("https://lsnyc.legalserver.org/matter/dynamic-profile/view/1907008","19-1907008")</f>
        <v>0</v>
      </c>
      <c r="B862" t="s">
        <v>60</v>
      </c>
      <c r="C862" t="s">
        <v>200</v>
      </c>
      <c r="D862" t="s">
        <v>214</v>
      </c>
      <c r="E862" t="s">
        <v>297</v>
      </c>
      <c r="G862" t="s">
        <v>1043</v>
      </c>
      <c r="H862" t="s">
        <v>1953</v>
      </c>
      <c r="J862" t="s">
        <v>2860</v>
      </c>
      <c r="K862">
        <v>2</v>
      </c>
      <c r="L862" t="s">
        <v>3338</v>
      </c>
      <c r="M862" t="s">
        <v>3379</v>
      </c>
      <c r="N862">
        <v>11385</v>
      </c>
      <c r="O862" t="s">
        <v>3380</v>
      </c>
      <c r="P862" t="s">
        <v>3381</v>
      </c>
      <c r="Q862" t="s">
        <v>3384</v>
      </c>
      <c r="S862">
        <v>1</v>
      </c>
      <c r="T862" t="s">
        <v>4197</v>
      </c>
      <c r="U862" t="s">
        <v>4223</v>
      </c>
      <c r="W862" t="s">
        <v>4246</v>
      </c>
      <c r="X862" t="s">
        <v>3382</v>
      </c>
      <c r="Y862" t="s">
        <v>3382</v>
      </c>
      <c r="AA862" t="s">
        <v>4256</v>
      </c>
      <c r="AC862">
        <v>0</v>
      </c>
      <c r="AD862">
        <v>1900</v>
      </c>
      <c r="AE862">
        <v>2.23</v>
      </c>
      <c r="AG862" t="s">
        <v>5103</v>
      </c>
      <c r="AI862" t="s">
        <v>5448</v>
      </c>
      <c r="AJ862">
        <v>3</v>
      </c>
      <c r="AL862">
        <v>3</v>
      </c>
      <c r="AM862">
        <v>2</v>
      </c>
      <c r="AN862">
        <v>137.89</v>
      </c>
      <c r="AR862" t="s">
        <v>5312</v>
      </c>
      <c r="AS862" t="s">
        <v>6299</v>
      </c>
      <c r="AT862">
        <v>41600</v>
      </c>
      <c r="AX862" t="s">
        <v>6441</v>
      </c>
      <c r="BA862" t="s">
        <v>6477</v>
      </c>
      <c r="BD862" t="s">
        <v>238</v>
      </c>
      <c r="BE862" t="s">
        <v>6702</v>
      </c>
    </row>
    <row r="863" spans="1:57">
      <c r="A863" s="1">
        <f>HYPERLINK("https://lsnyc.legalserver.org/matter/dynamic-profile/view/1910081","19-1910081")</f>
        <v>0</v>
      </c>
      <c r="B863" t="s">
        <v>60</v>
      </c>
      <c r="C863" t="s">
        <v>200</v>
      </c>
      <c r="D863" t="s">
        <v>214</v>
      </c>
      <c r="E863" t="s">
        <v>274</v>
      </c>
      <c r="G863" t="s">
        <v>1245</v>
      </c>
      <c r="H863" t="s">
        <v>1402</v>
      </c>
      <c r="J863" t="s">
        <v>2861</v>
      </c>
      <c r="K863" t="s">
        <v>3122</v>
      </c>
      <c r="L863" t="s">
        <v>3338</v>
      </c>
      <c r="M863" t="s">
        <v>3379</v>
      </c>
      <c r="N863">
        <v>11385</v>
      </c>
      <c r="O863" t="s">
        <v>3380</v>
      </c>
      <c r="P863" t="s">
        <v>3381</v>
      </c>
      <c r="Q863" t="s">
        <v>3384</v>
      </c>
      <c r="R863" t="s">
        <v>4077</v>
      </c>
      <c r="S863">
        <v>9</v>
      </c>
      <c r="T863" t="s">
        <v>4196</v>
      </c>
      <c r="U863" t="s">
        <v>4224</v>
      </c>
      <c r="W863" t="s">
        <v>4246</v>
      </c>
      <c r="X863" t="s">
        <v>3382</v>
      </c>
      <c r="Y863" t="s">
        <v>3382</v>
      </c>
      <c r="AA863" t="s">
        <v>4256</v>
      </c>
      <c r="AC863">
        <v>0</v>
      </c>
      <c r="AD863">
        <v>1850</v>
      </c>
      <c r="AE863">
        <v>9.800000000000001</v>
      </c>
      <c r="AG863" t="s">
        <v>5104</v>
      </c>
      <c r="AI863" t="s">
        <v>6134</v>
      </c>
      <c r="AJ863">
        <v>6</v>
      </c>
      <c r="AK863" t="s">
        <v>6267</v>
      </c>
      <c r="AL863">
        <v>1</v>
      </c>
      <c r="AM863">
        <v>2</v>
      </c>
      <c r="AN863">
        <v>140.65</v>
      </c>
      <c r="AS863" t="s">
        <v>6298</v>
      </c>
      <c r="AT863">
        <v>30000</v>
      </c>
      <c r="AX863" t="s">
        <v>6441</v>
      </c>
      <c r="BA863" t="s">
        <v>6477</v>
      </c>
      <c r="BD863" t="s">
        <v>219</v>
      </c>
      <c r="BE863" t="s">
        <v>6702</v>
      </c>
    </row>
    <row r="864" spans="1:57">
      <c r="A864" s="1">
        <f>HYPERLINK("https://lsnyc.legalserver.org/matter/dynamic-profile/view/1913960","19-1913960")</f>
        <v>0</v>
      </c>
      <c r="B864" t="s">
        <v>60</v>
      </c>
      <c r="C864" t="s">
        <v>200</v>
      </c>
      <c r="D864" t="s">
        <v>214</v>
      </c>
      <c r="E864" t="s">
        <v>249</v>
      </c>
      <c r="G864" t="s">
        <v>1100</v>
      </c>
      <c r="H864" t="s">
        <v>1582</v>
      </c>
      <c r="J864" t="s">
        <v>2862</v>
      </c>
      <c r="K864" t="s">
        <v>3047</v>
      </c>
      <c r="L864" t="s">
        <v>3339</v>
      </c>
      <c r="M864" t="s">
        <v>3379</v>
      </c>
      <c r="N864">
        <v>11378</v>
      </c>
      <c r="O864" t="s">
        <v>3380</v>
      </c>
      <c r="P864" t="s">
        <v>3381</v>
      </c>
      <c r="Q864" t="s">
        <v>3383</v>
      </c>
      <c r="R864" t="s">
        <v>4078</v>
      </c>
      <c r="S864">
        <v>26</v>
      </c>
      <c r="T864" t="s">
        <v>4197</v>
      </c>
      <c r="U864" t="s">
        <v>4224</v>
      </c>
      <c r="W864" t="s">
        <v>4245</v>
      </c>
      <c r="X864" t="s">
        <v>3382</v>
      </c>
      <c r="Y864" t="s">
        <v>3382</v>
      </c>
      <c r="AA864" t="s">
        <v>4256</v>
      </c>
      <c r="AC864">
        <v>0</v>
      </c>
      <c r="AD864">
        <v>600</v>
      </c>
      <c r="AE864">
        <v>1.33</v>
      </c>
      <c r="AG864" t="s">
        <v>5105</v>
      </c>
      <c r="AH864" t="s">
        <v>5355</v>
      </c>
      <c r="AI864" t="s">
        <v>6135</v>
      </c>
      <c r="AJ864">
        <v>2</v>
      </c>
      <c r="AK864" t="s">
        <v>6274</v>
      </c>
      <c r="AL864">
        <v>1</v>
      </c>
      <c r="AM864">
        <v>1</v>
      </c>
      <c r="AN864">
        <v>56.98</v>
      </c>
      <c r="AR864" t="s">
        <v>5312</v>
      </c>
      <c r="AS864" t="s">
        <v>6299</v>
      </c>
      <c r="AT864">
        <v>9636</v>
      </c>
      <c r="AX864" t="s">
        <v>6441</v>
      </c>
      <c r="BA864" t="s">
        <v>6492</v>
      </c>
      <c r="BD864" t="s">
        <v>249</v>
      </c>
      <c r="BE864" t="s">
        <v>6702</v>
      </c>
    </row>
    <row r="865" spans="1:57">
      <c r="A865" s="1">
        <f>HYPERLINK("https://lsnyc.legalserver.org/matter/dynamic-profile/view/1888981","19-1888981")</f>
        <v>0</v>
      </c>
      <c r="B865" t="s">
        <v>60</v>
      </c>
      <c r="C865" t="s">
        <v>200</v>
      </c>
      <c r="D865" t="s">
        <v>214</v>
      </c>
      <c r="E865" t="s">
        <v>485</v>
      </c>
      <c r="G865" t="s">
        <v>1246</v>
      </c>
      <c r="H865" t="s">
        <v>1954</v>
      </c>
      <c r="J865" t="s">
        <v>2863</v>
      </c>
      <c r="K865" t="s">
        <v>3101</v>
      </c>
      <c r="L865" t="s">
        <v>3340</v>
      </c>
      <c r="M865" t="s">
        <v>3379</v>
      </c>
      <c r="N865">
        <v>11377</v>
      </c>
      <c r="O865" t="s">
        <v>3380</v>
      </c>
      <c r="P865" t="s">
        <v>3380</v>
      </c>
      <c r="Q865" t="s">
        <v>3383</v>
      </c>
      <c r="R865" t="s">
        <v>4079</v>
      </c>
      <c r="S865">
        <v>-1</v>
      </c>
      <c r="T865" t="s">
        <v>4196</v>
      </c>
      <c r="U865" t="s">
        <v>4224</v>
      </c>
      <c r="W865" t="s">
        <v>4245</v>
      </c>
      <c r="X865" t="s">
        <v>3382</v>
      </c>
      <c r="Y865" t="s">
        <v>3382</v>
      </c>
      <c r="AA865" t="s">
        <v>4256</v>
      </c>
      <c r="AC865">
        <v>0</v>
      </c>
      <c r="AD865">
        <v>600</v>
      </c>
      <c r="AE865">
        <v>2.1</v>
      </c>
      <c r="AG865" t="s">
        <v>5106</v>
      </c>
      <c r="AI865" t="s">
        <v>6136</v>
      </c>
      <c r="AJ865">
        <v>0</v>
      </c>
      <c r="AK865" t="s">
        <v>6266</v>
      </c>
      <c r="AL865">
        <v>1</v>
      </c>
      <c r="AM865">
        <v>2</v>
      </c>
      <c r="AN865">
        <v>23.65</v>
      </c>
      <c r="AQ865" t="s">
        <v>6286</v>
      </c>
      <c r="AR865" t="s">
        <v>5312</v>
      </c>
      <c r="AS865" t="s">
        <v>6299</v>
      </c>
      <c r="AT865">
        <v>5044</v>
      </c>
      <c r="AX865" t="s">
        <v>184</v>
      </c>
      <c r="BA865" t="s">
        <v>6564</v>
      </c>
      <c r="BD865" t="s">
        <v>345</v>
      </c>
    </row>
    <row r="866" spans="1:57">
      <c r="A866" s="1">
        <f>HYPERLINK("https://lsnyc.legalserver.org/matter/dynamic-profile/view/1879454","18-1879454")</f>
        <v>0</v>
      </c>
      <c r="B866" t="s">
        <v>60</v>
      </c>
      <c r="C866" t="s">
        <v>200</v>
      </c>
      <c r="D866" t="s">
        <v>214</v>
      </c>
      <c r="E866" t="s">
        <v>461</v>
      </c>
      <c r="G866" t="s">
        <v>686</v>
      </c>
      <c r="H866" t="s">
        <v>1334</v>
      </c>
      <c r="J866" t="s">
        <v>2864</v>
      </c>
      <c r="K866" t="s">
        <v>3036</v>
      </c>
      <c r="L866" t="s">
        <v>3341</v>
      </c>
      <c r="M866" t="s">
        <v>3379</v>
      </c>
      <c r="N866">
        <v>11373</v>
      </c>
      <c r="O866" t="s">
        <v>3380</v>
      </c>
      <c r="P866" t="s">
        <v>3380</v>
      </c>
      <c r="Q866" t="s">
        <v>3384</v>
      </c>
      <c r="R866" t="s">
        <v>4080</v>
      </c>
      <c r="S866">
        <v>36</v>
      </c>
      <c r="T866" t="s">
        <v>4197</v>
      </c>
      <c r="U866" t="s">
        <v>4223</v>
      </c>
      <c r="W866" t="s">
        <v>4246</v>
      </c>
      <c r="X866" t="s">
        <v>3382</v>
      </c>
      <c r="Y866" t="s">
        <v>3380</v>
      </c>
      <c r="AA866" t="s">
        <v>4256</v>
      </c>
      <c r="AB866" t="s">
        <v>4261</v>
      </c>
      <c r="AC866">
        <v>953.17</v>
      </c>
      <c r="AD866">
        <v>953.17</v>
      </c>
      <c r="AE866">
        <v>85.8</v>
      </c>
      <c r="AG866" t="s">
        <v>5107</v>
      </c>
      <c r="AI866" t="s">
        <v>6137</v>
      </c>
      <c r="AJ866">
        <v>72</v>
      </c>
      <c r="AL866">
        <v>1</v>
      </c>
      <c r="AM866">
        <v>1</v>
      </c>
      <c r="AN866">
        <v>169.02</v>
      </c>
      <c r="AQ866" t="s">
        <v>6288</v>
      </c>
      <c r="AS866" t="s">
        <v>6298</v>
      </c>
      <c r="AT866">
        <v>27820</v>
      </c>
      <c r="AX866" t="s">
        <v>188</v>
      </c>
      <c r="BA866" t="s">
        <v>6477</v>
      </c>
      <c r="BD866" t="s">
        <v>243</v>
      </c>
    </row>
    <row r="867" spans="1:57">
      <c r="A867" s="1">
        <f>HYPERLINK("https://lsnyc.legalserver.org/matter/dynamic-profile/view/1892070","19-1892070")</f>
        <v>0</v>
      </c>
      <c r="B867" t="s">
        <v>60</v>
      </c>
      <c r="C867" t="s">
        <v>200</v>
      </c>
      <c r="D867" t="s">
        <v>214</v>
      </c>
      <c r="E867" t="s">
        <v>353</v>
      </c>
      <c r="G867" t="s">
        <v>881</v>
      </c>
      <c r="H867" t="s">
        <v>1955</v>
      </c>
      <c r="J867" t="s">
        <v>2865</v>
      </c>
      <c r="K867" t="s">
        <v>3296</v>
      </c>
      <c r="L867" t="s">
        <v>3341</v>
      </c>
      <c r="M867" t="s">
        <v>3379</v>
      </c>
      <c r="N867">
        <v>11373</v>
      </c>
      <c r="O867" t="s">
        <v>3380</v>
      </c>
      <c r="P867" t="s">
        <v>3380</v>
      </c>
      <c r="Q867" t="s">
        <v>3384</v>
      </c>
      <c r="R867" t="s">
        <v>4081</v>
      </c>
      <c r="S867">
        <v>5</v>
      </c>
      <c r="T867" t="s">
        <v>4197</v>
      </c>
      <c r="U867" t="s">
        <v>4223</v>
      </c>
      <c r="W867" t="s">
        <v>4246</v>
      </c>
      <c r="X867" t="s">
        <v>3382</v>
      </c>
      <c r="Y867" t="s">
        <v>3382</v>
      </c>
      <c r="AA867" t="s">
        <v>4256</v>
      </c>
      <c r="AC867">
        <v>0</v>
      </c>
      <c r="AD867">
        <v>700</v>
      </c>
      <c r="AE867">
        <v>37.8</v>
      </c>
      <c r="AG867" t="s">
        <v>5108</v>
      </c>
      <c r="AI867" t="s">
        <v>6138</v>
      </c>
      <c r="AJ867">
        <v>0</v>
      </c>
      <c r="AK867" t="s">
        <v>6266</v>
      </c>
      <c r="AL867">
        <v>1</v>
      </c>
      <c r="AM867">
        <v>0</v>
      </c>
      <c r="AN867">
        <v>74.94</v>
      </c>
      <c r="AQ867" t="s">
        <v>6287</v>
      </c>
      <c r="AR867" t="s">
        <v>5312</v>
      </c>
      <c r="AS867" t="s">
        <v>6298</v>
      </c>
      <c r="AT867">
        <v>9360</v>
      </c>
      <c r="AX867" t="s">
        <v>184</v>
      </c>
      <c r="BA867" t="s">
        <v>6516</v>
      </c>
      <c r="BD867" t="s">
        <v>231</v>
      </c>
    </row>
    <row r="868" spans="1:57">
      <c r="A868" s="1">
        <f>HYPERLINK("https://lsnyc.legalserver.org/matter/dynamic-profile/view/1901622","19-1901622")</f>
        <v>0</v>
      </c>
      <c r="B868" t="s">
        <v>60</v>
      </c>
      <c r="C868" t="s">
        <v>200</v>
      </c>
      <c r="D868" t="s">
        <v>214</v>
      </c>
      <c r="E868" t="s">
        <v>325</v>
      </c>
      <c r="G868" t="s">
        <v>1247</v>
      </c>
      <c r="H868" t="s">
        <v>1956</v>
      </c>
      <c r="J868" t="s">
        <v>2866</v>
      </c>
      <c r="K868" t="s">
        <v>3038</v>
      </c>
      <c r="L868" t="s">
        <v>3341</v>
      </c>
      <c r="M868" t="s">
        <v>3379</v>
      </c>
      <c r="N868">
        <v>11373</v>
      </c>
      <c r="O868" t="s">
        <v>3380</v>
      </c>
      <c r="P868" t="s">
        <v>3381</v>
      </c>
      <c r="Q868" t="s">
        <v>3383</v>
      </c>
      <c r="R868" t="s">
        <v>4082</v>
      </c>
      <c r="S868">
        <v>1</v>
      </c>
      <c r="T868" t="s">
        <v>4197</v>
      </c>
      <c r="U868" t="s">
        <v>4223</v>
      </c>
      <c r="W868" t="s">
        <v>4246</v>
      </c>
      <c r="X868" t="s">
        <v>3382</v>
      </c>
      <c r="Y868" t="s">
        <v>3382</v>
      </c>
      <c r="AA868" t="s">
        <v>4256</v>
      </c>
      <c r="AC868">
        <v>0</v>
      </c>
      <c r="AD868">
        <v>1750</v>
      </c>
      <c r="AE868">
        <v>18.95</v>
      </c>
      <c r="AG868" t="s">
        <v>5109</v>
      </c>
      <c r="AH868" t="s">
        <v>5356</v>
      </c>
      <c r="AI868" t="s">
        <v>6139</v>
      </c>
      <c r="AJ868">
        <v>19</v>
      </c>
      <c r="AK868" t="s">
        <v>6269</v>
      </c>
      <c r="AL868">
        <v>1</v>
      </c>
      <c r="AM868">
        <v>2</v>
      </c>
      <c r="AN868">
        <v>22.5</v>
      </c>
      <c r="AR868" t="s">
        <v>5312</v>
      </c>
      <c r="AS868" t="s">
        <v>6314</v>
      </c>
      <c r="AT868">
        <v>4800</v>
      </c>
      <c r="AX868" t="s">
        <v>6441</v>
      </c>
      <c r="BA868" t="s">
        <v>6526</v>
      </c>
      <c r="BD868" t="s">
        <v>272</v>
      </c>
      <c r="BE868" t="s">
        <v>6703</v>
      </c>
    </row>
    <row r="869" spans="1:57">
      <c r="A869" s="1">
        <f>HYPERLINK("https://lsnyc.legalserver.org/matter/dynamic-profile/view/1903600","19-1903600")</f>
        <v>0</v>
      </c>
      <c r="B869" t="s">
        <v>60</v>
      </c>
      <c r="C869" t="s">
        <v>200</v>
      </c>
      <c r="D869" t="s">
        <v>214</v>
      </c>
      <c r="E869" t="s">
        <v>499</v>
      </c>
      <c r="G869" t="s">
        <v>1248</v>
      </c>
      <c r="H869" t="s">
        <v>1957</v>
      </c>
      <c r="J869" t="s">
        <v>2867</v>
      </c>
      <c r="K869" t="s">
        <v>3297</v>
      </c>
      <c r="L869" t="s">
        <v>3341</v>
      </c>
      <c r="M869" t="s">
        <v>3379</v>
      </c>
      <c r="N869">
        <v>11373</v>
      </c>
      <c r="O869" t="s">
        <v>3380</v>
      </c>
      <c r="P869" t="s">
        <v>3381</v>
      </c>
      <c r="Q869" t="s">
        <v>3384</v>
      </c>
      <c r="R869" t="s">
        <v>4083</v>
      </c>
      <c r="S869">
        <v>6</v>
      </c>
      <c r="T869" t="s">
        <v>4197</v>
      </c>
      <c r="U869" t="s">
        <v>4223</v>
      </c>
      <c r="W869" t="s">
        <v>4246</v>
      </c>
      <c r="X869" t="s">
        <v>3382</v>
      </c>
      <c r="Y869" t="s">
        <v>3380</v>
      </c>
      <c r="AA869" t="s">
        <v>4256</v>
      </c>
      <c r="AB869" t="s">
        <v>4261</v>
      </c>
      <c r="AC869">
        <v>0</v>
      </c>
      <c r="AD869">
        <v>2044</v>
      </c>
      <c r="AE869">
        <v>46.13</v>
      </c>
      <c r="AG869" t="s">
        <v>5110</v>
      </c>
      <c r="AI869" t="s">
        <v>6140</v>
      </c>
      <c r="AJ869">
        <v>50</v>
      </c>
      <c r="AK869" t="s">
        <v>6267</v>
      </c>
      <c r="AL869">
        <v>2</v>
      </c>
      <c r="AM869">
        <v>0</v>
      </c>
      <c r="AN869">
        <v>127.74</v>
      </c>
      <c r="AS869" t="s">
        <v>6299</v>
      </c>
      <c r="AT869">
        <v>21600</v>
      </c>
      <c r="AX869" t="s">
        <v>6441</v>
      </c>
      <c r="BA869" t="s">
        <v>6537</v>
      </c>
      <c r="BD869" t="s">
        <v>218</v>
      </c>
      <c r="BE869" t="s">
        <v>6702</v>
      </c>
    </row>
    <row r="870" spans="1:57">
      <c r="A870" s="1">
        <f>HYPERLINK("https://lsnyc.legalserver.org/matter/dynamic-profile/view/1888160","19-1888160")</f>
        <v>0</v>
      </c>
      <c r="B870" t="s">
        <v>60</v>
      </c>
      <c r="C870" t="s">
        <v>200</v>
      </c>
      <c r="D870" t="s">
        <v>214</v>
      </c>
      <c r="E870" t="s">
        <v>529</v>
      </c>
      <c r="G870" t="s">
        <v>1249</v>
      </c>
      <c r="H870" t="s">
        <v>1958</v>
      </c>
      <c r="J870" t="s">
        <v>2868</v>
      </c>
      <c r="K870" t="s">
        <v>3159</v>
      </c>
      <c r="L870" t="s">
        <v>3341</v>
      </c>
      <c r="M870" t="s">
        <v>3379</v>
      </c>
      <c r="N870">
        <v>11373</v>
      </c>
      <c r="O870" t="s">
        <v>3380</v>
      </c>
      <c r="P870" t="s">
        <v>3380</v>
      </c>
      <c r="Q870" t="s">
        <v>3384</v>
      </c>
      <c r="R870" t="s">
        <v>4084</v>
      </c>
      <c r="S870">
        <v>8</v>
      </c>
      <c r="T870" t="s">
        <v>4196</v>
      </c>
      <c r="U870" t="s">
        <v>4223</v>
      </c>
      <c r="W870" t="s">
        <v>4246</v>
      </c>
      <c r="X870" t="s">
        <v>3382</v>
      </c>
      <c r="Y870" t="s">
        <v>3380</v>
      </c>
      <c r="AA870" t="s">
        <v>4256</v>
      </c>
      <c r="AB870" t="s">
        <v>4261</v>
      </c>
      <c r="AC870">
        <v>0</v>
      </c>
      <c r="AD870">
        <v>1275</v>
      </c>
      <c r="AE870">
        <v>12.3</v>
      </c>
      <c r="AG870" t="s">
        <v>5111</v>
      </c>
      <c r="AI870" t="s">
        <v>6141</v>
      </c>
      <c r="AJ870">
        <v>0</v>
      </c>
      <c r="AL870">
        <v>1</v>
      </c>
      <c r="AM870">
        <v>1</v>
      </c>
      <c r="AN870">
        <v>97.20999999999999</v>
      </c>
      <c r="AQ870" t="s">
        <v>6286</v>
      </c>
      <c r="AS870" t="s">
        <v>6299</v>
      </c>
      <c r="AT870">
        <v>16000</v>
      </c>
      <c r="AX870" t="s">
        <v>188</v>
      </c>
      <c r="BA870" t="s">
        <v>6477</v>
      </c>
      <c r="BD870" t="s">
        <v>284</v>
      </c>
    </row>
    <row r="871" spans="1:57">
      <c r="A871" s="1">
        <f>HYPERLINK("https://lsnyc.legalserver.org/matter/dynamic-profile/view/1892372","19-1892372")</f>
        <v>0</v>
      </c>
      <c r="B871" t="s">
        <v>60</v>
      </c>
      <c r="C871" t="s">
        <v>200</v>
      </c>
      <c r="D871" t="s">
        <v>214</v>
      </c>
      <c r="E871" t="s">
        <v>530</v>
      </c>
      <c r="G871" t="s">
        <v>1250</v>
      </c>
      <c r="H871" t="s">
        <v>1959</v>
      </c>
      <c r="J871" t="s">
        <v>2869</v>
      </c>
      <c r="K871" t="s">
        <v>3298</v>
      </c>
      <c r="L871" t="s">
        <v>3341</v>
      </c>
      <c r="M871" t="s">
        <v>3379</v>
      </c>
      <c r="N871">
        <v>11373</v>
      </c>
      <c r="O871" t="s">
        <v>3380</v>
      </c>
      <c r="P871" t="s">
        <v>3380</v>
      </c>
      <c r="Q871" t="s">
        <v>3384</v>
      </c>
      <c r="R871" t="s">
        <v>4085</v>
      </c>
      <c r="S871">
        <v>9</v>
      </c>
      <c r="T871" t="s">
        <v>4196</v>
      </c>
      <c r="U871" t="s">
        <v>4223</v>
      </c>
      <c r="W871" t="s">
        <v>4246</v>
      </c>
      <c r="X871" t="s">
        <v>3382</v>
      </c>
      <c r="Y871" t="s">
        <v>3382</v>
      </c>
      <c r="AA871" t="s">
        <v>4256</v>
      </c>
      <c r="AB871" t="s">
        <v>4261</v>
      </c>
      <c r="AC871">
        <v>0</v>
      </c>
      <c r="AD871">
        <v>2010</v>
      </c>
      <c r="AE871">
        <v>3.2</v>
      </c>
      <c r="AG871" t="s">
        <v>5112</v>
      </c>
      <c r="AI871" t="s">
        <v>6142</v>
      </c>
      <c r="AJ871">
        <v>200</v>
      </c>
      <c r="AK871" t="s">
        <v>6267</v>
      </c>
      <c r="AL871">
        <v>2</v>
      </c>
      <c r="AM871">
        <v>1</v>
      </c>
      <c r="AN871">
        <v>154.71</v>
      </c>
      <c r="AQ871" t="s">
        <v>6288</v>
      </c>
      <c r="AR871" t="s">
        <v>5312</v>
      </c>
      <c r="AS871" t="s">
        <v>6298</v>
      </c>
      <c r="AT871">
        <v>33000</v>
      </c>
      <c r="AX871" t="s">
        <v>200</v>
      </c>
      <c r="BA871" t="s">
        <v>6477</v>
      </c>
      <c r="BD871" t="s">
        <v>430</v>
      </c>
    </row>
    <row r="872" spans="1:57">
      <c r="A872" s="1">
        <f>HYPERLINK("https://lsnyc.legalserver.org/matter/dynamic-profile/view/1915211","19-1915211")</f>
        <v>0</v>
      </c>
      <c r="B872" t="s">
        <v>60</v>
      </c>
      <c r="C872" t="s">
        <v>200</v>
      </c>
      <c r="D872" t="s">
        <v>214</v>
      </c>
      <c r="E872" t="s">
        <v>217</v>
      </c>
      <c r="G872" t="s">
        <v>1251</v>
      </c>
      <c r="H872" t="s">
        <v>1960</v>
      </c>
      <c r="J872" t="s">
        <v>2864</v>
      </c>
      <c r="K872" t="s">
        <v>3110</v>
      </c>
      <c r="L872" t="s">
        <v>3341</v>
      </c>
      <c r="M872" t="s">
        <v>3379</v>
      </c>
      <c r="N872">
        <v>11373</v>
      </c>
      <c r="O872" t="s">
        <v>3380</v>
      </c>
      <c r="P872" t="s">
        <v>3381</v>
      </c>
      <c r="Q872" t="s">
        <v>3384</v>
      </c>
      <c r="R872" t="s">
        <v>4086</v>
      </c>
      <c r="S872">
        <v>30</v>
      </c>
      <c r="T872" t="s">
        <v>4196</v>
      </c>
      <c r="U872" t="s">
        <v>4224</v>
      </c>
      <c r="W872" t="s">
        <v>4246</v>
      </c>
      <c r="X872" t="s">
        <v>3382</v>
      </c>
      <c r="Y872" t="s">
        <v>3382</v>
      </c>
      <c r="AA872" t="s">
        <v>4256</v>
      </c>
      <c r="AC872">
        <v>0</v>
      </c>
      <c r="AD872">
        <v>860</v>
      </c>
      <c r="AE872">
        <v>4.43</v>
      </c>
      <c r="AG872" t="s">
        <v>5113</v>
      </c>
      <c r="AI872" t="s">
        <v>6143</v>
      </c>
      <c r="AJ872">
        <v>50</v>
      </c>
      <c r="AK872" t="s">
        <v>6267</v>
      </c>
      <c r="AL872">
        <v>2</v>
      </c>
      <c r="AM872">
        <v>1</v>
      </c>
      <c r="AN872">
        <v>225.04</v>
      </c>
      <c r="AS872" t="s">
        <v>6299</v>
      </c>
      <c r="AT872">
        <v>48000</v>
      </c>
      <c r="AX872" t="s">
        <v>6441</v>
      </c>
      <c r="BA872" t="s">
        <v>6477</v>
      </c>
      <c r="BD872" t="s">
        <v>231</v>
      </c>
      <c r="BE872" t="s">
        <v>6702</v>
      </c>
    </row>
    <row r="873" spans="1:57">
      <c r="A873" s="1">
        <f>HYPERLINK("https://lsnyc.legalserver.org/matter/dynamic-profile/view/1913945","19-1913945")</f>
        <v>0</v>
      </c>
      <c r="B873" t="s">
        <v>60</v>
      </c>
      <c r="C873" t="s">
        <v>200</v>
      </c>
      <c r="D873" t="s">
        <v>214</v>
      </c>
      <c r="E873" t="s">
        <v>249</v>
      </c>
      <c r="G873" t="s">
        <v>1252</v>
      </c>
      <c r="H873" t="s">
        <v>1961</v>
      </c>
      <c r="J873" t="s">
        <v>2870</v>
      </c>
      <c r="K873" t="s">
        <v>3240</v>
      </c>
      <c r="L873" t="s">
        <v>3355</v>
      </c>
      <c r="M873" t="s">
        <v>3379</v>
      </c>
      <c r="N873">
        <v>11367</v>
      </c>
      <c r="O873" t="s">
        <v>3380</v>
      </c>
      <c r="P873" t="s">
        <v>3381</v>
      </c>
      <c r="Q873" t="s">
        <v>3383</v>
      </c>
      <c r="R873" t="s">
        <v>4087</v>
      </c>
      <c r="S873">
        <v>22</v>
      </c>
      <c r="T873" t="s">
        <v>4197</v>
      </c>
      <c r="U873" t="s">
        <v>4224</v>
      </c>
      <c r="W873" t="s">
        <v>4245</v>
      </c>
      <c r="X873" t="s">
        <v>3382</v>
      </c>
      <c r="Y873" t="s">
        <v>3382</v>
      </c>
      <c r="AA873" t="s">
        <v>4256</v>
      </c>
      <c r="AC873">
        <v>0</v>
      </c>
      <c r="AD873">
        <v>1185</v>
      </c>
      <c r="AE873">
        <v>2.63</v>
      </c>
      <c r="AG873" t="s">
        <v>5114</v>
      </c>
      <c r="AI873" t="s">
        <v>6144</v>
      </c>
      <c r="AJ873">
        <v>12</v>
      </c>
      <c r="AK873" t="s">
        <v>6266</v>
      </c>
      <c r="AL873">
        <v>1</v>
      </c>
      <c r="AM873">
        <v>0</v>
      </c>
      <c r="AN873">
        <v>96.08</v>
      </c>
      <c r="AR873" t="s">
        <v>5312</v>
      </c>
      <c r="AS873" t="s">
        <v>6298</v>
      </c>
      <c r="AT873">
        <v>12000</v>
      </c>
      <c r="AX873" t="s">
        <v>6441</v>
      </c>
      <c r="BA873" t="s">
        <v>6477</v>
      </c>
      <c r="BD873" t="s">
        <v>237</v>
      </c>
      <c r="BE873" t="s">
        <v>6702</v>
      </c>
    </row>
    <row r="874" spans="1:57">
      <c r="A874" s="1">
        <f>HYPERLINK("https://lsnyc.legalserver.org/matter/dynamic-profile/view/1881217","18-1881217")</f>
        <v>0</v>
      </c>
      <c r="B874" t="s">
        <v>60</v>
      </c>
      <c r="C874" t="s">
        <v>200</v>
      </c>
      <c r="D874" t="s">
        <v>214</v>
      </c>
      <c r="E874" t="s">
        <v>531</v>
      </c>
      <c r="G874" t="s">
        <v>717</v>
      </c>
      <c r="H874" t="s">
        <v>1962</v>
      </c>
      <c r="J874" t="s">
        <v>2871</v>
      </c>
      <c r="L874" t="s">
        <v>3355</v>
      </c>
      <c r="M874" t="s">
        <v>3379</v>
      </c>
      <c r="N874">
        <v>11355</v>
      </c>
      <c r="O874" t="s">
        <v>3380</v>
      </c>
      <c r="P874" t="s">
        <v>3380</v>
      </c>
      <c r="Q874" t="s">
        <v>3383</v>
      </c>
      <c r="R874" t="s">
        <v>4088</v>
      </c>
      <c r="S874">
        <v>8</v>
      </c>
      <c r="T874" t="s">
        <v>4197</v>
      </c>
      <c r="U874" t="s">
        <v>4224</v>
      </c>
      <c r="W874" t="s">
        <v>4245</v>
      </c>
      <c r="X874" t="s">
        <v>3382</v>
      </c>
      <c r="Y874" t="s">
        <v>3382</v>
      </c>
      <c r="AA874" t="s">
        <v>4256</v>
      </c>
      <c r="AC874">
        <v>1400</v>
      </c>
      <c r="AD874">
        <v>1400</v>
      </c>
      <c r="AE874">
        <v>1</v>
      </c>
      <c r="AG874" t="s">
        <v>5115</v>
      </c>
      <c r="AI874" t="s">
        <v>6145</v>
      </c>
      <c r="AJ874">
        <v>0</v>
      </c>
      <c r="AK874" t="s">
        <v>6266</v>
      </c>
      <c r="AL874">
        <v>2</v>
      </c>
      <c r="AM874">
        <v>1</v>
      </c>
      <c r="AN874">
        <v>105.1</v>
      </c>
      <c r="AQ874" t="s">
        <v>6288</v>
      </c>
      <c r="AS874" t="s">
        <v>6298</v>
      </c>
      <c r="AT874">
        <v>21840</v>
      </c>
      <c r="AX874" t="s">
        <v>184</v>
      </c>
      <c r="BA874" t="s">
        <v>6477</v>
      </c>
      <c r="BD874" t="s">
        <v>531</v>
      </c>
    </row>
    <row r="875" spans="1:57">
      <c r="A875" s="1">
        <f>HYPERLINK("https://lsnyc.legalserver.org/matter/dynamic-profile/view/1874536","18-1874536")</f>
        <v>0</v>
      </c>
      <c r="B875" t="s">
        <v>60</v>
      </c>
      <c r="C875" t="s">
        <v>200</v>
      </c>
      <c r="D875" t="s">
        <v>214</v>
      </c>
      <c r="E875" t="s">
        <v>420</v>
      </c>
      <c r="G875" t="s">
        <v>1253</v>
      </c>
      <c r="H875" t="s">
        <v>1332</v>
      </c>
      <c r="J875" t="s">
        <v>2872</v>
      </c>
      <c r="K875">
        <v>105</v>
      </c>
      <c r="L875" t="s">
        <v>3355</v>
      </c>
      <c r="M875" t="s">
        <v>3379</v>
      </c>
      <c r="N875">
        <v>11355</v>
      </c>
      <c r="O875" t="s">
        <v>3380</v>
      </c>
      <c r="P875" t="s">
        <v>3381</v>
      </c>
      <c r="Q875" t="s">
        <v>3383</v>
      </c>
      <c r="R875" t="s">
        <v>4089</v>
      </c>
      <c r="S875">
        <v>35</v>
      </c>
      <c r="T875" t="s">
        <v>4196</v>
      </c>
      <c r="U875" t="s">
        <v>4223</v>
      </c>
      <c r="W875" t="s">
        <v>4245</v>
      </c>
      <c r="X875" t="s">
        <v>3382</v>
      </c>
      <c r="Y875" t="s">
        <v>3382</v>
      </c>
      <c r="AA875" t="s">
        <v>4256</v>
      </c>
      <c r="AB875" t="s">
        <v>4261</v>
      </c>
      <c r="AC875">
        <v>910.13</v>
      </c>
      <c r="AD875">
        <v>1130</v>
      </c>
      <c r="AE875">
        <v>63.95</v>
      </c>
      <c r="AG875" t="s">
        <v>5116</v>
      </c>
      <c r="AI875" t="s">
        <v>6146</v>
      </c>
      <c r="AJ875">
        <v>20</v>
      </c>
      <c r="AL875">
        <v>1</v>
      </c>
      <c r="AM875">
        <v>0</v>
      </c>
      <c r="AN875">
        <v>79.67</v>
      </c>
      <c r="AP875" t="s">
        <v>6284</v>
      </c>
      <c r="AQ875" t="s">
        <v>6287</v>
      </c>
      <c r="AR875" t="s">
        <v>6293</v>
      </c>
      <c r="AS875" t="s">
        <v>6298</v>
      </c>
      <c r="AT875">
        <v>9672</v>
      </c>
      <c r="AV875" t="s">
        <v>3380</v>
      </c>
      <c r="AX875" t="s">
        <v>184</v>
      </c>
      <c r="BA875" t="s">
        <v>3391</v>
      </c>
      <c r="BD875" t="s">
        <v>396</v>
      </c>
    </row>
    <row r="876" spans="1:57">
      <c r="A876" s="1">
        <f>HYPERLINK("https://lsnyc.legalserver.org/matter/dynamic-profile/view/1893986","19-1893986")</f>
        <v>0</v>
      </c>
      <c r="B876" t="s">
        <v>60</v>
      </c>
      <c r="C876" t="s">
        <v>200</v>
      </c>
      <c r="D876" t="s">
        <v>214</v>
      </c>
      <c r="E876" t="s">
        <v>532</v>
      </c>
      <c r="G876" t="s">
        <v>1204</v>
      </c>
      <c r="H876" t="s">
        <v>1963</v>
      </c>
      <c r="J876" t="s">
        <v>2873</v>
      </c>
      <c r="K876" t="s">
        <v>3299</v>
      </c>
      <c r="L876" t="s">
        <v>3346</v>
      </c>
      <c r="M876" t="s">
        <v>3379</v>
      </c>
      <c r="N876">
        <v>11105</v>
      </c>
      <c r="O876" t="s">
        <v>3380</v>
      </c>
      <c r="P876" t="s">
        <v>3380</v>
      </c>
      <c r="Q876" t="s">
        <v>3383</v>
      </c>
      <c r="R876" t="s">
        <v>4090</v>
      </c>
      <c r="S876">
        <v>0</v>
      </c>
      <c r="T876" t="s">
        <v>4196</v>
      </c>
      <c r="U876" t="s">
        <v>4226</v>
      </c>
      <c r="W876" t="s">
        <v>4245</v>
      </c>
      <c r="X876" t="s">
        <v>3382</v>
      </c>
      <c r="Y876" t="s">
        <v>3380</v>
      </c>
      <c r="AA876" t="s">
        <v>4256</v>
      </c>
      <c r="AC876">
        <v>0</v>
      </c>
      <c r="AD876">
        <v>1320.58</v>
      </c>
      <c r="AE876">
        <v>1</v>
      </c>
      <c r="AG876" t="s">
        <v>5117</v>
      </c>
      <c r="AI876" t="s">
        <v>6147</v>
      </c>
      <c r="AJ876">
        <v>0</v>
      </c>
      <c r="AL876">
        <v>2</v>
      </c>
      <c r="AM876">
        <v>2</v>
      </c>
      <c r="AN876">
        <v>100.97</v>
      </c>
      <c r="AQ876" t="s">
        <v>6288</v>
      </c>
      <c r="AS876" t="s">
        <v>6298</v>
      </c>
      <c r="AT876">
        <v>26000</v>
      </c>
      <c r="AX876" t="s">
        <v>6443</v>
      </c>
      <c r="BA876" t="s">
        <v>6477</v>
      </c>
      <c r="BD876" t="s">
        <v>532</v>
      </c>
    </row>
    <row r="877" spans="1:57">
      <c r="A877" s="1">
        <f>HYPERLINK("https://lsnyc.legalserver.org/matter/dynamic-profile/view/1890271","19-1890271")</f>
        <v>0</v>
      </c>
      <c r="B877" t="s">
        <v>60</v>
      </c>
      <c r="C877" t="s">
        <v>200</v>
      </c>
      <c r="D877" t="s">
        <v>214</v>
      </c>
      <c r="E877" t="s">
        <v>490</v>
      </c>
      <c r="G877" t="s">
        <v>638</v>
      </c>
      <c r="H877" t="s">
        <v>1964</v>
      </c>
      <c r="J877" t="s">
        <v>2874</v>
      </c>
      <c r="K877" t="s">
        <v>3300</v>
      </c>
      <c r="L877" t="s">
        <v>3346</v>
      </c>
      <c r="M877" t="s">
        <v>3379</v>
      </c>
      <c r="N877">
        <v>11103</v>
      </c>
      <c r="O877" t="s">
        <v>3381</v>
      </c>
      <c r="P877" t="s">
        <v>3381</v>
      </c>
      <c r="Q877" t="s">
        <v>3383</v>
      </c>
      <c r="R877" t="s">
        <v>4091</v>
      </c>
      <c r="S877">
        <v>11</v>
      </c>
      <c r="U877" t="s">
        <v>4225</v>
      </c>
      <c r="W877" t="s">
        <v>4245</v>
      </c>
      <c r="X877" t="s">
        <v>3382</v>
      </c>
      <c r="AA877" t="s">
        <v>4256</v>
      </c>
      <c r="AC877">
        <v>0</v>
      </c>
      <c r="AD877">
        <v>1400</v>
      </c>
      <c r="AE877">
        <v>1</v>
      </c>
      <c r="AG877" t="s">
        <v>5118</v>
      </c>
      <c r="AI877" t="s">
        <v>6148</v>
      </c>
      <c r="AJ877">
        <v>3</v>
      </c>
      <c r="AK877" t="s">
        <v>6274</v>
      </c>
      <c r="AL877">
        <v>3</v>
      </c>
      <c r="AM877">
        <v>1</v>
      </c>
      <c r="AN877">
        <v>182.52</v>
      </c>
      <c r="AQ877" t="s">
        <v>6286</v>
      </c>
      <c r="AR877" t="s">
        <v>5312</v>
      </c>
      <c r="AS877" t="s">
        <v>6298</v>
      </c>
      <c r="AT877">
        <v>47000</v>
      </c>
      <c r="AX877" t="s">
        <v>196</v>
      </c>
      <c r="BA877" t="s">
        <v>6477</v>
      </c>
      <c r="BD877" t="s">
        <v>490</v>
      </c>
    </row>
    <row r="878" spans="1:57">
      <c r="A878" s="1">
        <f>HYPERLINK("https://lsnyc.legalserver.org/matter/dynamic-profile/view/1861861","18-1861861")</f>
        <v>0</v>
      </c>
      <c r="B878" t="s">
        <v>60</v>
      </c>
      <c r="C878" t="s">
        <v>201</v>
      </c>
      <c r="D878" t="s">
        <v>214</v>
      </c>
      <c r="E878" t="s">
        <v>533</v>
      </c>
      <c r="G878" t="s">
        <v>1254</v>
      </c>
      <c r="H878" t="s">
        <v>1965</v>
      </c>
      <c r="J878" t="s">
        <v>2875</v>
      </c>
      <c r="K878" t="s">
        <v>3038</v>
      </c>
      <c r="L878" t="s">
        <v>3340</v>
      </c>
      <c r="M878" t="s">
        <v>3379</v>
      </c>
      <c r="N878">
        <v>11377</v>
      </c>
      <c r="O878" t="s">
        <v>3381</v>
      </c>
      <c r="P878" t="s">
        <v>3381</v>
      </c>
      <c r="Q878" t="s">
        <v>3386</v>
      </c>
      <c r="R878" t="s">
        <v>4092</v>
      </c>
      <c r="S878">
        <v>7</v>
      </c>
      <c r="T878" t="s">
        <v>4196</v>
      </c>
      <c r="U878" t="s">
        <v>4223</v>
      </c>
      <c r="W878" t="s">
        <v>4245</v>
      </c>
      <c r="X878" t="s">
        <v>3382</v>
      </c>
      <c r="Y878" t="s">
        <v>3382</v>
      </c>
      <c r="AA878" t="s">
        <v>4256</v>
      </c>
      <c r="AC878">
        <v>1540.7</v>
      </c>
      <c r="AD878">
        <v>1540.7</v>
      </c>
      <c r="AE878">
        <v>9.85</v>
      </c>
      <c r="AG878" t="s">
        <v>5119</v>
      </c>
      <c r="AI878" t="s">
        <v>6149</v>
      </c>
      <c r="AJ878">
        <v>0</v>
      </c>
      <c r="AK878" t="s">
        <v>6267</v>
      </c>
      <c r="AL878">
        <v>2</v>
      </c>
      <c r="AM878">
        <v>1</v>
      </c>
      <c r="AN878">
        <v>127.05</v>
      </c>
      <c r="AR878" t="s">
        <v>5312</v>
      </c>
      <c r="AS878" t="s">
        <v>6299</v>
      </c>
      <c r="AT878">
        <v>26400</v>
      </c>
      <c r="AX878" t="s">
        <v>201</v>
      </c>
      <c r="BA878" t="s">
        <v>6477</v>
      </c>
      <c r="BD878" t="s">
        <v>6671</v>
      </c>
    </row>
    <row r="879" spans="1:57">
      <c r="A879" s="1">
        <f>HYPERLINK("https://lsnyc.legalserver.org/matter/dynamic-profile/view/0774240","15-0774240")</f>
        <v>0</v>
      </c>
      <c r="B879" t="s">
        <v>60</v>
      </c>
      <c r="C879" t="s">
        <v>201</v>
      </c>
      <c r="D879" t="s">
        <v>214</v>
      </c>
      <c r="E879" t="s">
        <v>534</v>
      </c>
      <c r="G879" t="s">
        <v>648</v>
      </c>
      <c r="H879" t="s">
        <v>1966</v>
      </c>
      <c r="J879" t="s">
        <v>2876</v>
      </c>
      <c r="K879" t="s">
        <v>3301</v>
      </c>
      <c r="L879" t="s">
        <v>3352</v>
      </c>
      <c r="M879" t="s">
        <v>3379</v>
      </c>
      <c r="N879">
        <v>11372</v>
      </c>
      <c r="O879" t="s">
        <v>3381</v>
      </c>
      <c r="P879" t="s">
        <v>3381</v>
      </c>
      <c r="Q879" t="s">
        <v>3387</v>
      </c>
      <c r="R879" t="s">
        <v>4093</v>
      </c>
      <c r="S879">
        <v>0</v>
      </c>
      <c r="T879" t="s">
        <v>4196</v>
      </c>
      <c r="U879" t="s">
        <v>4223</v>
      </c>
      <c r="W879" t="s">
        <v>4245</v>
      </c>
      <c r="X879" t="s">
        <v>3382</v>
      </c>
      <c r="Y879" t="s">
        <v>3382</v>
      </c>
      <c r="AA879" t="s">
        <v>4256</v>
      </c>
      <c r="AC879">
        <v>0</v>
      </c>
      <c r="AD879">
        <v>0</v>
      </c>
      <c r="AE879">
        <v>18.6</v>
      </c>
      <c r="AG879" t="s">
        <v>4740</v>
      </c>
      <c r="AI879" t="s">
        <v>6150</v>
      </c>
      <c r="AJ879">
        <v>16</v>
      </c>
      <c r="AK879" t="s">
        <v>6267</v>
      </c>
      <c r="AL879">
        <v>4</v>
      </c>
      <c r="AM879">
        <v>1</v>
      </c>
      <c r="AN879">
        <v>41.18</v>
      </c>
      <c r="AS879" t="s">
        <v>6299</v>
      </c>
      <c r="AT879">
        <v>11700</v>
      </c>
      <c r="AX879" t="s">
        <v>201</v>
      </c>
      <c r="BA879" t="s">
        <v>6477</v>
      </c>
      <c r="BD879" t="s">
        <v>6678</v>
      </c>
    </row>
    <row r="880" spans="1:57">
      <c r="A880" s="1">
        <f>HYPERLINK("https://lsnyc.legalserver.org/matter/dynamic-profile/view/1913623","19-1913623")</f>
        <v>0</v>
      </c>
      <c r="B880" t="s">
        <v>60</v>
      </c>
      <c r="C880" t="s">
        <v>201</v>
      </c>
      <c r="D880" t="s">
        <v>214</v>
      </c>
      <c r="E880" t="s">
        <v>251</v>
      </c>
      <c r="G880" t="s">
        <v>899</v>
      </c>
      <c r="H880" t="s">
        <v>1835</v>
      </c>
      <c r="J880" t="s">
        <v>2702</v>
      </c>
      <c r="K880" t="s">
        <v>2998</v>
      </c>
      <c r="L880" t="s">
        <v>3346</v>
      </c>
      <c r="M880" t="s">
        <v>3379</v>
      </c>
      <c r="N880">
        <v>11102</v>
      </c>
      <c r="O880" t="s">
        <v>3381</v>
      </c>
      <c r="P880" t="s">
        <v>3381</v>
      </c>
      <c r="R880" t="s">
        <v>4094</v>
      </c>
      <c r="S880">
        <v>0</v>
      </c>
      <c r="T880" t="s">
        <v>4196</v>
      </c>
      <c r="U880" t="s">
        <v>4223</v>
      </c>
      <c r="W880" t="s">
        <v>4245</v>
      </c>
      <c r="X880" t="s">
        <v>3382</v>
      </c>
      <c r="Y880" t="s">
        <v>3380</v>
      </c>
      <c r="AA880" t="s">
        <v>4258</v>
      </c>
      <c r="AB880" t="s">
        <v>4261</v>
      </c>
      <c r="AC880">
        <v>0</v>
      </c>
      <c r="AD880">
        <v>0</v>
      </c>
      <c r="AE880">
        <v>2.6</v>
      </c>
      <c r="AG880" t="s">
        <v>4948</v>
      </c>
      <c r="AI880" t="s">
        <v>5982</v>
      </c>
      <c r="AJ880">
        <v>0</v>
      </c>
      <c r="AL880">
        <v>4</v>
      </c>
      <c r="AM880">
        <v>2</v>
      </c>
      <c r="AN880">
        <v>82.12</v>
      </c>
      <c r="AS880" t="s">
        <v>6298</v>
      </c>
      <c r="AT880">
        <v>28404</v>
      </c>
      <c r="AX880" t="s">
        <v>201</v>
      </c>
      <c r="BA880" t="s">
        <v>6593</v>
      </c>
      <c r="BD880" t="s">
        <v>267</v>
      </c>
    </row>
    <row r="881" spans="1:57">
      <c r="A881" s="1">
        <f>HYPERLINK("https://lsnyc.legalserver.org/matter/dynamic-profile/view/1913326","19-1913326")</f>
        <v>0</v>
      </c>
      <c r="B881" t="s">
        <v>60</v>
      </c>
      <c r="C881" t="s">
        <v>201</v>
      </c>
      <c r="D881" t="s">
        <v>214</v>
      </c>
      <c r="E881" t="s">
        <v>316</v>
      </c>
      <c r="G881" t="s">
        <v>1255</v>
      </c>
      <c r="H881" t="s">
        <v>1967</v>
      </c>
      <c r="J881" t="s">
        <v>2877</v>
      </c>
      <c r="K881" t="s">
        <v>3022</v>
      </c>
      <c r="L881" t="s">
        <v>3346</v>
      </c>
      <c r="M881" t="s">
        <v>3379</v>
      </c>
      <c r="N881">
        <v>11102</v>
      </c>
      <c r="O881" t="s">
        <v>3380</v>
      </c>
      <c r="P881" t="s">
        <v>3381</v>
      </c>
      <c r="Q881" t="s">
        <v>3383</v>
      </c>
      <c r="S881">
        <v>23</v>
      </c>
      <c r="T881" t="s">
        <v>4201</v>
      </c>
      <c r="U881" t="s">
        <v>4227</v>
      </c>
      <c r="W881" t="s">
        <v>4245</v>
      </c>
      <c r="X881" t="s">
        <v>3382</v>
      </c>
      <c r="Y881" t="s">
        <v>3382</v>
      </c>
      <c r="AA881" t="s">
        <v>4258</v>
      </c>
      <c r="AB881" t="s">
        <v>4261</v>
      </c>
      <c r="AC881">
        <v>0</v>
      </c>
      <c r="AD881">
        <v>300</v>
      </c>
      <c r="AE881">
        <v>2.2</v>
      </c>
      <c r="AG881" t="s">
        <v>5120</v>
      </c>
      <c r="AH881" t="s">
        <v>5357</v>
      </c>
      <c r="AI881" t="s">
        <v>6151</v>
      </c>
      <c r="AJ881">
        <v>8</v>
      </c>
      <c r="AK881" t="s">
        <v>6278</v>
      </c>
      <c r="AL881">
        <v>2</v>
      </c>
      <c r="AM881">
        <v>0</v>
      </c>
      <c r="AN881">
        <v>104.32</v>
      </c>
      <c r="AR881" t="s">
        <v>5312</v>
      </c>
      <c r="AS881" t="s">
        <v>6298</v>
      </c>
      <c r="AT881">
        <v>17640</v>
      </c>
      <c r="AX881" t="s">
        <v>6441</v>
      </c>
      <c r="BA881" t="s">
        <v>6594</v>
      </c>
      <c r="BD881" t="s">
        <v>341</v>
      </c>
      <c r="BE881" t="s">
        <v>6702</v>
      </c>
    </row>
    <row r="882" spans="1:57">
      <c r="A882" s="1">
        <f>HYPERLINK("https://lsnyc.legalserver.org/matter/dynamic-profile/view/1907540","19-1907540")</f>
        <v>0</v>
      </c>
      <c r="B882" t="s">
        <v>60</v>
      </c>
      <c r="C882" t="s">
        <v>201</v>
      </c>
      <c r="D882" t="s">
        <v>214</v>
      </c>
      <c r="E882" t="s">
        <v>286</v>
      </c>
      <c r="G882" t="s">
        <v>1256</v>
      </c>
      <c r="H882" t="s">
        <v>1844</v>
      </c>
      <c r="J882" t="s">
        <v>2878</v>
      </c>
      <c r="K882">
        <v>207</v>
      </c>
      <c r="L882" t="s">
        <v>3329</v>
      </c>
      <c r="M882" t="s">
        <v>3379</v>
      </c>
      <c r="N882">
        <v>10456</v>
      </c>
      <c r="O882" t="s">
        <v>3381</v>
      </c>
      <c r="P882" t="s">
        <v>3381</v>
      </c>
      <c r="S882">
        <v>3</v>
      </c>
      <c r="T882" t="s">
        <v>4197</v>
      </c>
      <c r="U882" t="s">
        <v>4224</v>
      </c>
      <c r="W882" t="s">
        <v>4245</v>
      </c>
      <c r="X882" t="s">
        <v>3382</v>
      </c>
      <c r="AA882" t="s">
        <v>4258</v>
      </c>
      <c r="AC882">
        <v>0</v>
      </c>
      <c r="AD882">
        <v>1127</v>
      </c>
      <c r="AE882">
        <v>1.48</v>
      </c>
      <c r="AG882" t="s">
        <v>5121</v>
      </c>
      <c r="AI882" t="s">
        <v>6152</v>
      </c>
      <c r="AJ882">
        <v>43</v>
      </c>
      <c r="AK882" t="s">
        <v>6273</v>
      </c>
      <c r="AL882">
        <v>1</v>
      </c>
      <c r="AM882">
        <v>0</v>
      </c>
      <c r="AN882">
        <v>93.67</v>
      </c>
      <c r="AR882" t="s">
        <v>6290</v>
      </c>
      <c r="AS882" t="s">
        <v>6298</v>
      </c>
      <c r="AT882">
        <v>11700</v>
      </c>
      <c r="AX882" t="s">
        <v>6441</v>
      </c>
      <c r="BA882" t="s">
        <v>6487</v>
      </c>
      <c r="BD882" t="s">
        <v>286</v>
      </c>
    </row>
    <row r="883" spans="1:57">
      <c r="A883" s="1">
        <f>HYPERLINK("https://lsnyc.legalserver.org/matter/dynamic-profile/view/1881544","18-1881544")</f>
        <v>0</v>
      </c>
      <c r="B883" t="s">
        <v>60</v>
      </c>
      <c r="C883" t="s">
        <v>202</v>
      </c>
      <c r="D883" t="s">
        <v>215</v>
      </c>
      <c r="E883" t="s">
        <v>535</v>
      </c>
      <c r="F883" t="s">
        <v>580</v>
      </c>
      <c r="G883" t="s">
        <v>1257</v>
      </c>
      <c r="H883" t="s">
        <v>1525</v>
      </c>
      <c r="J883" t="s">
        <v>2879</v>
      </c>
      <c r="K883" t="s">
        <v>3268</v>
      </c>
      <c r="L883" t="s">
        <v>3333</v>
      </c>
      <c r="M883" t="s">
        <v>3379</v>
      </c>
      <c r="N883">
        <v>11433</v>
      </c>
      <c r="O883" t="s">
        <v>3382</v>
      </c>
      <c r="P883" t="s">
        <v>3380</v>
      </c>
      <c r="Q883" t="s">
        <v>3383</v>
      </c>
      <c r="R883" t="s">
        <v>4095</v>
      </c>
      <c r="S883">
        <v>2</v>
      </c>
      <c r="T883" t="s">
        <v>4197</v>
      </c>
      <c r="U883" t="s">
        <v>4223</v>
      </c>
      <c r="V883" t="s">
        <v>4231</v>
      </c>
      <c r="W883" t="s">
        <v>4245</v>
      </c>
      <c r="X883" t="s">
        <v>3382</v>
      </c>
      <c r="Y883" t="s">
        <v>3382</v>
      </c>
      <c r="AA883" t="s">
        <v>4256</v>
      </c>
      <c r="AB883" t="s">
        <v>4265</v>
      </c>
      <c r="AC883">
        <v>1500</v>
      </c>
      <c r="AD883">
        <v>1500</v>
      </c>
      <c r="AE883">
        <v>25.29</v>
      </c>
      <c r="AF883" t="s">
        <v>4275</v>
      </c>
      <c r="AG883" t="s">
        <v>5122</v>
      </c>
      <c r="AI883" t="s">
        <v>6153</v>
      </c>
      <c r="AJ883">
        <v>0</v>
      </c>
      <c r="AK883" t="s">
        <v>6266</v>
      </c>
      <c r="AL883">
        <v>2</v>
      </c>
      <c r="AM883">
        <v>1</v>
      </c>
      <c r="AN883">
        <v>37.54</v>
      </c>
      <c r="AQ883" t="s">
        <v>6286</v>
      </c>
      <c r="AR883" t="s">
        <v>6296</v>
      </c>
      <c r="AS883" t="s">
        <v>6298</v>
      </c>
      <c r="AT883">
        <v>7800</v>
      </c>
      <c r="AX883" t="s">
        <v>184</v>
      </c>
      <c r="AY883" t="s">
        <v>6459</v>
      </c>
      <c r="AZ883" t="s">
        <v>3391</v>
      </c>
      <c r="BA883" t="s">
        <v>6532</v>
      </c>
      <c r="BB883" t="s">
        <v>6604</v>
      </c>
      <c r="BC883" t="s">
        <v>6631</v>
      </c>
      <c r="BD883" t="s">
        <v>580</v>
      </c>
      <c r="BE883" t="s">
        <v>6702</v>
      </c>
    </row>
    <row r="884" spans="1:57">
      <c r="A884" s="1">
        <f>HYPERLINK("https://lsnyc.legalserver.org/matter/dynamic-profile/view/1890918","19-1890918")</f>
        <v>0</v>
      </c>
      <c r="B884" t="s">
        <v>60</v>
      </c>
      <c r="C884" t="s">
        <v>202</v>
      </c>
      <c r="D884" t="s">
        <v>214</v>
      </c>
      <c r="E884" t="s">
        <v>536</v>
      </c>
      <c r="G884" t="s">
        <v>920</v>
      </c>
      <c r="H884" t="s">
        <v>1340</v>
      </c>
      <c r="J884" t="s">
        <v>2880</v>
      </c>
      <c r="K884" t="s">
        <v>3302</v>
      </c>
      <c r="L884" t="s">
        <v>3338</v>
      </c>
      <c r="M884" t="s">
        <v>3379</v>
      </c>
      <c r="N884">
        <v>11385</v>
      </c>
      <c r="O884" t="s">
        <v>3380</v>
      </c>
      <c r="P884" t="s">
        <v>3380</v>
      </c>
      <c r="Q884" t="s">
        <v>3383</v>
      </c>
      <c r="R884" t="s">
        <v>4096</v>
      </c>
      <c r="S884">
        <v>0</v>
      </c>
      <c r="T884" t="s">
        <v>4196</v>
      </c>
      <c r="U884" t="s">
        <v>4225</v>
      </c>
      <c r="W884" t="s">
        <v>4246</v>
      </c>
      <c r="X884" t="s">
        <v>3382</v>
      </c>
      <c r="Y884" t="s">
        <v>3382</v>
      </c>
      <c r="AA884" t="s">
        <v>4256</v>
      </c>
      <c r="AB884" t="s">
        <v>4263</v>
      </c>
      <c r="AC884">
        <v>0</v>
      </c>
      <c r="AD884">
        <v>1508</v>
      </c>
      <c r="AE884">
        <v>0.6</v>
      </c>
      <c r="AG884" t="s">
        <v>5123</v>
      </c>
      <c r="AI884" t="s">
        <v>6154</v>
      </c>
      <c r="AJ884">
        <v>0</v>
      </c>
      <c r="AK884" t="s">
        <v>6267</v>
      </c>
      <c r="AL884">
        <v>1</v>
      </c>
      <c r="AM884">
        <v>1</v>
      </c>
      <c r="AN884">
        <v>119.31</v>
      </c>
      <c r="AT884">
        <v>20176</v>
      </c>
      <c r="AU884" t="s">
        <v>6320</v>
      </c>
      <c r="AX884" t="s">
        <v>202</v>
      </c>
      <c r="BA884" t="s">
        <v>6477</v>
      </c>
      <c r="BD884" t="s">
        <v>361</v>
      </c>
    </row>
    <row r="885" spans="1:57">
      <c r="A885" s="1">
        <f>HYPERLINK("https://lsnyc.legalserver.org/matter/dynamic-profile/view/1890649","19-1890649")</f>
        <v>0</v>
      </c>
      <c r="B885" t="s">
        <v>60</v>
      </c>
      <c r="C885" t="s">
        <v>202</v>
      </c>
      <c r="D885" t="s">
        <v>215</v>
      </c>
      <c r="E885" t="s">
        <v>226</v>
      </c>
      <c r="F885" t="s">
        <v>580</v>
      </c>
      <c r="G885" t="s">
        <v>1258</v>
      </c>
      <c r="H885" t="s">
        <v>1968</v>
      </c>
      <c r="J885" t="s">
        <v>2881</v>
      </c>
      <c r="K885" t="s">
        <v>3303</v>
      </c>
      <c r="L885" t="s">
        <v>3340</v>
      </c>
      <c r="M885" t="s">
        <v>3379</v>
      </c>
      <c r="N885">
        <v>11377</v>
      </c>
      <c r="O885" t="s">
        <v>3380</v>
      </c>
      <c r="P885" t="s">
        <v>3380</v>
      </c>
      <c r="Q885" t="s">
        <v>3383</v>
      </c>
      <c r="R885" t="s">
        <v>4097</v>
      </c>
      <c r="S885">
        <v>1</v>
      </c>
      <c r="T885" t="s">
        <v>4197</v>
      </c>
      <c r="U885" t="s">
        <v>4223</v>
      </c>
      <c r="V885" t="s">
        <v>4231</v>
      </c>
      <c r="W885" t="s">
        <v>4245</v>
      </c>
      <c r="X885" t="s">
        <v>3382</v>
      </c>
      <c r="Y885" t="s">
        <v>3382</v>
      </c>
      <c r="AA885" t="s">
        <v>4256</v>
      </c>
      <c r="AB885" t="s">
        <v>4265</v>
      </c>
      <c r="AC885">
        <v>0</v>
      </c>
      <c r="AD885">
        <v>640</v>
      </c>
      <c r="AE885">
        <v>30.6</v>
      </c>
      <c r="AF885" t="s">
        <v>4275</v>
      </c>
      <c r="AG885" t="s">
        <v>5124</v>
      </c>
      <c r="AI885" t="s">
        <v>6155</v>
      </c>
      <c r="AJ885">
        <v>2</v>
      </c>
      <c r="AK885" t="s">
        <v>6274</v>
      </c>
      <c r="AL885">
        <v>1</v>
      </c>
      <c r="AM885">
        <v>0</v>
      </c>
      <c r="AN885">
        <v>160.13</v>
      </c>
      <c r="AR885" t="s">
        <v>5312</v>
      </c>
      <c r="AS885" t="s">
        <v>6298</v>
      </c>
      <c r="AT885">
        <v>20000</v>
      </c>
      <c r="AU885" t="s">
        <v>6320</v>
      </c>
      <c r="AX885" t="s">
        <v>202</v>
      </c>
      <c r="AY885" t="s">
        <v>6459</v>
      </c>
      <c r="AZ885" t="s">
        <v>6472</v>
      </c>
      <c r="BA885" t="s">
        <v>6477</v>
      </c>
      <c r="BB885" t="s">
        <v>6604</v>
      </c>
      <c r="BC885" t="s">
        <v>6622</v>
      </c>
      <c r="BD885" t="s">
        <v>300</v>
      </c>
      <c r="BE885" t="s">
        <v>6702</v>
      </c>
    </row>
    <row r="886" spans="1:57">
      <c r="A886" s="1">
        <f>HYPERLINK("https://lsnyc.legalserver.org/matter/dynamic-profile/view/1903671","19-1903671")</f>
        <v>0</v>
      </c>
      <c r="B886" t="s">
        <v>60</v>
      </c>
      <c r="C886" t="s">
        <v>202</v>
      </c>
      <c r="D886" t="s">
        <v>214</v>
      </c>
      <c r="E886" t="s">
        <v>386</v>
      </c>
      <c r="G886" t="s">
        <v>1259</v>
      </c>
      <c r="H886" t="s">
        <v>1969</v>
      </c>
      <c r="J886" t="s">
        <v>2865</v>
      </c>
      <c r="K886" t="s">
        <v>3304</v>
      </c>
      <c r="L886" t="s">
        <v>3341</v>
      </c>
      <c r="M886" t="s">
        <v>3379</v>
      </c>
      <c r="N886">
        <v>11373</v>
      </c>
      <c r="O886" t="s">
        <v>3380</v>
      </c>
      <c r="P886" t="s">
        <v>3381</v>
      </c>
      <c r="Q886" t="s">
        <v>3384</v>
      </c>
      <c r="R886" t="s">
        <v>4098</v>
      </c>
      <c r="S886">
        <v>4</v>
      </c>
      <c r="T886" t="s">
        <v>4197</v>
      </c>
      <c r="U886" t="s">
        <v>4223</v>
      </c>
      <c r="W886" t="s">
        <v>4246</v>
      </c>
      <c r="X886" t="s">
        <v>3382</v>
      </c>
      <c r="Y886" t="s">
        <v>3382</v>
      </c>
      <c r="AA886" t="s">
        <v>4256</v>
      </c>
      <c r="AB886" t="s">
        <v>4261</v>
      </c>
      <c r="AC886">
        <v>0</v>
      </c>
      <c r="AD886">
        <v>1261</v>
      </c>
      <c r="AE886">
        <v>1.67</v>
      </c>
      <c r="AJ886">
        <v>150</v>
      </c>
      <c r="AK886" t="s">
        <v>6279</v>
      </c>
      <c r="AL886">
        <v>1</v>
      </c>
      <c r="AM886">
        <v>0</v>
      </c>
      <c r="AN886">
        <v>134.51</v>
      </c>
      <c r="AS886" t="s">
        <v>6298</v>
      </c>
      <c r="AT886">
        <v>16800</v>
      </c>
      <c r="AX886" t="s">
        <v>189</v>
      </c>
      <c r="BA886" t="s">
        <v>6539</v>
      </c>
      <c r="BD886" t="s">
        <v>294</v>
      </c>
      <c r="BE886" t="s">
        <v>6702</v>
      </c>
    </row>
    <row r="887" spans="1:57">
      <c r="A887" s="1">
        <f>HYPERLINK("https://lsnyc.legalserver.org/matter/dynamic-profile/view/1886283","18-1886283")</f>
        <v>0</v>
      </c>
      <c r="B887" t="s">
        <v>60</v>
      </c>
      <c r="C887" t="s">
        <v>203</v>
      </c>
      <c r="D887" t="s">
        <v>214</v>
      </c>
      <c r="E887" t="s">
        <v>443</v>
      </c>
      <c r="G887" t="s">
        <v>827</v>
      </c>
      <c r="H887" t="s">
        <v>1970</v>
      </c>
      <c r="J887" t="s">
        <v>2882</v>
      </c>
      <c r="L887" t="s">
        <v>3373</v>
      </c>
      <c r="M887" t="s">
        <v>3379</v>
      </c>
      <c r="N887">
        <v>11693</v>
      </c>
      <c r="O887" t="s">
        <v>3381</v>
      </c>
      <c r="P887" t="s">
        <v>3381</v>
      </c>
      <c r="Q887" t="s">
        <v>3383</v>
      </c>
      <c r="R887" t="s">
        <v>4099</v>
      </c>
      <c r="S887">
        <v>7</v>
      </c>
      <c r="T887" t="s">
        <v>4197</v>
      </c>
      <c r="U887" t="s">
        <v>4224</v>
      </c>
      <c r="W887" t="s">
        <v>4245</v>
      </c>
      <c r="X887" t="s">
        <v>3382</v>
      </c>
      <c r="Y887" t="s">
        <v>3382</v>
      </c>
      <c r="AA887" t="s">
        <v>4256</v>
      </c>
      <c r="AB887" t="s">
        <v>4261</v>
      </c>
      <c r="AC887">
        <v>0</v>
      </c>
      <c r="AD887">
        <v>1200</v>
      </c>
      <c r="AE887">
        <v>0</v>
      </c>
      <c r="AG887" t="s">
        <v>5125</v>
      </c>
      <c r="AI887" t="s">
        <v>6156</v>
      </c>
      <c r="AJ887">
        <v>1</v>
      </c>
      <c r="AL887">
        <v>1</v>
      </c>
      <c r="AM887">
        <v>0</v>
      </c>
      <c r="AN887">
        <v>0</v>
      </c>
      <c r="AS887" t="s">
        <v>6298</v>
      </c>
      <c r="AT887">
        <v>0</v>
      </c>
      <c r="AX887" t="s">
        <v>193</v>
      </c>
      <c r="BA887" t="s">
        <v>6479</v>
      </c>
    </row>
    <row r="888" spans="1:57">
      <c r="A888" s="1">
        <f>HYPERLINK("https://lsnyc.legalserver.org/matter/dynamic-profile/view/1870398","18-1870398")</f>
        <v>0</v>
      </c>
      <c r="B888" t="s">
        <v>60</v>
      </c>
      <c r="C888" t="s">
        <v>203</v>
      </c>
      <c r="D888" t="s">
        <v>214</v>
      </c>
      <c r="E888" t="s">
        <v>537</v>
      </c>
      <c r="G888" t="s">
        <v>1260</v>
      </c>
      <c r="H888" t="s">
        <v>1971</v>
      </c>
      <c r="J888" t="s">
        <v>2883</v>
      </c>
      <c r="K888">
        <v>2</v>
      </c>
      <c r="L888" t="s">
        <v>3374</v>
      </c>
      <c r="M888" t="s">
        <v>3379</v>
      </c>
      <c r="N888">
        <v>11692</v>
      </c>
      <c r="O888" t="s">
        <v>3381</v>
      </c>
      <c r="P888" t="s">
        <v>3381</v>
      </c>
      <c r="R888" t="s">
        <v>4100</v>
      </c>
      <c r="S888">
        <v>0</v>
      </c>
      <c r="T888" t="s">
        <v>4197</v>
      </c>
      <c r="U888" t="s">
        <v>4225</v>
      </c>
      <c r="W888" t="s">
        <v>4245</v>
      </c>
      <c r="X888" t="s">
        <v>3382</v>
      </c>
      <c r="AA888" t="s">
        <v>4256</v>
      </c>
      <c r="AC888">
        <v>0</v>
      </c>
      <c r="AD888">
        <v>0</v>
      </c>
      <c r="AE888">
        <v>1.1</v>
      </c>
      <c r="AG888" t="s">
        <v>5126</v>
      </c>
      <c r="AI888" t="s">
        <v>6157</v>
      </c>
      <c r="AJ888">
        <v>0</v>
      </c>
      <c r="AL888">
        <v>1</v>
      </c>
      <c r="AM888">
        <v>1</v>
      </c>
      <c r="AN888">
        <v>0</v>
      </c>
      <c r="AS888" t="s">
        <v>6298</v>
      </c>
      <c r="AT888">
        <v>0</v>
      </c>
      <c r="AX888" t="s">
        <v>196</v>
      </c>
      <c r="BA888" t="s">
        <v>6486</v>
      </c>
      <c r="BD888" t="s">
        <v>6679</v>
      </c>
    </row>
    <row r="889" spans="1:57">
      <c r="A889" s="1">
        <f>HYPERLINK("https://lsnyc.legalserver.org/matter/dynamic-profile/view/0771230","15-0771230")</f>
        <v>0</v>
      </c>
      <c r="B889" t="s">
        <v>60</v>
      </c>
      <c r="C889" t="s">
        <v>203</v>
      </c>
      <c r="D889" t="s">
        <v>214</v>
      </c>
      <c r="E889" t="s">
        <v>538</v>
      </c>
      <c r="G889" t="s">
        <v>1261</v>
      </c>
      <c r="H889" t="s">
        <v>1972</v>
      </c>
      <c r="J889" t="s">
        <v>2884</v>
      </c>
      <c r="K889" t="s">
        <v>3305</v>
      </c>
      <c r="L889" t="s">
        <v>3375</v>
      </c>
      <c r="M889" t="s">
        <v>3379</v>
      </c>
      <c r="N889">
        <v>11691</v>
      </c>
      <c r="O889" t="s">
        <v>3381</v>
      </c>
      <c r="P889" t="s">
        <v>3381</v>
      </c>
      <c r="S889">
        <v>0</v>
      </c>
      <c r="T889" t="s">
        <v>4197</v>
      </c>
      <c r="U889" t="s">
        <v>4223</v>
      </c>
      <c r="W889" t="s">
        <v>4245</v>
      </c>
      <c r="X889" t="s">
        <v>3382</v>
      </c>
      <c r="AA889" t="s">
        <v>4256</v>
      </c>
      <c r="AC889">
        <v>1200</v>
      </c>
      <c r="AD889">
        <v>1200</v>
      </c>
      <c r="AE889">
        <v>16.5</v>
      </c>
      <c r="AG889" t="s">
        <v>5127</v>
      </c>
      <c r="AI889" t="s">
        <v>6158</v>
      </c>
      <c r="AJ889">
        <v>0</v>
      </c>
      <c r="AL889">
        <v>1</v>
      </c>
      <c r="AM889">
        <v>2</v>
      </c>
      <c r="AN889">
        <v>38.05</v>
      </c>
      <c r="AS889" t="s">
        <v>6298</v>
      </c>
      <c r="AT889">
        <v>7644</v>
      </c>
      <c r="AX889" t="s">
        <v>196</v>
      </c>
      <c r="BA889" t="s">
        <v>6495</v>
      </c>
      <c r="BD889" t="s">
        <v>6680</v>
      </c>
    </row>
    <row r="890" spans="1:57">
      <c r="A890" s="1">
        <f>HYPERLINK("https://lsnyc.legalserver.org/matter/dynamic-profile/view/1878145","18-1878145")</f>
        <v>0</v>
      </c>
      <c r="B890" t="s">
        <v>60</v>
      </c>
      <c r="C890" t="s">
        <v>203</v>
      </c>
      <c r="D890" t="s">
        <v>214</v>
      </c>
      <c r="E890" t="s">
        <v>539</v>
      </c>
      <c r="G890" t="s">
        <v>654</v>
      </c>
      <c r="H890" t="s">
        <v>1973</v>
      </c>
      <c r="J890" t="s">
        <v>2885</v>
      </c>
      <c r="K890">
        <v>2</v>
      </c>
      <c r="L890" t="s">
        <v>3375</v>
      </c>
      <c r="M890" t="s">
        <v>3379</v>
      </c>
      <c r="N890">
        <v>11691</v>
      </c>
      <c r="O890" t="s">
        <v>3380</v>
      </c>
      <c r="P890" t="s">
        <v>3381</v>
      </c>
      <c r="Q890" t="s">
        <v>3383</v>
      </c>
      <c r="R890" t="s">
        <v>4101</v>
      </c>
      <c r="S890">
        <v>1</v>
      </c>
      <c r="T890" t="s">
        <v>4197</v>
      </c>
      <c r="U890" t="s">
        <v>4224</v>
      </c>
      <c r="W890" t="s">
        <v>4245</v>
      </c>
      <c r="X890" t="s">
        <v>3382</v>
      </c>
      <c r="Y890" t="s">
        <v>3382</v>
      </c>
      <c r="AA890" t="s">
        <v>4256</v>
      </c>
      <c r="AB890" t="s">
        <v>4261</v>
      </c>
      <c r="AC890">
        <v>967</v>
      </c>
      <c r="AD890">
        <v>1250</v>
      </c>
      <c r="AE890">
        <v>1.05</v>
      </c>
      <c r="AG890" t="s">
        <v>5128</v>
      </c>
      <c r="AH890" t="s">
        <v>5358</v>
      </c>
      <c r="AI890" t="s">
        <v>6159</v>
      </c>
      <c r="AJ890">
        <v>2</v>
      </c>
      <c r="AK890" t="s">
        <v>6274</v>
      </c>
      <c r="AL890">
        <v>2</v>
      </c>
      <c r="AM890">
        <v>2</v>
      </c>
      <c r="AN890">
        <v>71.70999999999999</v>
      </c>
      <c r="AQ890" t="s">
        <v>6286</v>
      </c>
      <c r="AR890" t="s">
        <v>5312</v>
      </c>
      <c r="AS890" t="s">
        <v>6298</v>
      </c>
      <c r="AT890">
        <v>18000</v>
      </c>
      <c r="AV890" t="s">
        <v>3380</v>
      </c>
      <c r="AX890" t="s">
        <v>184</v>
      </c>
      <c r="BA890" t="s">
        <v>6477</v>
      </c>
      <c r="BD890" t="s">
        <v>338</v>
      </c>
    </row>
    <row r="891" spans="1:57">
      <c r="A891" s="1">
        <f>HYPERLINK("https://lsnyc.legalserver.org/matter/dynamic-profile/view/0829555","17-0829555")</f>
        <v>0</v>
      </c>
      <c r="B891" t="s">
        <v>60</v>
      </c>
      <c r="C891" t="s">
        <v>203</v>
      </c>
      <c r="D891" t="s">
        <v>214</v>
      </c>
      <c r="E891" t="s">
        <v>488</v>
      </c>
      <c r="G891" t="s">
        <v>1262</v>
      </c>
      <c r="H891" t="s">
        <v>1475</v>
      </c>
      <c r="J891" t="s">
        <v>2886</v>
      </c>
      <c r="K891" t="s">
        <v>3306</v>
      </c>
      <c r="L891" t="s">
        <v>3375</v>
      </c>
      <c r="M891" t="s">
        <v>3379</v>
      </c>
      <c r="N891">
        <v>11691</v>
      </c>
      <c r="O891" t="s">
        <v>3381</v>
      </c>
      <c r="P891" t="s">
        <v>3381</v>
      </c>
      <c r="S891">
        <v>0</v>
      </c>
      <c r="T891" t="s">
        <v>4196</v>
      </c>
      <c r="U891" t="s">
        <v>4226</v>
      </c>
      <c r="W891" t="s">
        <v>4245</v>
      </c>
      <c r="X891" t="s">
        <v>3382</v>
      </c>
      <c r="AA891" t="s">
        <v>4256</v>
      </c>
      <c r="AC891">
        <v>0</v>
      </c>
      <c r="AD891">
        <v>0</v>
      </c>
      <c r="AE891">
        <v>2.25</v>
      </c>
      <c r="AG891" t="s">
        <v>5129</v>
      </c>
      <c r="AI891" t="s">
        <v>6160</v>
      </c>
      <c r="AJ891">
        <v>0</v>
      </c>
      <c r="AL891">
        <v>1</v>
      </c>
      <c r="AM891">
        <v>1</v>
      </c>
      <c r="AN891">
        <v>118.08</v>
      </c>
      <c r="AT891">
        <v>19176</v>
      </c>
      <c r="AX891" t="s">
        <v>6443</v>
      </c>
      <c r="BA891" t="s">
        <v>6475</v>
      </c>
      <c r="BD891" t="s">
        <v>6681</v>
      </c>
    </row>
    <row r="892" spans="1:57">
      <c r="A892" s="1">
        <f>HYPERLINK("https://lsnyc.legalserver.org/matter/dynamic-profile/view/0781997","15-0781997")</f>
        <v>0</v>
      </c>
      <c r="B892" t="s">
        <v>60</v>
      </c>
      <c r="C892" t="s">
        <v>203</v>
      </c>
      <c r="D892" t="s">
        <v>214</v>
      </c>
      <c r="E892" t="s">
        <v>540</v>
      </c>
      <c r="G892" t="s">
        <v>1263</v>
      </c>
      <c r="H892" t="s">
        <v>1974</v>
      </c>
      <c r="J892" t="s">
        <v>2887</v>
      </c>
      <c r="K892" t="s">
        <v>3307</v>
      </c>
      <c r="L892" t="s">
        <v>3333</v>
      </c>
      <c r="M892" t="s">
        <v>3379</v>
      </c>
      <c r="N892">
        <v>11436</v>
      </c>
      <c r="O892" t="s">
        <v>3381</v>
      </c>
      <c r="P892" t="s">
        <v>3381</v>
      </c>
      <c r="S892">
        <v>0</v>
      </c>
      <c r="T892" t="s">
        <v>4196</v>
      </c>
      <c r="U892" t="s">
        <v>4223</v>
      </c>
      <c r="W892" t="s">
        <v>4245</v>
      </c>
      <c r="X892" t="s">
        <v>3382</v>
      </c>
      <c r="AA892" t="s">
        <v>4256</v>
      </c>
      <c r="AC892">
        <v>0</v>
      </c>
      <c r="AD892">
        <v>0</v>
      </c>
      <c r="AE892">
        <v>24.4</v>
      </c>
      <c r="AG892" t="s">
        <v>5130</v>
      </c>
      <c r="AI892" t="s">
        <v>6161</v>
      </c>
      <c r="AJ892">
        <v>0</v>
      </c>
      <c r="AL892">
        <v>1</v>
      </c>
      <c r="AM892">
        <v>1</v>
      </c>
      <c r="AN892">
        <v>62.77</v>
      </c>
      <c r="AS892" t="s">
        <v>6298</v>
      </c>
      <c r="AT892">
        <v>10000</v>
      </c>
      <c r="AX892" t="s">
        <v>196</v>
      </c>
      <c r="BA892" t="s">
        <v>6473</v>
      </c>
      <c r="BD892" t="s">
        <v>6648</v>
      </c>
    </row>
    <row r="893" spans="1:57">
      <c r="A893" s="1">
        <f>HYPERLINK("https://lsnyc.legalserver.org/matter/dynamic-profile/view/1906556","19-1906556")</f>
        <v>0</v>
      </c>
      <c r="B893" t="s">
        <v>60</v>
      </c>
      <c r="C893" t="s">
        <v>203</v>
      </c>
      <c r="D893" t="s">
        <v>214</v>
      </c>
      <c r="E893" t="s">
        <v>281</v>
      </c>
      <c r="G893" t="s">
        <v>1264</v>
      </c>
      <c r="H893" t="s">
        <v>1975</v>
      </c>
      <c r="J893" t="s">
        <v>2888</v>
      </c>
      <c r="K893">
        <v>309</v>
      </c>
      <c r="L893" t="s">
        <v>3333</v>
      </c>
      <c r="M893" t="s">
        <v>3379</v>
      </c>
      <c r="N893">
        <v>11436</v>
      </c>
      <c r="O893" t="s">
        <v>3380</v>
      </c>
      <c r="P893" t="s">
        <v>3381</v>
      </c>
      <c r="Q893" t="s">
        <v>3383</v>
      </c>
      <c r="R893" t="s">
        <v>4102</v>
      </c>
      <c r="S893">
        <v>34</v>
      </c>
      <c r="T893" t="s">
        <v>4196</v>
      </c>
      <c r="U893" t="s">
        <v>4223</v>
      </c>
      <c r="W893" t="s">
        <v>4245</v>
      </c>
      <c r="X893" t="s">
        <v>3382</v>
      </c>
      <c r="Y893" t="s">
        <v>3380</v>
      </c>
      <c r="AA893" t="s">
        <v>4256</v>
      </c>
      <c r="AC893">
        <v>0</v>
      </c>
      <c r="AD893">
        <v>350</v>
      </c>
      <c r="AE893">
        <v>11.97</v>
      </c>
      <c r="AG893" t="s">
        <v>5131</v>
      </c>
      <c r="AI893" t="s">
        <v>6162</v>
      </c>
      <c r="AJ893">
        <v>100</v>
      </c>
      <c r="AK893" t="s">
        <v>6273</v>
      </c>
      <c r="AL893">
        <v>1</v>
      </c>
      <c r="AM893">
        <v>0</v>
      </c>
      <c r="AN893">
        <v>91.27</v>
      </c>
      <c r="AR893" t="s">
        <v>6290</v>
      </c>
      <c r="AS893" t="s">
        <v>6298</v>
      </c>
      <c r="AT893">
        <v>11400</v>
      </c>
      <c r="AX893" t="s">
        <v>6441</v>
      </c>
      <c r="BA893" t="s">
        <v>6539</v>
      </c>
      <c r="BD893" t="s">
        <v>225</v>
      </c>
      <c r="BE893" t="s">
        <v>6702</v>
      </c>
    </row>
    <row r="894" spans="1:57">
      <c r="A894" s="1">
        <f>HYPERLINK("https://lsnyc.legalserver.org/matter/dynamic-profile/view/1855240","18-1855240")</f>
        <v>0</v>
      </c>
      <c r="B894" t="s">
        <v>60</v>
      </c>
      <c r="C894" t="s">
        <v>203</v>
      </c>
      <c r="D894" t="s">
        <v>214</v>
      </c>
      <c r="E894" t="s">
        <v>515</v>
      </c>
      <c r="G894" t="s">
        <v>1265</v>
      </c>
      <c r="H894" t="s">
        <v>1976</v>
      </c>
      <c r="J894" t="s">
        <v>2889</v>
      </c>
      <c r="K894" t="s">
        <v>2995</v>
      </c>
      <c r="L894" t="s">
        <v>3333</v>
      </c>
      <c r="M894" t="s">
        <v>3379</v>
      </c>
      <c r="N894">
        <v>11435</v>
      </c>
      <c r="O894" t="s">
        <v>3380</v>
      </c>
      <c r="P894" t="s">
        <v>3381</v>
      </c>
      <c r="Q894" t="s">
        <v>3383</v>
      </c>
      <c r="R894" t="s">
        <v>4103</v>
      </c>
      <c r="S894">
        <v>2</v>
      </c>
      <c r="T894" t="s">
        <v>4197</v>
      </c>
      <c r="U894" t="s">
        <v>4224</v>
      </c>
      <c r="W894" t="s">
        <v>4245</v>
      </c>
      <c r="X894" t="s">
        <v>3382</v>
      </c>
      <c r="Y894" t="s">
        <v>3382</v>
      </c>
      <c r="AA894" t="s">
        <v>4256</v>
      </c>
      <c r="AC894">
        <v>27.6</v>
      </c>
      <c r="AD894">
        <v>1956</v>
      </c>
      <c r="AE894">
        <v>13.3</v>
      </c>
      <c r="AG894" t="s">
        <v>5132</v>
      </c>
      <c r="AH894" t="s">
        <v>5359</v>
      </c>
      <c r="AI894" t="s">
        <v>6163</v>
      </c>
      <c r="AJ894">
        <v>5</v>
      </c>
      <c r="AL894">
        <v>1</v>
      </c>
      <c r="AM894">
        <v>4</v>
      </c>
      <c r="AN894">
        <v>25.77</v>
      </c>
      <c r="AP894" t="s">
        <v>6284</v>
      </c>
      <c r="AQ894" t="s">
        <v>6286</v>
      </c>
      <c r="AR894" t="s">
        <v>6296</v>
      </c>
      <c r="AS894" t="s">
        <v>6298</v>
      </c>
      <c r="AT894">
        <v>7416</v>
      </c>
      <c r="AV894" t="s">
        <v>3380</v>
      </c>
      <c r="AX894" t="s">
        <v>184</v>
      </c>
      <c r="BA894" t="s">
        <v>6483</v>
      </c>
      <c r="BD894" t="s">
        <v>6682</v>
      </c>
    </row>
    <row r="895" spans="1:57">
      <c r="A895" s="1">
        <f>HYPERLINK("https://lsnyc.legalserver.org/matter/dynamic-profile/view/1910773","19-1910773")</f>
        <v>0</v>
      </c>
      <c r="B895" t="s">
        <v>60</v>
      </c>
      <c r="C895" t="s">
        <v>203</v>
      </c>
      <c r="D895" t="s">
        <v>214</v>
      </c>
      <c r="E895" t="s">
        <v>284</v>
      </c>
      <c r="G895" t="s">
        <v>1266</v>
      </c>
      <c r="H895" t="s">
        <v>1977</v>
      </c>
      <c r="J895" t="s">
        <v>2890</v>
      </c>
      <c r="K895">
        <v>4014</v>
      </c>
      <c r="L895" t="s">
        <v>3333</v>
      </c>
      <c r="M895" t="s">
        <v>3379</v>
      </c>
      <c r="N895">
        <v>11435</v>
      </c>
      <c r="O895" t="s">
        <v>3380</v>
      </c>
      <c r="P895" t="s">
        <v>3381</v>
      </c>
      <c r="Q895" t="s">
        <v>3383</v>
      </c>
      <c r="R895" t="s">
        <v>4104</v>
      </c>
      <c r="S895">
        <v>-1</v>
      </c>
      <c r="T895" t="s">
        <v>4205</v>
      </c>
      <c r="U895" t="s">
        <v>4225</v>
      </c>
      <c r="W895" t="s">
        <v>4245</v>
      </c>
      <c r="X895" t="s">
        <v>3382</v>
      </c>
      <c r="Y895" t="s">
        <v>3382</v>
      </c>
      <c r="AA895" t="s">
        <v>4256</v>
      </c>
      <c r="AC895">
        <v>0</v>
      </c>
      <c r="AD895">
        <v>2500</v>
      </c>
      <c r="AE895">
        <v>3.83</v>
      </c>
      <c r="AG895" t="s">
        <v>5133</v>
      </c>
      <c r="AH895" t="s">
        <v>5360</v>
      </c>
      <c r="AI895" t="s">
        <v>6164</v>
      </c>
      <c r="AJ895">
        <v>0</v>
      </c>
      <c r="AK895" t="s">
        <v>6266</v>
      </c>
      <c r="AL895">
        <v>2</v>
      </c>
      <c r="AM895">
        <v>0</v>
      </c>
      <c r="AN895">
        <v>0</v>
      </c>
      <c r="AR895" t="s">
        <v>5312</v>
      </c>
      <c r="AS895" t="s">
        <v>6298</v>
      </c>
      <c r="AT895">
        <v>0</v>
      </c>
      <c r="AX895" t="s">
        <v>6441</v>
      </c>
      <c r="BA895" t="s">
        <v>6486</v>
      </c>
      <c r="BD895" t="s">
        <v>268</v>
      </c>
      <c r="BE895" t="s">
        <v>6702</v>
      </c>
    </row>
    <row r="896" spans="1:57">
      <c r="A896" s="1">
        <f>HYPERLINK("https://lsnyc.legalserver.org/matter/dynamic-profile/view/1881906","18-1881906")</f>
        <v>0</v>
      </c>
      <c r="B896" t="s">
        <v>60</v>
      </c>
      <c r="C896" t="s">
        <v>203</v>
      </c>
      <c r="D896" t="s">
        <v>214</v>
      </c>
      <c r="E896" t="s">
        <v>455</v>
      </c>
      <c r="G896" t="s">
        <v>895</v>
      </c>
      <c r="H896" t="s">
        <v>1978</v>
      </c>
      <c r="J896" t="s">
        <v>2891</v>
      </c>
      <c r="K896" t="s">
        <v>3308</v>
      </c>
      <c r="L896" t="s">
        <v>3333</v>
      </c>
      <c r="M896" t="s">
        <v>3379</v>
      </c>
      <c r="N896">
        <v>11435</v>
      </c>
      <c r="O896" t="s">
        <v>3380</v>
      </c>
      <c r="P896" t="s">
        <v>3380</v>
      </c>
      <c r="Q896" t="s">
        <v>3383</v>
      </c>
      <c r="R896" t="s">
        <v>4105</v>
      </c>
      <c r="S896">
        <v>10</v>
      </c>
      <c r="T896" t="s">
        <v>4196</v>
      </c>
      <c r="U896" t="s">
        <v>4224</v>
      </c>
      <c r="W896" t="s">
        <v>4245</v>
      </c>
      <c r="X896" t="s">
        <v>3382</v>
      </c>
      <c r="Y896" t="s">
        <v>3380</v>
      </c>
      <c r="AA896" t="s">
        <v>4256</v>
      </c>
      <c r="AC896">
        <v>1365</v>
      </c>
      <c r="AD896">
        <v>1365</v>
      </c>
      <c r="AE896">
        <v>3.8</v>
      </c>
      <c r="AG896" t="s">
        <v>5134</v>
      </c>
      <c r="AI896" t="s">
        <v>6165</v>
      </c>
      <c r="AJ896">
        <v>50</v>
      </c>
      <c r="AK896" t="s">
        <v>6267</v>
      </c>
      <c r="AL896">
        <v>1</v>
      </c>
      <c r="AM896">
        <v>2</v>
      </c>
      <c r="AN896">
        <v>120.31</v>
      </c>
      <c r="AQ896" t="s">
        <v>6288</v>
      </c>
      <c r="AR896" t="s">
        <v>5312</v>
      </c>
      <c r="AT896">
        <v>25000</v>
      </c>
      <c r="AX896" t="s">
        <v>196</v>
      </c>
      <c r="BA896" t="s">
        <v>6477</v>
      </c>
      <c r="BD896" t="s">
        <v>485</v>
      </c>
    </row>
    <row r="897" spans="1:57">
      <c r="A897" s="1">
        <f>HYPERLINK("https://lsnyc.legalserver.org/matter/dynamic-profile/view/1908449","19-1908449")</f>
        <v>0</v>
      </c>
      <c r="B897" t="s">
        <v>60</v>
      </c>
      <c r="C897" t="s">
        <v>203</v>
      </c>
      <c r="D897" t="s">
        <v>214</v>
      </c>
      <c r="E897" t="s">
        <v>301</v>
      </c>
      <c r="G897" t="s">
        <v>1267</v>
      </c>
      <c r="H897" t="s">
        <v>1899</v>
      </c>
      <c r="J897" t="s">
        <v>2892</v>
      </c>
      <c r="K897">
        <v>1</v>
      </c>
      <c r="L897" t="s">
        <v>3333</v>
      </c>
      <c r="M897" t="s">
        <v>3379</v>
      </c>
      <c r="N897">
        <v>11434</v>
      </c>
      <c r="O897" t="s">
        <v>3380</v>
      </c>
      <c r="P897" t="s">
        <v>3381</v>
      </c>
      <c r="Q897" t="s">
        <v>3384</v>
      </c>
      <c r="R897" t="s">
        <v>4106</v>
      </c>
      <c r="S897">
        <v>1</v>
      </c>
      <c r="T897" t="s">
        <v>4197</v>
      </c>
      <c r="U897" t="s">
        <v>4223</v>
      </c>
      <c r="W897" t="s">
        <v>4246</v>
      </c>
      <c r="X897" t="s">
        <v>3382</v>
      </c>
      <c r="Y897" t="s">
        <v>3382</v>
      </c>
      <c r="AA897" t="s">
        <v>4256</v>
      </c>
      <c r="AC897">
        <v>0</v>
      </c>
      <c r="AD897">
        <v>1515</v>
      </c>
      <c r="AE897">
        <v>1.1</v>
      </c>
      <c r="AG897" t="s">
        <v>5135</v>
      </c>
      <c r="AH897" t="s">
        <v>5361</v>
      </c>
      <c r="AI897" t="s">
        <v>6166</v>
      </c>
      <c r="AJ897">
        <v>3</v>
      </c>
      <c r="AL897">
        <v>1</v>
      </c>
      <c r="AM897">
        <v>3</v>
      </c>
      <c r="AN897">
        <v>23.3</v>
      </c>
      <c r="AR897" t="s">
        <v>6291</v>
      </c>
      <c r="AS897" t="s">
        <v>6298</v>
      </c>
      <c r="AT897">
        <v>6000</v>
      </c>
      <c r="AX897" t="s">
        <v>6441</v>
      </c>
      <c r="BA897" t="s">
        <v>6507</v>
      </c>
      <c r="BD897" t="s">
        <v>6683</v>
      </c>
      <c r="BE897" t="s">
        <v>6702</v>
      </c>
    </row>
    <row r="898" spans="1:57">
      <c r="A898" s="1">
        <f>HYPERLINK("https://lsnyc.legalserver.org/matter/dynamic-profile/view/1913282","19-1913282")</f>
        <v>0</v>
      </c>
      <c r="B898" t="s">
        <v>60</v>
      </c>
      <c r="C898" t="s">
        <v>203</v>
      </c>
      <c r="D898" t="s">
        <v>214</v>
      </c>
      <c r="E898" t="s">
        <v>228</v>
      </c>
      <c r="G898" t="s">
        <v>675</v>
      </c>
      <c r="H898" t="s">
        <v>1499</v>
      </c>
      <c r="J898" t="s">
        <v>2777</v>
      </c>
      <c r="L898" t="s">
        <v>3333</v>
      </c>
      <c r="M898" t="s">
        <v>3379</v>
      </c>
      <c r="N898">
        <v>11434</v>
      </c>
      <c r="O898" t="s">
        <v>3380</v>
      </c>
      <c r="P898" t="s">
        <v>3381</v>
      </c>
      <c r="Q898" t="s">
        <v>3384</v>
      </c>
      <c r="R898" t="s">
        <v>4107</v>
      </c>
      <c r="S898">
        <v>13</v>
      </c>
      <c r="T898" t="s">
        <v>4197</v>
      </c>
      <c r="U898" t="s">
        <v>4224</v>
      </c>
      <c r="W898" t="s">
        <v>4246</v>
      </c>
      <c r="X898" t="s">
        <v>3382</v>
      </c>
      <c r="Y898" t="s">
        <v>3382</v>
      </c>
      <c r="AA898" t="s">
        <v>4256</v>
      </c>
      <c r="AC898">
        <v>0</v>
      </c>
      <c r="AD898">
        <v>0</v>
      </c>
      <c r="AE898">
        <v>5.42</v>
      </c>
      <c r="AG898" t="s">
        <v>5024</v>
      </c>
      <c r="AI898" t="s">
        <v>6167</v>
      </c>
      <c r="AJ898">
        <v>1</v>
      </c>
      <c r="AL898">
        <v>3</v>
      </c>
      <c r="AM898">
        <v>3</v>
      </c>
      <c r="AN898">
        <v>63.6</v>
      </c>
      <c r="AS898" t="s">
        <v>6299</v>
      </c>
      <c r="AT898">
        <v>22000</v>
      </c>
      <c r="AX898" t="s">
        <v>6441</v>
      </c>
      <c r="BA898" t="s">
        <v>6515</v>
      </c>
      <c r="BD898" t="s">
        <v>275</v>
      </c>
      <c r="BE898" t="s">
        <v>6702</v>
      </c>
    </row>
    <row r="899" spans="1:57">
      <c r="A899" s="1">
        <f>HYPERLINK("https://lsnyc.legalserver.org/matter/dynamic-profile/view/1913412","19-1913412")</f>
        <v>0</v>
      </c>
      <c r="B899" t="s">
        <v>60</v>
      </c>
      <c r="C899" t="s">
        <v>203</v>
      </c>
      <c r="D899" t="s">
        <v>214</v>
      </c>
      <c r="E899" t="s">
        <v>316</v>
      </c>
      <c r="G899" t="s">
        <v>680</v>
      </c>
      <c r="H899" t="s">
        <v>1979</v>
      </c>
      <c r="J899" t="s">
        <v>2893</v>
      </c>
      <c r="K899" t="s">
        <v>3309</v>
      </c>
      <c r="L899" t="s">
        <v>3333</v>
      </c>
      <c r="M899" t="s">
        <v>3379</v>
      </c>
      <c r="N899">
        <v>11434</v>
      </c>
      <c r="O899" t="s">
        <v>3380</v>
      </c>
      <c r="P899" t="s">
        <v>3381</v>
      </c>
      <c r="Q899" t="s">
        <v>3384</v>
      </c>
      <c r="R899" t="s">
        <v>4108</v>
      </c>
      <c r="S899">
        <v>7</v>
      </c>
      <c r="T899" t="s">
        <v>4197</v>
      </c>
      <c r="U899" t="s">
        <v>4224</v>
      </c>
      <c r="W899" t="s">
        <v>4246</v>
      </c>
      <c r="X899" t="s">
        <v>3382</v>
      </c>
      <c r="Y899" t="s">
        <v>3382</v>
      </c>
      <c r="AA899" t="s">
        <v>4256</v>
      </c>
      <c r="AC899">
        <v>0</v>
      </c>
      <c r="AD899">
        <v>980</v>
      </c>
      <c r="AE899">
        <v>1.03</v>
      </c>
      <c r="AG899" t="s">
        <v>5136</v>
      </c>
      <c r="AI899" t="s">
        <v>6168</v>
      </c>
      <c r="AJ899">
        <v>0</v>
      </c>
      <c r="AL899">
        <v>1</v>
      </c>
      <c r="AM899">
        <v>0</v>
      </c>
      <c r="AN899">
        <v>288.23</v>
      </c>
      <c r="AR899" t="s">
        <v>5312</v>
      </c>
      <c r="AS899" t="s">
        <v>6298</v>
      </c>
      <c r="AT899">
        <v>36000</v>
      </c>
      <c r="AX899" t="s">
        <v>6441</v>
      </c>
      <c r="BA899" t="s">
        <v>6475</v>
      </c>
      <c r="BD899" t="s">
        <v>316</v>
      </c>
      <c r="BE899" t="s">
        <v>6702</v>
      </c>
    </row>
    <row r="900" spans="1:57">
      <c r="A900" s="1">
        <f>HYPERLINK("https://lsnyc.legalserver.org/matter/dynamic-profile/view/1836842","17-1836842")</f>
        <v>0</v>
      </c>
      <c r="B900" t="s">
        <v>60</v>
      </c>
      <c r="C900" t="s">
        <v>203</v>
      </c>
      <c r="D900" t="s">
        <v>214</v>
      </c>
      <c r="E900" t="s">
        <v>541</v>
      </c>
      <c r="G900" t="s">
        <v>917</v>
      </c>
      <c r="H900" t="s">
        <v>1980</v>
      </c>
      <c r="J900" t="s">
        <v>2894</v>
      </c>
      <c r="L900" t="s">
        <v>3333</v>
      </c>
      <c r="M900" t="s">
        <v>3379</v>
      </c>
      <c r="N900">
        <v>11434</v>
      </c>
      <c r="O900" t="s">
        <v>3381</v>
      </c>
      <c r="P900" t="s">
        <v>3381</v>
      </c>
      <c r="S900">
        <v>0</v>
      </c>
      <c r="T900" t="s">
        <v>4199</v>
      </c>
      <c r="U900" t="s">
        <v>4223</v>
      </c>
      <c r="W900" t="s">
        <v>4245</v>
      </c>
      <c r="X900" t="s">
        <v>3382</v>
      </c>
      <c r="AA900" t="s">
        <v>4256</v>
      </c>
      <c r="AC900">
        <v>0</v>
      </c>
      <c r="AD900">
        <v>0</v>
      </c>
      <c r="AE900">
        <v>7.5</v>
      </c>
      <c r="AG900" t="s">
        <v>5137</v>
      </c>
      <c r="AI900" t="s">
        <v>6169</v>
      </c>
      <c r="AJ900">
        <v>0</v>
      </c>
      <c r="AL900">
        <v>4</v>
      </c>
      <c r="AM900">
        <v>2</v>
      </c>
      <c r="AN900">
        <v>185.07</v>
      </c>
      <c r="AS900" t="s">
        <v>6298</v>
      </c>
      <c r="AT900">
        <v>79000</v>
      </c>
      <c r="AX900" t="s">
        <v>203</v>
      </c>
      <c r="BA900" t="s">
        <v>6473</v>
      </c>
      <c r="BD900" t="s">
        <v>6684</v>
      </c>
    </row>
    <row r="901" spans="1:57">
      <c r="A901" s="1">
        <f>HYPERLINK("https://lsnyc.legalserver.org/matter/dynamic-profile/view/1855085","18-1855085")</f>
        <v>0</v>
      </c>
      <c r="B901" t="s">
        <v>60</v>
      </c>
      <c r="C901" t="s">
        <v>203</v>
      </c>
      <c r="D901" t="s">
        <v>214</v>
      </c>
      <c r="E901" t="s">
        <v>542</v>
      </c>
      <c r="G901" t="s">
        <v>1268</v>
      </c>
      <c r="H901" t="s">
        <v>1981</v>
      </c>
      <c r="J901" t="s">
        <v>2895</v>
      </c>
      <c r="K901" t="s">
        <v>3310</v>
      </c>
      <c r="L901" t="s">
        <v>3333</v>
      </c>
      <c r="M901" t="s">
        <v>3379</v>
      </c>
      <c r="N901">
        <v>11434</v>
      </c>
      <c r="O901" t="s">
        <v>3380</v>
      </c>
      <c r="P901" t="s">
        <v>3381</v>
      </c>
      <c r="Q901" t="s">
        <v>3400</v>
      </c>
      <c r="R901" t="s">
        <v>4109</v>
      </c>
      <c r="S901">
        <v>33</v>
      </c>
      <c r="T901" t="s">
        <v>4196</v>
      </c>
      <c r="U901" t="s">
        <v>4224</v>
      </c>
      <c r="W901" t="s">
        <v>4246</v>
      </c>
      <c r="X901" t="s">
        <v>3382</v>
      </c>
      <c r="Y901" t="s">
        <v>3382</v>
      </c>
      <c r="AA901" t="s">
        <v>4256</v>
      </c>
      <c r="AC901">
        <v>987.21</v>
      </c>
      <c r="AD901">
        <v>987.21</v>
      </c>
      <c r="AE901">
        <v>17.3</v>
      </c>
      <c r="AG901" t="s">
        <v>5138</v>
      </c>
      <c r="AH901" t="s">
        <v>5362</v>
      </c>
      <c r="AI901" t="s">
        <v>6170</v>
      </c>
      <c r="AJ901">
        <v>273</v>
      </c>
      <c r="AL901">
        <v>2</v>
      </c>
      <c r="AM901">
        <v>3</v>
      </c>
      <c r="AN901">
        <v>91.76000000000001</v>
      </c>
      <c r="AQ901" t="s">
        <v>6286</v>
      </c>
      <c r="AR901" t="s">
        <v>5312</v>
      </c>
      <c r="AS901" t="s">
        <v>6298</v>
      </c>
      <c r="AT901">
        <v>26408</v>
      </c>
      <c r="AV901" t="s">
        <v>3380</v>
      </c>
      <c r="AX901" t="s">
        <v>184</v>
      </c>
      <c r="BA901" t="s">
        <v>6489</v>
      </c>
      <c r="BD901" t="s">
        <v>395</v>
      </c>
    </row>
    <row r="902" spans="1:57">
      <c r="A902" s="1">
        <f>HYPERLINK("https://lsnyc.legalserver.org/matter/dynamic-profile/view/1841360","17-1841360")</f>
        <v>0</v>
      </c>
      <c r="B902" t="s">
        <v>60</v>
      </c>
      <c r="C902" t="s">
        <v>203</v>
      </c>
      <c r="D902" t="s">
        <v>214</v>
      </c>
      <c r="E902" t="s">
        <v>543</v>
      </c>
      <c r="G902" t="s">
        <v>1021</v>
      </c>
      <c r="H902" t="s">
        <v>1681</v>
      </c>
      <c r="J902" t="s">
        <v>2896</v>
      </c>
      <c r="L902" t="s">
        <v>3333</v>
      </c>
      <c r="M902" t="s">
        <v>3379</v>
      </c>
      <c r="N902">
        <v>11433</v>
      </c>
      <c r="O902" t="s">
        <v>3380</v>
      </c>
      <c r="P902" t="s">
        <v>3381</v>
      </c>
      <c r="Q902" t="s">
        <v>3383</v>
      </c>
      <c r="R902" t="s">
        <v>4110</v>
      </c>
      <c r="S902">
        <v>1</v>
      </c>
      <c r="T902" t="s">
        <v>4197</v>
      </c>
      <c r="U902" t="s">
        <v>4223</v>
      </c>
      <c r="W902" t="s">
        <v>4246</v>
      </c>
      <c r="X902" t="s">
        <v>3382</v>
      </c>
      <c r="Y902" t="s">
        <v>3382</v>
      </c>
      <c r="AA902" t="s">
        <v>4256</v>
      </c>
      <c r="AC902">
        <v>650</v>
      </c>
      <c r="AD902">
        <v>650</v>
      </c>
      <c r="AE902">
        <v>4</v>
      </c>
      <c r="AG902" t="s">
        <v>5139</v>
      </c>
      <c r="AI902" t="s">
        <v>6171</v>
      </c>
      <c r="AJ902">
        <v>1</v>
      </c>
      <c r="AK902" t="s">
        <v>6274</v>
      </c>
      <c r="AL902">
        <v>1</v>
      </c>
      <c r="AM902">
        <v>0</v>
      </c>
      <c r="AN902">
        <v>72.94</v>
      </c>
      <c r="AQ902" t="s">
        <v>6287</v>
      </c>
      <c r="AR902" t="s">
        <v>5312</v>
      </c>
      <c r="AS902" t="s">
        <v>6298</v>
      </c>
      <c r="AT902">
        <v>8796</v>
      </c>
      <c r="AV902" t="s">
        <v>3380</v>
      </c>
      <c r="AX902" t="s">
        <v>193</v>
      </c>
      <c r="BA902" t="s">
        <v>6482</v>
      </c>
      <c r="BD902" t="s">
        <v>6685</v>
      </c>
    </row>
    <row r="903" spans="1:57">
      <c r="A903" s="1">
        <f>HYPERLINK("https://lsnyc.legalserver.org/matter/dynamic-profile/view/1864967","18-1864967")</f>
        <v>0</v>
      </c>
      <c r="B903" t="s">
        <v>60</v>
      </c>
      <c r="C903" t="s">
        <v>203</v>
      </c>
      <c r="D903" t="s">
        <v>214</v>
      </c>
      <c r="E903" t="s">
        <v>516</v>
      </c>
      <c r="G903" t="s">
        <v>1269</v>
      </c>
      <c r="H903" t="s">
        <v>1982</v>
      </c>
      <c r="J903" t="s">
        <v>2897</v>
      </c>
      <c r="K903" t="s">
        <v>3311</v>
      </c>
      <c r="L903" t="s">
        <v>3333</v>
      </c>
      <c r="M903" t="s">
        <v>3379</v>
      </c>
      <c r="N903">
        <v>11433</v>
      </c>
      <c r="O903" t="s">
        <v>3380</v>
      </c>
      <c r="P903" t="s">
        <v>3381</v>
      </c>
      <c r="Q903" t="s">
        <v>3399</v>
      </c>
      <c r="R903" t="s">
        <v>4111</v>
      </c>
      <c r="S903">
        <v>-1</v>
      </c>
      <c r="T903" t="s">
        <v>4197</v>
      </c>
      <c r="U903" t="s">
        <v>4223</v>
      </c>
      <c r="W903" t="s">
        <v>4246</v>
      </c>
      <c r="X903" t="s">
        <v>3382</v>
      </c>
      <c r="Y903" t="s">
        <v>3382</v>
      </c>
      <c r="AA903" t="s">
        <v>4256</v>
      </c>
      <c r="AC903">
        <v>0</v>
      </c>
      <c r="AD903">
        <v>0</v>
      </c>
      <c r="AE903">
        <v>16.1</v>
      </c>
      <c r="AG903" t="s">
        <v>5140</v>
      </c>
      <c r="AH903" t="s">
        <v>3406</v>
      </c>
      <c r="AI903" t="s">
        <v>6172</v>
      </c>
      <c r="AJ903">
        <v>3</v>
      </c>
      <c r="AK903" t="s">
        <v>6274</v>
      </c>
      <c r="AL903">
        <v>3</v>
      </c>
      <c r="AM903">
        <v>1</v>
      </c>
      <c r="AN903">
        <v>0</v>
      </c>
      <c r="AQ903" t="s">
        <v>6288</v>
      </c>
      <c r="AR903" t="s">
        <v>5312</v>
      </c>
      <c r="AS903" t="s">
        <v>6298</v>
      </c>
      <c r="AT903">
        <v>0</v>
      </c>
      <c r="AU903" t="s">
        <v>6318</v>
      </c>
      <c r="AV903" t="s">
        <v>3380</v>
      </c>
      <c r="AX903" t="s">
        <v>6442</v>
      </c>
      <c r="BA903" t="s">
        <v>6479</v>
      </c>
      <c r="BD903" t="s">
        <v>6662</v>
      </c>
    </row>
    <row r="904" spans="1:57">
      <c r="A904" s="1">
        <f>HYPERLINK("https://lsnyc.legalserver.org/matter/dynamic-profile/view/1883608","18-1883608")</f>
        <v>0</v>
      </c>
      <c r="B904" t="s">
        <v>60</v>
      </c>
      <c r="C904" t="s">
        <v>203</v>
      </c>
      <c r="D904" t="s">
        <v>214</v>
      </c>
      <c r="E904" t="s">
        <v>337</v>
      </c>
      <c r="G904" t="s">
        <v>1270</v>
      </c>
      <c r="H904" t="s">
        <v>1449</v>
      </c>
      <c r="J904" t="s">
        <v>2898</v>
      </c>
      <c r="K904" t="s">
        <v>3259</v>
      </c>
      <c r="L904" t="s">
        <v>3333</v>
      </c>
      <c r="M904" t="s">
        <v>3379</v>
      </c>
      <c r="N904">
        <v>11433</v>
      </c>
      <c r="O904" t="s">
        <v>3380</v>
      </c>
      <c r="P904" t="s">
        <v>3380</v>
      </c>
      <c r="Q904" t="s">
        <v>3383</v>
      </c>
      <c r="R904" t="s">
        <v>4112</v>
      </c>
      <c r="S904">
        <v>8</v>
      </c>
      <c r="T904" t="s">
        <v>4197</v>
      </c>
      <c r="U904" t="s">
        <v>4224</v>
      </c>
      <c r="W904" t="s">
        <v>4246</v>
      </c>
      <c r="X904" t="s">
        <v>3382</v>
      </c>
      <c r="Y904" t="s">
        <v>3382</v>
      </c>
      <c r="AA904" t="s">
        <v>4256</v>
      </c>
      <c r="AB904" t="s">
        <v>4261</v>
      </c>
      <c r="AC904">
        <v>0</v>
      </c>
      <c r="AD904">
        <v>650</v>
      </c>
      <c r="AE904">
        <v>4.8</v>
      </c>
      <c r="AG904" t="s">
        <v>5141</v>
      </c>
      <c r="AI904" t="s">
        <v>6173</v>
      </c>
      <c r="AJ904">
        <v>4</v>
      </c>
      <c r="AK904" t="s">
        <v>6274</v>
      </c>
      <c r="AL904">
        <v>1</v>
      </c>
      <c r="AM904">
        <v>0</v>
      </c>
      <c r="AN904">
        <v>181.22</v>
      </c>
      <c r="AQ904" t="s">
        <v>6287</v>
      </c>
      <c r="AR904" t="s">
        <v>5312</v>
      </c>
      <c r="AS904" t="s">
        <v>6298</v>
      </c>
      <c r="AT904">
        <v>22000</v>
      </c>
      <c r="AU904" t="s">
        <v>3406</v>
      </c>
      <c r="AX904" t="s">
        <v>184</v>
      </c>
      <c r="BA904" t="s">
        <v>6503</v>
      </c>
      <c r="BD904" t="s">
        <v>404</v>
      </c>
    </row>
    <row r="905" spans="1:57">
      <c r="A905" s="1">
        <f>HYPERLINK("https://lsnyc.legalserver.org/matter/dynamic-profile/view/1891963","19-1891963")</f>
        <v>0</v>
      </c>
      <c r="B905" t="s">
        <v>60</v>
      </c>
      <c r="C905" t="s">
        <v>203</v>
      </c>
      <c r="D905" t="s">
        <v>214</v>
      </c>
      <c r="E905" t="s">
        <v>361</v>
      </c>
      <c r="G905" t="s">
        <v>1271</v>
      </c>
      <c r="H905" t="s">
        <v>1983</v>
      </c>
      <c r="J905" t="s">
        <v>2899</v>
      </c>
      <c r="K905" t="s">
        <v>3312</v>
      </c>
      <c r="L905" t="s">
        <v>3333</v>
      </c>
      <c r="M905" t="s">
        <v>3379</v>
      </c>
      <c r="N905">
        <v>11433</v>
      </c>
      <c r="O905" t="s">
        <v>3380</v>
      </c>
      <c r="P905" t="s">
        <v>3380</v>
      </c>
      <c r="Q905" t="s">
        <v>3383</v>
      </c>
      <c r="R905" t="s">
        <v>4113</v>
      </c>
      <c r="S905">
        <v>2</v>
      </c>
      <c r="T905" t="s">
        <v>4197</v>
      </c>
      <c r="U905" t="s">
        <v>4225</v>
      </c>
      <c r="W905" t="s">
        <v>4246</v>
      </c>
      <c r="X905" t="s">
        <v>3382</v>
      </c>
      <c r="Y905" t="s">
        <v>3382</v>
      </c>
      <c r="AA905" t="s">
        <v>4256</v>
      </c>
      <c r="AC905">
        <v>0</v>
      </c>
      <c r="AD905">
        <v>1000</v>
      </c>
      <c r="AE905">
        <v>0.9</v>
      </c>
      <c r="AG905" t="s">
        <v>5142</v>
      </c>
      <c r="AH905" t="s">
        <v>5363</v>
      </c>
      <c r="AI905" t="s">
        <v>6174</v>
      </c>
      <c r="AJ905">
        <v>2</v>
      </c>
      <c r="AK905" t="s">
        <v>6266</v>
      </c>
      <c r="AL905">
        <v>1</v>
      </c>
      <c r="AM905">
        <v>0</v>
      </c>
      <c r="AN905">
        <v>19.05</v>
      </c>
      <c r="AQ905" t="s">
        <v>6287</v>
      </c>
      <c r="AR905" t="s">
        <v>5312</v>
      </c>
      <c r="AS905" t="s">
        <v>6298</v>
      </c>
      <c r="AT905">
        <v>2379</v>
      </c>
      <c r="AX905" t="s">
        <v>184</v>
      </c>
      <c r="BA905" t="s">
        <v>6564</v>
      </c>
      <c r="BD905" t="s">
        <v>415</v>
      </c>
    </row>
    <row r="906" spans="1:57">
      <c r="A906" s="1">
        <f>HYPERLINK("https://lsnyc.legalserver.org/matter/dynamic-profile/view/1905903","19-1905903")</f>
        <v>0</v>
      </c>
      <c r="B906" t="s">
        <v>60</v>
      </c>
      <c r="C906" t="s">
        <v>203</v>
      </c>
      <c r="D906" t="s">
        <v>214</v>
      </c>
      <c r="E906" t="s">
        <v>544</v>
      </c>
      <c r="G906" t="s">
        <v>899</v>
      </c>
      <c r="H906" t="s">
        <v>1507</v>
      </c>
      <c r="J906" t="s">
        <v>2900</v>
      </c>
      <c r="K906">
        <v>1</v>
      </c>
      <c r="L906" t="s">
        <v>3333</v>
      </c>
      <c r="M906" t="s">
        <v>3379</v>
      </c>
      <c r="N906">
        <v>11433</v>
      </c>
      <c r="O906" t="s">
        <v>3380</v>
      </c>
      <c r="P906" t="s">
        <v>3381</v>
      </c>
      <c r="Q906" t="s">
        <v>3383</v>
      </c>
      <c r="R906" t="s">
        <v>4114</v>
      </c>
      <c r="S906">
        <v>25</v>
      </c>
      <c r="T906" t="s">
        <v>4197</v>
      </c>
      <c r="U906" t="s">
        <v>4223</v>
      </c>
      <c r="W906" t="s">
        <v>4246</v>
      </c>
      <c r="X906" t="s">
        <v>3382</v>
      </c>
      <c r="AA906" t="s">
        <v>4256</v>
      </c>
      <c r="AC906">
        <v>0</v>
      </c>
      <c r="AD906">
        <v>1200</v>
      </c>
      <c r="AE906">
        <v>1.6</v>
      </c>
      <c r="AG906" t="s">
        <v>5143</v>
      </c>
      <c r="AI906" t="s">
        <v>6175</v>
      </c>
      <c r="AJ906">
        <v>2</v>
      </c>
      <c r="AK906" t="s">
        <v>6274</v>
      </c>
      <c r="AL906">
        <v>3</v>
      </c>
      <c r="AM906">
        <v>0</v>
      </c>
      <c r="AN906">
        <v>1195.5</v>
      </c>
      <c r="AR906" t="s">
        <v>5312</v>
      </c>
      <c r="AT906">
        <v>255000</v>
      </c>
      <c r="AX906" t="s">
        <v>196</v>
      </c>
      <c r="BA906" t="s">
        <v>6477</v>
      </c>
      <c r="BD906" t="s">
        <v>238</v>
      </c>
      <c r="BE906" t="s">
        <v>6702</v>
      </c>
    </row>
    <row r="907" spans="1:57">
      <c r="A907" s="1">
        <f>HYPERLINK("https://lsnyc.legalserver.org/matter/dynamic-profile/view/1874526","18-1874526")</f>
        <v>0</v>
      </c>
      <c r="B907" t="s">
        <v>60</v>
      </c>
      <c r="C907" t="s">
        <v>203</v>
      </c>
      <c r="D907" t="s">
        <v>214</v>
      </c>
      <c r="E907" t="s">
        <v>420</v>
      </c>
      <c r="G907" t="s">
        <v>1272</v>
      </c>
      <c r="H907" t="s">
        <v>1984</v>
      </c>
      <c r="J907" t="s">
        <v>2901</v>
      </c>
      <c r="K907" t="s">
        <v>3005</v>
      </c>
      <c r="L907" t="s">
        <v>3333</v>
      </c>
      <c r="M907" t="s">
        <v>3379</v>
      </c>
      <c r="N907">
        <v>11432</v>
      </c>
      <c r="O907" t="s">
        <v>3380</v>
      </c>
      <c r="P907" t="s">
        <v>3381</v>
      </c>
      <c r="Q907" t="s">
        <v>3386</v>
      </c>
      <c r="R907" t="s">
        <v>4115</v>
      </c>
      <c r="S907">
        <v>4</v>
      </c>
      <c r="T907" t="s">
        <v>4200</v>
      </c>
      <c r="U907" t="s">
        <v>4223</v>
      </c>
      <c r="W907" t="s">
        <v>4245</v>
      </c>
      <c r="X907" t="s">
        <v>3382</v>
      </c>
      <c r="Y907" t="s">
        <v>3382</v>
      </c>
      <c r="AA907" t="s">
        <v>4256</v>
      </c>
      <c r="AC907">
        <v>1175</v>
      </c>
      <c r="AD907">
        <v>1300</v>
      </c>
      <c r="AE907">
        <v>100.7</v>
      </c>
      <c r="AG907" t="s">
        <v>5144</v>
      </c>
      <c r="AI907" t="s">
        <v>6176</v>
      </c>
      <c r="AJ907">
        <v>190</v>
      </c>
      <c r="AK907" t="s">
        <v>6267</v>
      </c>
      <c r="AL907">
        <v>2</v>
      </c>
      <c r="AM907">
        <v>0</v>
      </c>
      <c r="AN907">
        <v>109.36</v>
      </c>
      <c r="AQ907" t="s">
        <v>6287</v>
      </c>
      <c r="AR907" t="s">
        <v>5312</v>
      </c>
      <c r="AS907" t="s">
        <v>6301</v>
      </c>
      <c r="AT907">
        <v>18000</v>
      </c>
      <c r="AV907" t="s">
        <v>3380</v>
      </c>
      <c r="AX907" t="s">
        <v>184</v>
      </c>
      <c r="BA907" t="s">
        <v>6477</v>
      </c>
      <c r="BD907" t="s">
        <v>284</v>
      </c>
    </row>
    <row r="908" spans="1:57">
      <c r="A908" s="1">
        <f>HYPERLINK("https://lsnyc.legalserver.org/matter/dynamic-profile/view/1873035","18-1873035")</f>
        <v>0</v>
      </c>
      <c r="B908" t="s">
        <v>60</v>
      </c>
      <c r="C908" t="s">
        <v>203</v>
      </c>
      <c r="D908" t="s">
        <v>214</v>
      </c>
      <c r="E908" t="s">
        <v>545</v>
      </c>
      <c r="G908" t="s">
        <v>1273</v>
      </c>
      <c r="H908" t="s">
        <v>1657</v>
      </c>
      <c r="J908" t="s">
        <v>2902</v>
      </c>
      <c r="K908" t="s">
        <v>3052</v>
      </c>
      <c r="L908" t="s">
        <v>3333</v>
      </c>
      <c r="M908" t="s">
        <v>3379</v>
      </c>
      <c r="N908">
        <v>11432</v>
      </c>
      <c r="O908" t="s">
        <v>3381</v>
      </c>
      <c r="P908" t="s">
        <v>3381</v>
      </c>
      <c r="Q908" t="s">
        <v>3385</v>
      </c>
      <c r="R908" t="s">
        <v>4116</v>
      </c>
      <c r="S908">
        <v>12</v>
      </c>
      <c r="T908" t="s">
        <v>4197</v>
      </c>
      <c r="U908" t="s">
        <v>4223</v>
      </c>
      <c r="W908" t="s">
        <v>4245</v>
      </c>
      <c r="X908" t="s">
        <v>3382</v>
      </c>
      <c r="Y908" t="s">
        <v>3382</v>
      </c>
      <c r="AA908" t="s">
        <v>4256</v>
      </c>
      <c r="AC908">
        <v>1100</v>
      </c>
      <c r="AD908">
        <v>1100</v>
      </c>
      <c r="AE908">
        <v>50.1</v>
      </c>
      <c r="AG908" t="s">
        <v>5145</v>
      </c>
      <c r="AI908" t="s">
        <v>6177</v>
      </c>
      <c r="AJ908">
        <v>4</v>
      </c>
      <c r="AK908" t="s">
        <v>6274</v>
      </c>
      <c r="AL908">
        <v>1</v>
      </c>
      <c r="AM908">
        <v>1</v>
      </c>
      <c r="AN908">
        <v>132.61</v>
      </c>
      <c r="AR908" t="s">
        <v>5312</v>
      </c>
      <c r="AS908" t="s">
        <v>6298</v>
      </c>
      <c r="AT908">
        <v>21828</v>
      </c>
      <c r="AX908" t="s">
        <v>6416</v>
      </c>
      <c r="BA908" t="s">
        <v>6475</v>
      </c>
      <c r="BD908" t="s">
        <v>228</v>
      </c>
    </row>
    <row r="909" spans="1:57">
      <c r="A909" s="1">
        <f>HYPERLINK("https://lsnyc.legalserver.org/matter/dynamic-profile/view/0771646","15-0771646")</f>
        <v>0</v>
      </c>
      <c r="B909" t="s">
        <v>60</v>
      </c>
      <c r="C909" t="s">
        <v>203</v>
      </c>
      <c r="D909" t="s">
        <v>214</v>
      </c>
      <c r="E909" t="s">
        <v>546</v>
      </c>
      <c r="G909" t="s">
        <v>715</v>
      </c>
      <c r="H909" t="s">
        <v>1746</v>
      </c>
      <c r="J909" t="s">
        <v>2903</v>
      </c>
      <c r="K909" t="s">
        <v>3048</v>
      </c>
      <c r="L909" t="s">
        <v>3333</v>
      </c>
      <c r="M909" t="s">
        <v>3379</v>
      </c>
      <c r="N909">
        <v>11432</v>
      </c>
      <c r="O909" t="s">
        <v>3381</v>
      </c>
      <c r="P909" t="s">
        <v>3381</v>
      </c>
      <c r="R909" t="s">
        <v>4117</v>
      </c>
      <c r="S909">
        <v>0</v>
      </c>
      <c r="T909" t="s">
        <v>4196</v>
      </c>
      <c r="U909" t="s">
        <v>4223</v>
      </c>
      <c r="W909" t="s">
        <v>4245</v>
      </c>
      <c r="X909" t="s">
        <v>3382</v>
      </c>
      <c r="AA909" t="s">
        <v>4256</v>
      </c>
      <c r="AC909">
        <v>0</v>
      </c>
      <c r="AD909">
        <v>0</v>
      </c>
      <c r="AE909">
        <v>26.7</v>
      </c>
      <c r="AG909" t="s">
        <v>5146</v>
      </c>
      <c r="AI909" t="s">
        <v>6178</v>
      </c>
      <c r="AJ909">
        <v>0</v>
      </c>
      <c r="AL909">
        <v>1</v>
      </c>
      <c r="AM909">
        <v>2</v>
      </c>
      <c r="AN909">
        <v>0</v>
      </c>
      <c r="AS909" t="s">
        <v>6299</v>
      </c>
      <c r="AT909">
        <v>0</v>
      </c>
      <c r="AX909" t="s">
        <v>196</v>
      </c>
      <c r="BA909" t="s">
        <v>6486</v>
      </c>
      <c r="BD909" t="s">
        <v>6686</v>
      </c>
    </row>
    <row r="910" spans="1:57">
      <c r="A910" s="1">
        <f>HYPERLINK("https://lsnyc.legalserver.org/matter/dynamic-profile/view/1838357","17-1838357")</f>
        <v>0</v>
      </c>
      <c r="B910" t="s">
        <v>60</v>
      </c>
      <c r="C910" t="s">
        <v>203</v>
      </c>
      <c r="D910" t="s">
        <v>214</v>
      </c>
      <c r="E910" t="s">
        <v>547</v>
      </c>
      <c r="G910" t="s">
        <v>1274</v>
      </c>
      <c r="H910" t="s">
        <v>1985</v>
      </c>
      <c r="J910" t="s">
        <v>2904</v>
      </c>
      <c r="K910">
        <v>3</v>
      </c>
      <c r="L910" t="s">
        <v>3333</v>
      </c>
      <c r="M910" t="s">
        <v>3379</v>
      </c>
      <c r="N910">
        <v>11432</v>
      </c>
      <c r="O910" t="s">
        <v>3380</v>
      </c>
      <c r="P910" t="s">
        <v>3381</v>
      </c>
      <c r="Q910" t="s">
        <v>3387</v>
      </c>
      <c r="R910" t="s">
        <v>4118</v>
      </c>
      <c r="S910">
        <v>2</v>
      </c>
      <c r="T910" t="s">
        <v>4196</v>
      </c>
      <c r="U910" t="s">
        <v>4225</v>
      </c>
      <c r="W910" t="s">
        <v>4245</v>
      </c>
      <c r="X910" t="s">
        <v>3382</v>
      </c>
      <c r="Y910" t="s">
        <v>3382</v>
      </c>
      <c r="AA910" t="s">
        <v>4256</v>
      </c>
      <c r="AC910">
        <v>2200</v>
      </c>
      <c r="AD910">
        <v>2200</v>
      </c>
      <c r="AE910">
        <v>0.5</v>
      </c>
      <c r="AG910" t="s">
        <v>5147</v>
      </c>
      <c r="AI910" t="s">
        <v>6179</v>
      </c>
      <c r="AJ910">
        <v>2</v>
      </c>
      <c r="AK910" t="s">
        <v>6274</v>
      </c>
      <c r="AL910">
        <v>1</v>
      </c>
      <c r="AM910">
        <v>3</v>
      </c>
      <c r="AN910">
        <v>24.39</v>
      </c>
      <c r="AQ910" t="s">
        <v>6286</v>
      </c>
      <c r="AR910" t="s">
        <v>5312</v>
      </c>
      <c r="AT910">
        <v>6000</v>
      </c>
      <c r="AV910" t="s">
        <v>3380</v>
      </c>
      <c r="AX910" t="s">
        <v>196</v>
      </c>
      <c r="BA910" t="s">
        <v>6483</v>
      </c>
      <c r="BD910" t="s">
        <v>547</v>
      </c>
    </row>
    <row r="911" spans="1:57">
      <c r="A911" s="1">
        <f>HYPERLINK("https://lsnyc.legalserver.org/matter/dynamic-profile/view/1913893","19-1913893")</f>
        <v>0</v>
      </c>
      <c r="B911" t="s">
        <v>60</v>
      </c>
      <c r="C911" t="s">
        <v>203</v>
      </c>
      <c r="D911" t="s">
        <v>214</v>
      </c>
      <c r="E911" t="s">
        <v>222</v>
      </c>
      <c r="G911" t="s">
        <v>1275</v>
      </c>
      <c r="H911" t="s">
        <v>1986</v>
      </c>
      <c r="J911" t="s">
        <v>2905</v>
      </c>
      <c r="K911" t="s">
        <v>3101</v>
      </c>
      <c r="L911" t="s">
        <v>3336</v>
      </c>
      <c r="M911" t="s">
        <v>3379</v>
      </c>
      <c r="N911">
        <v>11428</v>
      </c>
      <c r="O911" t="s">
        <v>3380</v>
      </c>
      <c r="P911" t="s">
        <v>3381</v>
      </c>
      <c r="Q911" t="s">
        <v>3383</v>
      </c>
      <c r="R911" t="s">
        <v>4119</v>
      </c>
      <c r="S911">
        <v>1</v>
      </c>
      <c r="T911" t="s">
        <v>4197</v>
      </c>
      <c r="U911" t="s">
        <v>4224</v>
      </c>
      <c r="W911" t="s">
        <v>4245</v>
      </c>
      <c r="X911" t="s">
        <v>3382</v>
      </c>
      <c r="Y911" t="s">
        <v>3382</v>
      </c>
      <c r="AA911" t="s">
        <v>4256</v>
      </c>
      <c r="AC911">
        <v>0</v>
      </c>
      <c r="AD911">
        <v>1300</v>
      </c>
      <c r="AE911">
        <v>0.33</v>
      </c>
      <c r="AG911" t="s">
        <v>5148</v>
      </c>
      <c r="AH911" t="s">
        <v>5364</v>
      </c>
      <c r="AI911" t="s">
        <v>6180</v>
      </c>
      <c r="AJ911">
        <v>2</v>
      </c>
      <c r="AK911" t="s">
        <v>6266</v>
      </c>
      <c r="AL911">
        <v>1</v>
      </c>
      <c r="AM911">
        <v>2</v>
      </c>
      <c r="AN911">
        <v>81.43000000000001</v>
      </c>
      <c r="AR911" t="s">
        <v>5312</v>
      </c>
      <c r="AS911" t="s">
        <v>6298</v>
      </c>
      <c r="AT911">
        <v>17368</v>
      </c>
      <c r="AX911" t="s">
        <v>6441</v>
      </c>
      <c r="BA911" t="s">
        <v>6595</v>
      </c>
      <c r="BD911" t="s">
        <v>222</v>
      </c>
      <c r="BE911" t="s">
        <v>6702</v>
      </c>
    </row>
    <row r="912" spans="1:57">
      <c r="A912" s="1">
        <f>HYPERLINK("https://lsnyc.legalserver.org/matter/dynamic-profile/view/1912273","19-1912273")</f>
        <v>0</v>
      </c>
      <c r="B912" t="s">
        <v>60</v>
      </c>
      <c r="C912" t="s">
        <v>203</v>
      </c>
      <c r="D912" t="s">
        <v>214</v>
      </c>
      <c r="E912" t="s">
        <v>268</v>
      </c>
      <c r="G912" t="s">
        <v>900</v>
      </c>
      <c r="H912" t="s">
        <v>1987</v>
      </c>
      <c r="J912" t="s">
        <v>2906</v>
      </c>
      <c r="K912" t="s">
        <v>3104</v>
      </c>
      <c r="L912" t="s">
        <v>3336</v>
      </c>
      <c r="M912" t="s">
        <v>3379</v>
      </c>
      <c r="N912">
        <v>11428</v>
      </c>
      <c r="O912" t="s">
        <v>3380</v>
      </c>
      <c r="P912" t="s">
        <v>3381</v>
      </c>
      <c r="R912" t="s">
        <v>4120</v>
      </c>
      <c r="S912">
        <v>19</v>
      </c>
      <c r="T912" t="s">
        <v>4196</v>
      </c>
      <c r="U912" t="s">
        <v>4224</v>
      </c>
      <c r="W912" t="s">
        <v>4245</v>
      </c>
      <c r="X912" t="s">
        <v>3382</v>
      </c>
      <c r="Y912" t="s">
        <v>3382</v>
      </c>
      <c r="AA912" t="s">
        <v>4256</v>
      </c>
      <c r="AC912">
        <v>0</v>
      </c>
      <c r="AD912">
        <v>808</v>
      </c>
      <c r="AE912">
        <v>2.33</v>
      </c>
      <c r="AG912" t="s">
        <v>5149</v>
      </c>
      <c r="AI912" t="s">
        <v>6181</v>
      </c>
      <c r="AJ912">
        <v>12</v>
      </c>
      <c r="AK912" t="s">
        <v>6267</v>
      </c>
      <c r="AL912">
        <v>1</v>
      </c>
      <c r="AM912">
        <v>0</v>
      </c>
      <c r="AN912">
        <v>259.28</v>
      </c>
      <c r="AR912" t="s">
        <v>6293</v>
      </c>
      <c r="AS912" t="s">
        <v>6298</v>
      </c>
      <c r="AT912">
        <v>32384</v>
      </c>
      <c r="AX912" t="s">
        <v>6441</v>
      </c>
      <c r="BA912" t="s">
        <v>6474</v>
      </c>
      <c r="BD912" t="s">
        <v>228</v>
      </c>
      <c r="BE912" t="s">
        <v>6702</v>
      </c>
    </row>
    <row r="913" spans="1:57">
      <c r="A913" s="1">
        <f>HYPERLINK("https://lsnyc.legalserver.org/matter/dynamic-profile/view/0772731","15-0772731")</f>
        <v>0</v>
      </c>
      <c r="B913" t="s">
        <v>60</v>
      </c>
      <c r="C913" t="s">
        <v>203</v>
      </c>
      <c r="D913" t="s">
        <v>214</v>
      </c>
      <c r="E913" t="s">
        <v>548</v>
      </c>
      <c r="G913" t="s">
        <v>1276</v>
      </c>
      <c r="H913" t="s">
        <v>1988</v>
      </c>
      <c r="J913" t="s">
        <v>2907</v>
      </c>
      <c r="K913" t="s">
        <v>3026</v>
      </c>
      <c r="L913" t="s">
        <v>3347</v>
      </c>
      <c r="M913" t="s">
        <v>3379</v>
      </c>
      <c r="N913">
        <v>11423</v>
      </c>
      <c r="O913" t="s">
        <v>3381</v>
      </c>
      <c r="P913" t="s">
        <v>3381</v>
      </c>
      <c r="S913">
        <v>0</v>
      </c>
      <c r="T913" t="s">
        <v>4196</v>
      </c>
      <c r="U913" t="s">
        <v>4223</v>
      </c>
      <c r="W913" t="s">
        <v>4245</v>
      </c>
      <c r="X913" t="s">
        <v>3382</v>
      </c>
      <c r="AA913" t="s">
        <v>4256</v>
      </c>
      <c r="AC913">
        <v>0</v>
      </c>
      <c r="AD913">
        <v>0</v>
      </c>
      <c r="AE913">
        <v>126.4</v>
      </c>
      <c r="AG913" t="s">
        <v>5150</v>
      </c>
      <c r="AI913" t="s">
        <v>6182</v>
      </c>
      <c r="AJ913">
        <v>0</v>
      </c>
      <c r="AL913">
        <v>2</v>
      </c>
      <c r="AM913">
        <v>1</v>
      </c>
      <c r="AN913">
        <v>75.06</v>
      </c>
      <c r="AS913" t="s">
        <v>6298</v>
      </c>
      <c r="AT913">
        <v>15080</v>
      </c>
      <c r="AX913" t="s">
        <v>196</v>
      </c>
      <c r="BA913" t="s">
        <v>6477</v>
      </c>
      <c r="BD913" t="s">
        <v>6687</v>
      </c>
    </row>
    <row r="914" spans="1:57">
      <c r="A914" s="1">
        <f>HYPERLINK("https://lsnyc.legalserver.org/matter/dynamic-profile/view/1838744","17-1838744")</f>
        <v>0</v>
      </c>
      <c r="B914" t="s">
        <v>60</v>
      </c>
      <c r="C914" t="s">
        <v>203</v>
      </c>
      <c r="D914" t="s">
        <v>214</v>
      </c>
      <c r="E914" t="s">
        <v>549</v>
      </c>
      <c r="G914" t="s">
        <v>614</v>
      </c>
      <c r="H914" t="s">
        <v>1441</v>
      </c>
      <c r="J914" t="s">
        <v>2908</v>
      </c>
      <c r="K914">
        <v>2</v>
      </c>
      <c r="L914" t="s">
        <v>3348</v>
      </c>
      <c r="M914" t="s">
        <v>3379</v>
      </c>
      <c r="N914">
        <v>11421</v>
      </c>
      <c r="O914" t="s">
        <v>3380</v>
      </c>
      <c r="P914" t="s">
        <v>3381</v>
      </c>
      <c r="Q914" t="s">
        <v>3399</v>
      </c>
      <c r="R914" t="s">
        <v>4121</v>
      </c>
      <c r="S914">
        <v>10</v>
      </c>
      <c r="T914" t="s">
        <v>4197</v>
      </c>
      <c r="U914" t="s">
        <v>4223</v>
      </c>
      <c r="W914" t="s">
        <v>4245</v>
      </c>
      <c r="X914" t="s">
        <v>3382</v>
      </c>
      <c r="Y914" t="s">
        <v>3382</v>
      </c>
      <c r="AA914" t="s">
        <v>4256</v>
      </c>
      <c r="AC914">
        <v>1515</v>
      </c>
      <c r="AD914">
        <v>1515</v>
      </c>
      <c r="AE914">
        <v>19.85</v>
      </c>
      <c r="AG914" t="s">
        <v>5151</v>
      </c>
      <c r="AI914" t="s">
        <v>6183</v>
      </c>
      <c r="AJ914">
        <v>2</v>
      </c>
      <c r="AK914" t="s">
        <v>6274</v>
      </c>
      <c r="AL914">
        <v>3</v>
      </c>
      <c r="AM914">
        <v>1</v>
      </c>
      <c r="AN914">
        <v>36</v>
      </c>
      <c r="AQ914" t="s">
        <v>6286</v>
      </c>
      <c r="AR914" t="s">
        <v>5312</v>
      </c>
      <c r="AT914">
        <v>8856</v>
      </c>
      <c r="AX914" t="s">
        <v>196</v>
      </c>
      <c r="BA914" t="s">
        <v>6596</v>
      </c>
      <c r="BD914" t="s">
        <v>6688</v>
      </c>
      <c r="BE914" t="s">
        <v>6702</v>
      </c>
    </row>
    <row r="915" spans="1:57">
      <c r="A915" s="1">
        <f>HYPERLINK("https://lsnyc.legalserver.org/matter/dynamic-profile/view/1914172","19-1914172")</f>
        <v>0</v>
      </c>
      <c r="B915" t="s">
        <v>60</v>
      </c>
      <c r="C915" t="s">
        <v>203</v>
      </c>
      <c r="D915" t="s">
        <v>214</v>
      </c>
      <c r="E915" t="s">
        <v>219</v>
      </c>
      <c r="G915" t="s">
        <v>655</v>
      </c>
      <c r="H915" t="s">
        <v>1989</v>
      </c>
      <c r="J915" t="s">
        <v>2909</v>
      </c>
      <c r="K915" t="s">
        <v>3313</v>
      </c>
      <c r="L915" t="s">
        <v>3372</v>
      </c>
      <c r="M915" t="s">
        <v>3379</v>
      </c>
      <c r="N915">
        <v>11420</v>
      </c>
      <c r="O915" t="s">
        <v>3380</v>
      </c>
      <c r="P915" t="s">
        <v>3381</v>
      </c>
      <c r="Q915" t="s">
        <v>3383</v>
      </c>
      <c r="R915" t="s">
        <v>4122</v>
      </c>
      <c r="S915">
        <v>1</v>
      </c>
      <c r="T915" t="s">
        <v>4197</v>
      </c>
      <c r="U915" t="s">
        <v>4224</v>
      </c>
      <c r="W915" t="s">
        <v>4245</v>
      </c>
      <c r="X915" t="s">
        <v>3382</v>
      </c>
      <c r="Y915" t="s">
        <v>3382</v>
      </c>
      <c r="AA915" t="s">
        <v>4256</v>
      </c>
      <c r="AC915">
        <v>0</v>
      </c>
      <c r="AD915">
        <v>0</v>
      </c>
      <c r="AE915">
        <v>1.33</v>
      </c>
      <c r="AG915" t="s">
        <v>5152</v>
      </c>
      <c r="AH915" t="s">
        <v>5365</v>
      </c>
      <c r="AI915" t="s">
        <v>6184</v>
      </c>
      <c r="AJ915">
        <v>2</v>
      </c>
      <c r="AL915">
        <v>2</v>
      </c>
      <c r="AM915">
        <v>0</v>
      </c>
      <c r="AN915">
        <v>15.97</v>
      </c>
      <c r="AR915" t="s">
        <v>5312</v>
      </c>
      <c r="AS915" t="s">
        <v>6298</v>
      </c>
      <c r="AT915">
        <v>2700</v>
      </c>
      <c r="AX915" t="s">
        <v>6441</v>
      </c>
      <c r="BA915" t="s">
        <v>6526</v>
      </c>
      <c r="BD915" t="s">
        <v>230</v>
      </c>
      <c r="BE915" t="s">
        <v>6702</v>
      </c>
    </row>
    <row r="916" spans="1:57">
      <c r="A916" s="1">
        <f>HYPERLINK("https://lsnyc.legalserver.org/matter/dynamic-profile/view/1849346","17-1849346")</f>
        <v>0</v>
      </c>
      <c r="B916" t="s">
        <v>60</v>
      </c>
      <c r="C916" t="s">
        <v>203</v>
      </c>
      <c r="D916" t="s">
        <v>214</v>
      </c>
      <c r="E916" t="s">
        <v>550</v>
      </c>
      <c r="G916" t="s">
        <v>1277</v>
      </c>
      <c r="H916" t="s">
        <v>1990</v>
      </c>
      <c r="J916" t="s">
        <v>2910</v>
      </c>
      <c r="K916" t="s">
        <v>3287</v>
      </c>
      <c r="L916" t="s">
        <v>3349</v>
      </c>
      <c r="M916" t="s">
        <v>3379</v>
      </c>
      <c r="N916">
        <v>11419</v>
      </c>
      <c r="O916" t="s">
        <v>3382</v>
      </c>
      <c r="P916" t="s">
        <v>3381</v>
      </c>
      <c r="R916" t="s">
        <v>4123</v>
      </c>
      <c r="S916">
        <v>2</v>
      </c>
      <c r="T916" t="s">
        <v>4197</v>
      </c>
      <c r="U916" t="s">
        <v>4223</v>
      </c>
      <c r="W916" t="s">
        <v>4245</v>
      </c>
      <c r="X916" t="s">
        <v>3382</v>
      </c>
      <c r="Y916" t="s">
        <v>3382</v>
      </c>
      <c r="AA916" t="s">
        <v>4256</v>
      </c>
      <c r="AC916">
        <v>1400</v>
      </c>
      <c r="AD916">
        <v>1400</v>
      </c>
      <c r="AE916">
        <v>9.6</v>
      </c>
      <c r="AG916" t="s">
        <v>5153</v>
      </c>
      <c r="AI916" t="s">
        <v>6185</v>
      </c>
      <c r="AJ916">
        <v>2</v>
      </c>
      <c r="AL916">
        <v>2</v>
      </c>
      <c r="AM916">
        <v>2</v>
      </c>
      <c r="AN916">
        <v>142.28</v>
      </c>
      <c r="AP916" t="s">
        <v>6285</v>
      </c>
      <c r="AQ916" t="s">
        <v>6288</v>
      </c>
      <c r="AR916" t="s">
        <v>5312</v>
      </c>
      <c r="AS916" t="s">
        <v>6298</v>
      </c>
      <c r="AT916">
        <v>35000</v>
      </c>
      <c r="AU916" t="s">
        <v>6321</v>
      </c>
      <c r="AV916" t="s">
        <v>3380</v>
      </c>
      <c r="AX916" t="s">
        <v>203</v>
      </c>
      <c r="BA916" t="s">
        <v>6477</v>
      </c>
      <c r="BD916" t="s">
        <v>453</v>
      </c>
    </row>
    <row r="917" spans="1:57">
      <c r="A917" s="1">
        <f>HYPERLINK("https://lsnyc.legalserver.org/matter/dynamic-profile/view/1882169","18-1882169")</f>
        <v>0</v>
      </c>
      <c r="B917" t="s">
        <v>60</v>
      </c>
      <c r="C917" t="s">
        <v>203</v>
      </c>
      <c r="D917" t="s">
        <v>214</v>
      </c>
      <c r="E917" t="s">
        <v>551</v>
      </c>
      <c r="G917" t="s">
        <v>1278</v>
      </c>
      <c r="H917" t="s">
        <v>1402</v>
      </c>
      <c r="J917" t="s">
        <v>2911</v>
      </c>
      <c r="L917" t="s">
        <v>3361</v>
      </c>
      <c r="M917" t="s">
        <v>3379</v>
      </c>
      <c r="N917">
        <v>11419</v>
      </c>
      <c r="O917" t="s">
        <v>3380</v>
      </c>
      <c r="P917" t="s">
        <v>3380</v>
      </c>
      <c r="Q917" t="s">
        <v>3383</v>
      </c>
      <c r="R917" t="s">
        <v>4124</v>
      </c>
      <c r="S917">
        <v>4</v>
      </c>
      <c r="T917" t="s">
        <v>4196</v>
      </c>
      <c r="U917" t="s">
        <v>4224</v>
      </c>
      <c r="W917" t="s">
        <v>4245</v>
      </c>
      <c r="X917" t="s">
        <v>3382</v>
      </c>
      <c r="Y917" t="s">
        <v>3382</v>
      </c>
      <c r="AA917" t="s">
        <v>4256</v>
      </c>
      <c r="AC917">
        <v>0</v>
      </c>
      <c r="AD917">
        <v>2750</v>
      </c>
      <c r="AE917">
        <v>12.7</v>
      </c>
      <c r="AG917" t="s">
        <v>5154</v>
      </c>
      <c r="AH917" t="s">
        <v>5366</v>
      </c>
      <c r="AI917" t="s">
        <v>6186</v>
      </c>
      <c r="AJ917">
        <v>0</v>
      </c>
      <c r="AK917" t="s">
        <v>6266</v>
      </c>
      <c r="AL917">
        <v>4</v>
      </c>
      <c r="AM917">
        <v>7</v>
      </c>
      <c r="AN917">
        <v>36.81</v>
      </c>
      <c r="AQ917" t="s">
        <v>6286</v>
      </c>
      <c r="AR917" t="s">
        <v>6296</v>
      </c>
      <c r="AS917" t="s">
        <v>6298</v>
      </c>
      <c r="AT917">
        <v>20368</v>
      </c>
      <c r="AX917" t="s">
        <v>184</v>
      </c>
      <c r="BA917" t="s">
        <v>6488</v>
      </c>
      <c r="BD917" t="s">
        <v>299</v>
      </c>
    </row>
    <row r="918" spans="1:57">
      <c r="A918" s="1">
        <f>HYPERLINK("https://lsnyc.legalserver.org/matter/dynamic-profile/view/1910494","19-1910494")</f>
        <v>0</v>
      </c>
      <c r="B918" t="s">
        <v>60</v>
      </c>
      <c r="C918" t="s">
        <v>203</v>
      </c>
      <c r="D918" t="s">
        <v>214</v>
      </c>
      <c r="E918" t="s">
        <v>223</v>
      </c>
      <c r="G918" t="s">
        <v>593</v>
      </c>
      <c r="H918" t="s">
        <v>1991</v>
      </c>
      <c r="J918" t="s">
        <v>2912</v>
      </c>
      <c r="K918" t="s">
        <v>3047</v>
      </c>
      <c r="L918" t="s">
        <v>3337</v>
      </c>
      <c r="M918" t="s">
        <v>3379</v>
      </c>
      <c r="N918">
        <v>11417</v>
      </c>
      <c r="O918" t="s">
        <v>3380</v>
      </c>
      <c r="P918" t="s">
        <v>3381</v>
      </c>
      <c r="Q918" t="s">
        <v>3383</v>
      </c>
      <c r="R918" t="s">
        <v>4125</v>
      </c>
      <c r="S918">
        <v>7</v>
      </c>
      <c r="T918" t="s">
        <v>4197</v>
      </c>
      <c r="U918" t="s">
        <v>4224</v>
      </c>
      <c r="W918" t="s">
        <v>4245</v>
      </c>
      <c r="X918" t="s">
        <v>3382</v>
      </c>
      <c r="Y918" t="s">
        <v>3382</v>
      </c>
      <c r="AA918" t="s">
        <v>4256</v>
      </c>
      <c r="AC918">
        <v>0</v>
      </c>
      <c r="AD918">
        <v>1400</v>
      </c>
      <c r="AE918">
        <v>1.3</v>
      </c>
      <c r="AG918" t="s">
        <v>4351</v>
      </c>
      <c r="AH918" t="s">
        <v>5367</v>
      </c>
      <c r="AI918" t="s">
        <v>6187</v>
      </c>
      <c r="AJ918">
        <v>2</v>
      </c>
      <c r="AK918" t="s">
        <v>6274</v>
      </c>
      <c r="AL918">
        <v>2</v>
      </c>
      <c r="AM918">
        <v>1</v>
      </c>
      <c r="AN918">
        <v>43.38</v>
      </c>
      <c r="AR918" t="s">
        <v>6289</v>
      </c>
      <c r="AS918" t="s">
        <v>6298</v>
      </c>
      <c r="AT918">
        <v>9252</v>
      </c>
      <c r="AX918" t="s">
        <v>6441</v>
      </c>
      <c r="BA918" t="s">
        <v>6499</v>
      </c>
      <c r="BD918" t="s">
        <v>267</v>
      </c>
      <c r="BE918" t="s">
        <v>6702</v>
      </c>
    </row>
    <row r="919" spans="1:57">
      <c r="A919" s="1">
        <f>HYPERLINK("https://lsnyc.legalserver.org/matter/dynamic-profile/view/1889384","19-1889384")</f>
        <v>0</v>
      </c>
      <c r="B919" t="s">
        <v>60</v>
      </c>
      <c r="C919" t="s">
        <v>203</v>
      </c>
      <c r="D919" t="s">
        <v>214</v>
      </c>
      <c r="E919" t="s">
        <v>493</v>
      </c>
      <c r="G919" t="s">
        <v>1279</v>
      </c>
      <c r="H919" t="s">
        <v>1992</v>
      </c>
      <c r="J919" t="s">
        <v>2815</v>
      </c>
      <c r="K919" t="s">
        <v>3057</v>
      </c>
      <c r="L919" t="s">
        <v>3350</v>
      </c>
      <c r="M919" t="s">
        <v>3379</v>
      </c>
      <c r="N919">
        <v>11415</v>
      </c>
      <c r="O919" t="s">
        <v>3381</v>
      </c>
      <c r="P919" t="s">
        <v>3381</v>
      </c>
      <c r="Q919" t="s">
        <v>3383</v>
      </c>
      <c r="R919" t="s">
        <v>4126</v>
      </c>
      <c r="S919">
        <v>15</v>
      </c>
      <c r="T919" t="s">
        <v>4197</v>
      </c>
      <c r="U919" t="s">
        <v>4223</v>
      </c>
      <c r="W919" t="s">
        <v>4245</v>
      </c>
      <c r="X919" t="s">
        <v>3382</v>
      </c>
      <c r="AA919" t="s">
        <v>4256</v>
      </c>
      <c r="AC919">
        <v>0</v>
      </c>
      <c r="AD919">
        <v>1601</v>
      </c>
      <c r="AE919">
        <v>29.65</v>
      </c>
      <c r="AG919" t="s">
        <v>5155</v>
      </c>
      <c r="AI919" t="s">
        <v>6188</v>
      </c>
      <c r="AJ919">
        <v>100</v>
      </c>
      <c r="AK919" t="s">
        <v>6267</v>
      </c>
      <c r="AL919">
        <v>1</v>
      </c>
      <c r="AM919">
        <v>0</v>
      </c>
      <c r="AN919">
        <v>122.5</v>
      </c>
      <c r="AQ919" t="s">
        <v>6287</v>
      </c>
      <c r="AR919" t="s">
        <v>5312</v>
      </c>
      <c r="AS919" t="s">
        <v>6298</v>
      </c>
      <c r="AT919">
        <v>15300</v>
      </c>
      <c r="AX919" t="s">
        <v>196</v>
      </c>
      <c r="BA919" t="s">
        <v>6477</v>
      </c>
      <c r="BD919" t="s">
        <v>279</v>
      </c>
    </row>
    <row r="920" spans="1:57">
      <c r="A920" s="1">
        <f>HYPERLINK("https://lsnyc.legalserver.org/matter/dynamic-profile/view/1853273","17-1853273")</f>
        <v>0</v>
      </c>
      <c r="B920" t="s">
        <v>60</v>
      </c>
      <c r="C920" t="s">
        <v>203</v>
      </c>
      <c r="D920" t="s">
        <v>214</v>
      </c>
      <c r="E920" t="s">
        <v>426</v>
      </c>
      <c r="G920" t="s">
        <v>1280</v>
      </c>
      <c r="H920" t="s">
        <v>1993</v>
      </c>
      <c r="J920" t="s">
        <v>2913</v>
      </c>
      <c r="L920" t="s">
        <v>3359</v>
      </c>
      <c r="M920" t="s">
        <v>3379</v>
      </c>
      <c r="N920">
        <v>11413</v>
      </c>
      <c r="O920" t="s">
        <v>3380</v>
      </c>
      <c r="P920" t="s">
        <v>3381</v>
      </c>
      <c r="Q920" t="s">
        <v>3383</v>
      </c>
      <c r="R920" t="s">
        <v>4127</v>
      </c>
      <c r="S920">
        <v>4</v>
      </c>
      <c r="T920" t="s">
        <v>4197</v>
      </c>
      <c r="U920" t="s">
        <v>4224</v>
      </c>
      <c r="W920" t="s">
        <v>4245</v>
      </c>
      <c r="X920" t="s">
        <v>3382</v>
      </c>
      <c r="Y920" t="s">
        <v>3382</v>
      </c>
      <c r="AA920" t="s">
        <v>4256</v>
      </c>
      <c r="AC920">
        <v>1600</v>
      </c>
      <c r="AD920">
        <v>1600</v>
      </c>
      <c r="AE920">
        <v>13.05</v>
      </c>
      <c r="AG920" t="s">
        <v>5156</v>
      </c>
      <c r="AI920" t="s">
        <v>6189</v>
      </c>
      <c r="AJ920">
        <v>0</v>
      </c>
      <c r="AL920">
        <v>2</v>
      </c>
      <c r="AM920">
        <v>3</v>
      </c>
      <c r="AN920">
        <v>55.59</v>
      </c>
      <c r="AP920" t="s">
        <v>6284</v>
      </c>
      <c r="AQ920" t="s">
        <v>6288</v>
      </c>
      <c r="AR920" t="s">
        <v>5312</v>
      </c>
      <c r="AS920" t="s">
        <v>6302</v>
      </c>
      <c r="AT920">
        <v>16000</v>
      </c>
      <c r="AV920" t="s">
        <v>3380</v>
      </c>
      <c r="AX920" t="s">
        <v>184</v>
      </c>
      <c r="BA920" t="s">
        <v>6503</v>
      </c>
      <c r="BD920" t="s">
        <v>6689</v>
      </c>
    </row>
    <row r="921" spans="1:57">
      <c r="A921" s="1">
        <f>HYPERLINK("https://lsnyc.legalserver.org/matter/dynamic-profile/view/1886301","18-1886301")</f>
        <v>0</v>
      </c>
      <c r="B921" t="s">
        <v>60</v>
      </c>
      <c r="C921" t="s">
        <v>203</v>
      </c>
      <c r="D921" t="s">
        <v>214</v>
      </c>
      <c r="E921" t="s">
        <v>443</v>
      </c>
      <c r="G921" t="s">
        <v>954</v>
      </c>
      <c r="H921" t="s">
        <v>1994</v>
      </c>
      <c r="J921" t="s">
        <v>2914</v>
      </c>
      <c r="K921" t="s">
        <v>3205</v>
      </c>
      <c r="L921" t="s">
        <v>3364</v>
      </c>
      <c r="M921" t="s">
        <v>3379</v>
      </c>
      <c r="N921">
        <v>11412</v>
      </c>
      <c r="O921" t="s">
        <v>3380</v>
      </c>
      <c r="P921" t="s">
        <v>3380</v>
      </c>
      <c r="Q921" t="s">
        <v>3383</v>
      </c>
      <c r="R921" t="s">
        <v>4128</v>
      </c>
      <c r="S921">
        <v>1</v>
      </c>
      <c r="T921" t="s">
        <v>4197</v>
      </c>
      <c r="U921" t="s">
        <v>4226</v>
      </c>
      <c r="W921" t="s">
        <v>4245</v>
      </c>
      <c r="X921" t="s">
        <v>3382</v>
      </c>
      <c r="Y921" t="s">
        <v>3382</v>
      </c>
      <c r="AA921" t="s">
        <v>4256</v>
      </c>
      <c r="AC921">
        <v>0</v>
      </c>
      <c r="AD921">
        <v>2500</v>
      </c>
      <c r="AE921">
        <v>0.45</v>
      </c>
      <c r="AG921" t="s">
        <v>5157</v>
      </c>
      <c r="AI921" t="s">
        <v>6190</v>
      </c>
      <c r="AJ921">
        <v>2</v>
      </c>
      <c r="AK921" t="s">
        <v>6274</v>
      </c>
      <c r="AL921">
        <v>2</v>
      </c>
      <c r="AM921">
        <v>0</v>
      </c>
      <c r="AN921">
        <v>189.55</v>
      </c>
      <c r="AQ921" t="s">
        <v>6287</v>
      </c>
      <c r="AR921" t="s">
        <v>5312</v>
      </c>
      <c r="AS921" t="s">
        <v>6298</v>
      </c>
      <c r="AT921">
        <v>31200</v>
      </c>
      <c r="AX921" t="s">
        <v>196</v>
      </c>
      <c r="BA921" t="s">
        <v>6477</v>
      </c>
      <c r="BD921" t="s">
        <v>226</v>
      </c>
    </row>
    <row r="922" spans="1:57">
      <c r="A922" s="1">
        <f>HYPERLINK("https://lsnyc.legalserver.org/matter/dynamic-profile/view/1911519","19-1911519")</f>
        <v>0</v>
      </c>
      <c r="B922" t="s">
        <v>60</v>
      </c>
      <c r="C922" t="s">
        <v>203</v>
      </c>
      <c r="D922" t="s">
        <v>214</v>
      </c>
      <c r="E922" t="s">
        <v>334</v>
      </c>
      <c r="G922" t="s">
        <v>1281</v>
      </c>
      <c r="H922" t="s">
        <v>1995</v>
      </c>
      <c r="J922" t="s">
        <v>2915</v>
      </c>
      <c r="K922" t="s">
        <v>3101</v>
      </c>
      <c r="L922" t="s">
        <v>3364</v>
      </c>
      <c r="M922" t="s">
        <v>3379</v>
      </c>
      <c r="N922">
        <v>11412</v>
      </c>
      <c r="O922" t="s">
        <v>3380</v>
      </c>
      <c r="P922" t="s">
        <v>3381</v>
      </c>
      <c r="Q922" t="s">
        <v>3383</v>
      </c>
      <c r="R922" t="s">
        <v>4129</v>
      </c>
      <c r="S922">
        <v>6</v>
      </c>
      <c r="T922" t="s">
        <v>4197</v>
      </c>
      <c r="U922" t="s">
        <v>4224</v>
      </c>
      <c r="W922" t="s">
        <v>4245</v>
      </c>
      <c r="X922" t="s">
        <v>3382</v>
      </c>
      <c r="Y922" t="s">
        <v>3382</v>
      </c>
      <c r="AA922" t="s">
        <v>4256</v>
      </c>
      <c r="AC922">
        <v>0</v>
      </c>
      <c r="AD922">
        <v>1400</v>
      </c>
      <c r="AE922">
        <v>0.5</v>
      </c>
      <c r="AG922" t="s">
        <v>5158</v>
      </c>
      <c r="AI922" t="s">
        <v>6191</v>
      </c>
      <c r="AJ922">
        <v>2</v>
      </c>
      <c r="AK922" t="s">
        <v>6274</v>
      </c>
      <c r="AL922">
        <v>5</v>
      </c>
      <c r="AM922">
        <v>0</v>
      </c>
      <c r="AN922">
        <v>148.13</v>
      </c>
      <c r="AR922" t="s">
        <v>5312</v>
      </c>
      <c r="AS922" t="s">
        <v>6298</v>
      </c>
      <c r="AT922">
        <v>44692</v>
      </c>
      <c r="AX922" t="s">
        <v>6441</v>
      </c>
      <c r="BA922" t="s">
        <v>6524</v>
      </c>
      <c r="BD922" t="s">
        <v>334</v>
      </c>
      <c r="BE922" t="s">
        <v>6702</v>
      </c>
    </row>
    <row r="923" spans="1:57">
      <c r="A923" s="1">
        <f>HYPERLINK("https://lsnyc.legalserver.org/matter/dynamic-profile/view/0788932","15-0788932")</f>
        <v>0</v>
      </c>
      <c r="B923" t="s">
        <v>60</v>
      </c>
      <c r="C923" t="s">
        <v>203</v>
      </c>
      <c r="D923" t="s">
        <v>214</v>
      </c>
      <c r="E923" t="s">
        <v>552</v>
      </c>
      <c r="G923" t="s">
        <v>1282</v>
      </c>
      <c r="H923" t="s">
        <v>1996</v>
      </c>
      <c r="J923" t="s">
        <v>2916</v>
      </c>
      <c r="L923" t="s">
        <v>3364</v>
      </c>
      <c r="M923" t="s">
        <v>3379</v>
      </c>
      <c r="N923">
        <v>11412</v>
      </c>
      <c r="O923" t="s">
        <v>3381</v>
      </c>
      <c r="P923" t="s">
        <v>3381</v>
      </c>
      <c r="S923">
        <v>0</v>
      </c>
      <c r="U923" t="s">
        <v>4226</v>
      </c>
      <c r="W923" t="s">
        <v>4245</v>
      </c>
      <c r="X923" t="s">
        <v>3382</v>
      </c>
      <c r="AA923" t="s">
        <v>4256</v>
      </c>
      <c r="AC923">
        <v>0</v>
      </c>
      <c r="AD923">
        <v>0</v>
      </c>
      <c r="AE923">
        <v>0.9</v>
      </c>
      <c r="AG923" t="s">
        <v>5159</v>
      </c>
      <c r="AI923" t="s">
        <v>6192</v>
      </c>
      <c r="AJ923">
        <v>0</v>
      </c>
      <c r="AL923">
        <v>1</v>
      </c>
      <c r="AM923">
        <v>4</v>
      </c>
      <c r="AN923">
        <v>89.42</v>
      </c>
      <c r="AS923" t="s">
        <v>6298</v>
      </c>
      <c r="AT923">
        <v>25404</v>
      </c>
      <c r="AX923" t="s">
        <v>6448</v>
      </c>
      <c r="BA923" t="s">
        <v>6511</v>
      </c>
      <c r="BD923" t="s">
        <v>6690</v>
      </c>
    </row>
    <row r="924" spans="1:57">
      <c r="A924" s="1">
        <f>HYPERLINK("https://lsnyc.legalserver.org/matter/dynamic-profile/view/1888067","19-1888067")</f>
        <v>0</v>
      </c>
      <c r="B924" t="s">
        <v>60</v>
      </c>
      <c r="C924" t="s">
        <v>203</v>
      </c>
      <c r="D924" t="s">
        <v>214</v>
      </c>
      <c r="E924" t="s">
        <v>487</v>
      </c>
      <c r="G924" t="s">
        <v>749</v>
      </c>
      <c r="H924" t="s">
        <v>1997</v>
      </c>
      <c r="J924" t="s">
        <v>2917</v>
      </c>
      <c r="K924" t="s">
        <v>3259</v>
      </c>
      <c r="L924" t="s">
        <v>3357</v>
      </c>
      <c r="M924" t="s">
        <v>3379</v>
      </c>
      <c r="N924">
        <v>11385</v>
      </c>
      <c r="O924" t="s">
        <v>3380</v>
      </c>
      <c r="P924" t="s">
        <v>3380</v>
      </c>
      <c r="Q924" t="s">
        <v>3383</v>
      </c>
      <c r="R924" t="s">
        <v>4130</v>
      </c>
      <c r="S924">
        <v>1</v>
      </c>
      <c r="T924" t="s">
        <v>4197</v>
      </c>
      <c r="U924" t="s">
        <v>4224</v>
      </c>
      <c r="W924" t="s">
        <v>4246</v>
      </c>
      <c r="X924" t="s">
        <v>3382</v>
      </c>
      <c r="Y924" t="s">
        <v>3382</v>
      </c>
      <c r="AA924" t="s">
        <v>4256</v>
      </c>
      <c r="AC924">
        <v>0</v>
      </c>
      <c r="AD924">
        <v>2800</v>
      </c>
      <c r="AE924">
        <v>22.5</v>
      </c>
      <c r="AG924" t="s">
        <v>5160</v>
      </c>
      <c r="AH924" t="s">
        <v>5368</v>
      </c>
      <c r="AI924" t="s">
        <v>6193</v>
      </c>
      <c r="AJ924">
        <v>2</v>
      </c>
      <c r="AK924" t="s">
        <v>6266</v>
      </c>
      <c r="AL924">
        <v>1</v>
      </c>
      <c r="AM924">
        <v>2</v>
      </c>
      <c r="AN924">
        <v>69.3</v>
      </c>
      <c r="AQ924" t="s">
        <v>6286</v>
      </c>
      <c r="AR924" t="s">
        <v>5312</v>
      </c>
      <c r="AS924" t="s">
        <v>6298</v>
      </c>
      <c r="AT924">
        <v>14400</v>
      </c>
      <c r="AX924" t="s">
        <v>184</v>
      </c>
      <c r="BA924" t="s">
        <v>6477</v>
      </c>
      <c r="BD924" t="s">
        <v>280</v>
      </c>
    </row>
    <row r="925" spans="1:57">
      <c r="A925" s="1">
        <f>HYPERLINK("https://lsnyc.legalserver.org/matter/dynamic-profile/view/1855798","18-1855798")</f>
        <v>0</v>
      </c>
      <c r="B925" t="s">
        <v>60</v>
      </c>
      <c r="C925" t="s">
        <v>203</v>
      </c>
      <c r="D925" t="s">
        <v>214</v>
      </c>
      <c r="E925" t="s">
        <v>354</v>
      </c>
      <c r="G925" t="s">
        <v>1283</v>
      </c>
      <c r="H925" t="s">
        <v>1998</v>
      </c>
      <c r="J925" t="s">
        <v>2918</v>
      </c>
      <c r="K925" t="s">
        <v>3192</v>
      </c>
      <c r="L925" t="s">
        <v>3338</v>
      </c>
      <c r="M925" t="s">
        <v>3379</v>
      </c>
      <c r="N925">
        <v>11385</v>
      </c>
      <c r="O925" t="s">
        <v>3381</v>
      </c>
      <c r="P925" t="s">
        <v>3381</v>
      </c>
      <c r="Q925" t="s">
        <v>3385</v>
      </c>
      <c r="R925" t="s">
        <v>3406</v>
      </c>
      <c r="S925">
        <v>27</v>
      </c>
      <c r="T925" t="s">
        <v>4203</v>
      </c>
      <c r="U925" t="s">
        <v>4225</v>
      </c>
      <c r="W925" t="s">
        <v>4245</v>
      </c>
      <c r="X925" t="s">
        <v>3382</v>
      </c>
      <c r="AA925" t="s">
        <v>4256</v>
      </c>
      <c r="AC925">
        <v>849</v>
      </c>
      <c r="AD925">
        <v>849</v>
      </c>
      <c r="AE925">
        <v>0.7</v>
      </c>
      <c r="AG925" t="s">
        <v>5161</v>
      </c>
      <c r="AI925" t="s">
        <v>6194</v>
      </c>
      <c r="AJ925">
        <v>6</v>
      </c>
      <c r="AK925" t="s">
        <v>6267</v>
      </c>
      <c r="AL925">
        <v>2</v>
      </c>
      <c r="AM925">
        <v>0</v>
      </c>
      <c r="AN925">
        <v>264.78</v>
      </c>
      <c r="AQ925" t="s">
        <v>6287</v>
      </c>
      <c r="AR925" t="s">
        <v>5312</v>
      </c>
      <c r="AS925" t="s">
        <v>6298</v>
      </c>
      <c r="AT925">
        <v>43000</v>
      </c>
      <c r="AX925" t="s">
        <v>196</v>
      </c>
      <c r="BA925" t="s">
        <v>6477</v>
      </c>
      <c r="BD925" t="s">
        <v>6691</v>
      </c>
    </row>
    <row r="926" spans="1:57">
      <c r="A926" s="1">
        <f>HYPERLINK("https://lsnyc.legalserver.org/matter/dynamic-profile/view/0734786","13-0734786")</f>
        <v>0</v>
      </c>
      <c r="B926" t="s">
        <v>60</v>
      </c>
      <c r="C926" t="s">
        <v>203</v>
      </c>
      <c r="D926" t="s">
        <v>214</v>
      </c>
      <c r="E926" t="s">
        <v>553</v>
      </c>
      <c r="G926" t="s">
        <v>1284</v>
      </c>
      <c r="H926" t="s">
        <v>1999</v>
      </c>
      <c r="J926" t="s">
        <v>2919</v>
      </c>
      <c r="K926" t="s">
        <v>3110</v>
      </c>
      <c r="L926" t="s">
        <v>3376</v>
      </c>
      <c r="M926" t="s">
        <v>3379</v>
      </c>
      <c r="N926">
        <v>11385</v>
      </c>
      <c r="O926" t="s">
        <v>3381</v>
      </c>
      <c r="P926" t="s">
        <v>3381</v>
      </c>
      <c r="S926">
        <v>0</v>
      </c>
      <c r="U926" t="s">
        <v>4223</v>
      </c>
      <c r="W926" t="s">
        <v>4245</v>
      </c>
      <c r="X926" t="s">
        <v>3382</v>
      </c>
      <c r="AA926" t="s">
        <v>4257</v>
      </c>
      <c r="AC926">
        <v>0</v>
      </c>
      <c r="AD926">
        <v>0</v>
      </c>
      <c r="AE926">
        <v>88.84999999999999</v>
      </c>
      <c r="AG926" t="s">
        <v>5162</v>
      </c>
      <c r="AJ926">
        <v>0</v>
      </c>
      <c r="AL926">
        <v>2</v>
      </c>
      <c r="AM926">
        <v>1</v>
      </c>
      <c r="AN926">
        <v>110.6</v>
      </c>
      <c r="AS926" t="s">
        <v>6298</v>
      </c>
      <c r="AT926">
        <v>21600</v>
      </c>
      <c r="AX926" t="s">
        <v>181</v>
      </c>
      <c r="BA926" t="s">
        <v>6474</v>
      </c>
      <c r="BD926" t="s">
        <v>260</v>
      </c>
    </row>
    <row r="927" spans="1:57">
      <c r="A927" s="1">
        <f>HYPERLINK("https://lsnyc.legalserver.org/matter/dynamic-profile/view/1857387","18-1857387")</f>
        <v>0</v>
      </c>
      <c r="B927" t="s">
        <v>60</v>
      </c>
      <c r="C927" t="s">
        <v>203</v>
      </c>
      <c r="D927" t="s">
        <v>214</v>
      </c>
      <c r="E927" t="s">
        <v>554</v>
      </c>
      <c r="G927" t="s">
        <v>638</v>
      </c>
      <c r="H927" t="s">
        <v>2000</v>
      </c>
      <c r="J927" t="s">
        <v>2920</v>
      </c>
      <c r="K927" t="s">
        <v>3039</v>
      </c>
      <c r="L927" t="s">
        <v>3340</v>
      </c>
      <c r="M927" t="s">
        <v>3379</v>
      </c>
      <c r="N927">
        <v>11377</v>
      </c>
      <c r="O927" t="s">
        <v>3380</v>
      </c>
      <c r="P927" t="s">
        <v>3381</v>
      </c>
      <c r="S927">
        <v>0</v>
      </c>
      <c r="T927" t="s">
        <v>4208</v>
      </c>
      <c r="U927" t="s">
        <v>4226</v>
      </c>
      <c r="W927" t="s">
        <v>4245</v>
      </c>
      <c r="X927" t="s">
        <v>3382</v>
      </c>
      <c r="AA927" t="s">
        <v>4257</v>
      </c>
      <c r="AC927">
        <v>0</v>
      </c>
      <c r="AD927">
        <v>0</v>
      </c>
      <c r="AE927">
        <v>6</v>
      </c>
      <c r="AG927" t="s">
        <v>5163</v>
      </c>
      <c r="AI927" t="s">
        <v>6195</v>
      </c>
      <c r="AJ927">
        <v>0</v>
      </c>
      <c r="AL927">
        <v>2</v>
      </c>
      <c r="AM927">
        <v>2</v>
      </c>
      <c r="AN927">
        <v>162.6</v>
      </c>
      <c r="AQ927" t="s">
        <v>6288</v>
      </c>
      <c r="AS927" t="s">
        <v>6299</v>
      </c>
      <c r="AT927">
        <v>40000</v>
      </c>
      <c r="AV927" t="s">
        <v>3380</v>
      </c>
      <c r="AX927" t="s">
        <v>184</v>
      </c>
      <c r="BA927" t="s">
        <v>6477</v>
      </c>
      <c r="BD927" t="s">
        <v>6692</v>
      </c>
    </row>
    <row r="928" spans="1:57">
      <c r="A928" s="1">
        <f>HYPERLINK("https://lsnyc.legalserver.org/matter/dynamic-profile/view/1878715","18-1878715")</f>
        <v>0</v>
      </c>
      <c r="B928" t="s">
        <v>60</v>
      </c>
      <c r="C928" t="s">
        <v>203</v>
      </c>
      <c r="D928" t="s">
        <v>214</v>
      </c>
      <c r="E928" t="s">
        <v>352</v>
      </c>
      <c r="G928" t="s">
        <v>592</v>
      </c>
      <c r="H928" t="s">
        <v>2001</v>
      </c>
      <c r="J928" t="s">
        <v>2921</v>
      </c>
      <c r="K928" t="s">
        <v>3269</v>
      </c>
      <c r="L928" t="s">
        <v>3340</v>
      </c>
      <c r="M928" t="s">
        <v>3379</v>
      </c>
      <c r="N928">
        <v>11377</v>
      </c>
      <c r="O928" t="s">
        <v>3380</v>
      </c>
      <c r="P928" t="s">
        <v>3380</v>
      </c>
      <c r="Q928" t="s">
        <v>3396</v>
      </c>
      <c r="R928" t="s">
        <v>4131</v>
      </c>
      <c r="S928">
        <v>24</v>
      </c>
      <c r="T928" t="s">
        <v>4197</v>
      </c>
      <c r="U928" t="s">
        <v>4223</v>
      </c>
      <c r="W928" t="s">
        <v>4245</v>
      </c>
      <c r="X928" t="s">
        <v>3382</v>
      </c>
      <c r="Y928" t="s">
        <v>3382</v>
      </c>
      <c r="AA928" t="s">
        <v>4256</v>
      </c>
      <c r="AB928" t="s">
        <v>4261</v>
      </c>
      <c r="AC928">
        <v>1136</v>
      </c>
      <c r="AD928">
        <v>1136</v>
      </c>
      <c r="AE928">
        <v>36.55</v>
      </c>
      <c r="AG928" t="s">
        <v>5100</v>
      </c>
      <c r="AI928" t="s">
        <v>6196</v>
      </c>
      <c r="AJ928">
        <v>6</v>
      </c>
      <c r="AK928" t="s">
        <v>6267</v>
      </c>
      <c r="AL928">
        <v>3</v>
      </c>
      <c r="AM928">
        <v>1</v>
      </c>
      <c r="AN928">
        <v>47.81</v>
      </c>
      <c r="AP928" t="s">
        <v>6283</v>
      </c>
      <c r="AQ928" t="s">
        <v>6288</v>
      </c>
      <c r="AR928" t="s">
        <v>5312</v>
      </c>
      <c r="AS928" t="s">
        <v>6299</v>
      </c>
      <c r="AT928">
        <v>12000</v>
      </c>
      <c r="AU928" t="s">
        <v>6322</v>
      </c>
      <c r="AX928" t="s">
        <v>203</v>
      </c>
      <c r="BA928" t="s">
        <v>6477</v>
      </c>
      <c r="BD928" t="s">
        <v>480</v>
      </c>
    </row>
    <row r="929" spans="1:57">
      <c r="A929" s="1">
        <f>HYPERLINK("https://lsnyc.legalserver.org/matter/dynamic-profile/view/1870925","18-1870925")</f>
        <v>0</v>
      </c>
      <c r="B929" t="s">
        <v>60</v>
      </c>
      <c r="C929" t="s">
        <v>203</v>
      </c>
      <c r="D929" t="s">
        <v>214</v>
      </c>
      <c r="E929" t="s">
        <v>555</v>
      </c>
      <c r="G929" t="s">
        <v>702</v>
      </c>
      <c r="H929" t="s">
        <v>2002</v>
      </c>
      <c r="J929" t="s">
        <v>2922</v>
      </c>
      <c r="K929" t="s">
        <v>3314</v>
      </c>
      <c r="L929" t="s">
        <v>3340</v>
      </c>
      <c r="M929" t="s">
        <v>3379</v>
      </c>
      <c r="N929">
        <v>11377</v>
      </c>
      <c r="O929" t="s">
        <v>3380</v>
      </c>
      <c r="P929" t="s">
        <v>3381</v>
      </c>
      <c r="R929" t="s">
        <v>4132</v>
      </c>
      <c r="S929">
        <v>0</v>
      </c>
      <c r="T929" t="s">
        <v>4196</v>
      </c>
      <c r="U929" t="s">
        <v>4223</v>
      </c>
      <c r="W929" t="s">
        <v>4245</v>
      </c>
      <c r="X929" t="s">
        <v>3382</v>
      </c>
      <c r="AA929" t="s">
        <v>4256</v>
      </c>
      <c r="AC929">
        <v>0</v>
      </c>
      <c r="AD929">
        <v>0</v>
      </c>
      <c r="AE929">
        <v>20.2</v>
      </c>
      <c r="AG929" t="s">
        <v>5164</v>
      </c>
      <c r="AI929" t="s">
        <v>6197</v>
      </c>
      <c r="AJ929">
        <v>0</v>
      </c>
      <c r="AL929">
        <v>1</v>
      </c>
      <c r="AM929">
        <v>0</v>
      </c>
      <c r="AN929">
        <v>148.27</v>
      </c>
      <c r="AT929">
        <v>18000</v>
      </c>
      <c r="AX929" t="s">
        <v>196</v>
      </c>
      <c r="BA929" t="s">
        <v>6477</v>
      </c>
      <c r="BD929" t="s">
        <v>238</v>
      </c>
      <c r="BE929" t="s">
        <v>6702</v>
      </c>
    </row>
    <row r="930" spans="1:57">
      <c r="A930" s="1">
        <f>HYPERLINK("https://lsnyc.legalserver.org/matter/dynamic-profile/view/1882196","18-1882196")</f>
        <v>0</v>
      </c>
      <c r="B930" t="s">
        <v>60</v>
      </c>
      <c r="C930" t="s">
        <v>203</v>
      </c>
      <c r="D930" t="s">
        <v>214</v>
      </c>
      <c r="E930" t="s">
        <v>551</v>
      </c>
      <c r="G930" t="s">
        <v>895</v>
      </c>
      <c r="H930" t="s">
        <v>2003</v>
      </c>
      <c r="J930" t="s">
        <v>2923</v>
      </c>
      <c r="K930" t="s">
        <v>3040</v>
      </c>
      <c r="L930" t="s">
        <v>3369</v>
      </c>
      <c r="M930" t="s">
        <v>3379</v>
      </c>
      <c r="N930">
        <v>11374</v>
      </c>
      <c r="O930" t="s">
        <v>3380</v>
      </c>
      <c r="P930" t="s">
        <v>3380</v>
      </c>
      <c r="Q930" t="s">
        <v>3383</v>
      </c>
      <c r="R930" t="s">
        <v>4133</v>
      </c>
      <c r="S930">
        <v>3</v>
      </c>
      <c r="T930" t="s">
        <v>4196</v>
      </c>
      <c r="U930" t="s">
        <v>4226</v>
      </c>
      <c r="W930" t="s">
        <v>4245</v>
      </c>
      <c r="X930" t="s">
        <v>3382</v>
      </c>
      <c r="Y930" t="s">
        <v>3382</v>
      </c>
      <c r="AA930" t="s">
        <v>4256</v>
      </c>
      <c r="AC930">
        <v>0</v>
      </c>
      <c r="AD930">
        <v>1600</v>
      </c>
      <c r="AE930">
        <v>0.27</v>
      </c>
      <c r="AG930" t="s">
        <v>5165</v>
      </c>
      <c r="AI930" t="s">
        <v>6198</v>
      </c>
      <c r="AJ930">
        <v>4</v>
      </c>
      <c r="AK930" t="s">
        <v>6266</v>
      </c>
      <c r="AL930">
        <v>3</v>
      </c>
      <c r="AM930">
        <v>0</v>
      </c>
      <c r="AN930">
        <v>120.31</v>
      </c>
      <c r="AQ930" t="s">
        <v>6287</v>
      </c>
      <c r="AR930" t="s">
        <v>5312</v>
      </c>
      <c r="AS930" t="s">
        <v>6298</v>
      </c>
      <c r="AT930">
        <v>25000</v>
      </c>
      <c r="AX930" t="s">
        <v>184</v>
      </c>
      <c r="BA930" t="s">
        <v>6477</v>
      </c>
      <c r="BD930" t="s">
        <v>238</v>
      </c>
    </row>
    <row r="931" spans="1:57">
      <c r="A931" s="1">
        <f>HYPERLINK("https://lsnyc.legalserver.org/matter/dynamic-profile/view/0831176","17-0831176")</f>
        <v>0</v>
      </c>
      <c r="B931" t="s">
        <v>60</v>
      </c>
      <c r="C931" t="s">
        <v>203</v>
      </c>
      <c r="D931" t="s">
        <v>214</v>
      </c>
      <c r="E931" t="s">
        <v>556</v>
      </c>
      <c r="G931" t="s">
        <v>1285</v>
      </c>
      <c r="H931" t="s">
        <v>2004</v>
      </c>
      <c r="J931" t="s">
        <v>2924</v>
      </c>
      <c r="K931" t="s">
        <v>3315</v>
      </c>
      <c r="L931" t="s">
        <v>3369</v>
      </c>
      <c r="M931" t="s">
        <v>3379</v>
      </c>
      <c r="N931">
        <v>11374</v>
      </c>
      <c r="O931" t="s">
        <v>3381</v>
      </c>
      <c r="P931" t="s">
        <v>3381</v>
      </c>
      <c r="R931" t="s">
        <v>4134</v>
      </c>
      <c r="S931">
        <v>0</v>
      </c>
      <c r="U931" t="s">
        <v>4223</v>
      </c>
      <c r="W931" t="s">
        <v>4245</v>
      </c>
      <c r="X931" t="s">
        <v>3382</v>
      </c>
      <c r="AA931" t="s">
        <v>4256</v>
      </c>
      <c r="AC931">
        <v>0</v>
      </c>
      <c r="AD931">
        <v>0</v>
      </c>
      <c r="AE931">
        <v>10.45</v>
      </c>
      <c r="AG931" t="s">
        <v>5166</v>
      </c>
      <c r="AI931" t="s">
        <v>6199</v>
      </c>
      <c r="AJ931">
        <v>0</v>
      </c>
      <c r="AL931">
        <v>1</v>
      </c>
      <c r="AM931">
        <v>0</v>
      </c>
      <c r="AN931">
        <v>67.66</v>
      </c>
      <c r="AS931" t="s">
        <v>6298</v>
      </c>
      <c r="AT931">
        <v>8160</v>
      </c>
      <c r="AX931" t="s">
        <v>6443</v>
      </c>
      <c r="BA931" t="s">
        <v>6475</v>
      </c>
      <c r="BD931" t="s">
        <v>6693</v>
      </c>
    </row>
    <row r="932" spans="1:57">
      <c r="A932" s="1">
        <f>HYPERLINK("https://lsnyc.legalserver.org/matter/dynamic-profile/view/1865205","18-1865205")</f>
        <v>0</v>
      </c>
      <c r="B932" t="s">
        <v>60</v>
      </c>
      <c r="C932" t="s">
        <v>203</v>
      </c>
      <c r="D932" t="s">
        <v>214</v>
      </c>
      <c r="E932" t="s">
        <v>557</v>
      </c>
      <c r="G932" t="s">
        <v>767</v>
      </c>
      <c r="H932" t="s">
        <v>1455</v>
      </c>
      <c r="J932" t="s">
        <v>2925</v>
      </c>
      <c r="K932" t="s">
        <v>3190</v>
      </c>
      <c r="L932" t="s">
        <v>3341</v>
      </c>
      <c r="M932" t="s">
        <v>3379</v>
      </c>
      <c r="N932">
        <v>11373</v>
      </c>
      <c r="O932" t="s">
        <v>3380</v>
      </c>
      <c r="P932" t="s">
        <v>3381</v>
      </c>
      <c r="R932" t="s">
        <v>4135</v>
      </c>
      <c r="S932">
        <v>25</v>
      </c>
      <c r="T932" t="s">
        <v>4197</v>
      </c>
      <c r="U932" t="s">
        <v>4223</v>
      </c>
      <c r="W932" t="s">
        <v>4246</v>
      </c>
      <c r="X932" t="s">
        <v>3382</v>
      </c>
      <c r="AA932" t="s">
        <v>4256</v>
      </c>
      <c r="AC932">
        <v>230</v>
      </c>
      <c r="AD932">
        <v>1010</v>
      </c>
      <c r="AE932">
        <v>45.3</v>
      </c>
      <c r="AG932" t="s">
        <v>5167</v>
      </c>
      <c r="AI932" t="s">
        <v>6200</v>
      </c>
      <c r="AJ932">
        <v>0</v>
      </c>
      <c r="AK932" t="s">
        <v>6267</v>
      </c>
      <c r="AL932">
        <v>1</v>
      </c>
      <c r="AM932">
        <v>0</v>
      </c>
      <c r="AN932">
        <v>82.83</v>
      </c>
      <c r="AR932" t="s">
        <v>6292</v>
      </c>
      <c r="AS932" t="s">
        <v>6298</v>
      </c>
      <c r="AT932">
        <v>10056</v>
      </c>
      <c r="AX932" t="s">
        <v>6403</v>
      </c>
      <c r="BA932" t="s">
        <v>6499</v>
      </c>
      <c r="BD932" t="s">
        <v>249</v>
      </c>
      <c r="BE932" t="s">
        <v>6702</v>
      </c>
    </row>
    <row r="933" spans="1:57">
      <c r="A933" s="1">
        <f>HYPERLINK("https://lsnyc.legalserver.org/matter/dynamic-profile/view/1879960","18-1879960")</f>
        <v>0</v>
      </c>
      <c r="B933" t="s">
        <v>60</v>
      </c>
      <c r="C933" t="s">
        <v>203</v>
      </c>
      <c r="D933" t="s">
        <v>214</v>
      </c>
      <c r="E933" t="s">
        <v>491</v>
      </c>
      <c r="G933" t="s">
        <v>1286</v>
      </c>
      <c r="H933" t="s">
        <v>2005</v>
      </c>
      <c r="J933" t="s">
        <v>2926</v>
      </c>
      <c r="K933" t="s">
        <v>3047</v>
      </c>
      <c r="L933" t="s">
        <v>3341</v>
      </c>
      <c r="M933" t="s">
        <v>3379</v>
      </c>
      <c r="N933">
        <v>11373</v>
      </c>
      <c r="O933" t="s">
        <v>3380</v>
      </c>
      <c r="P933" t="s">
        <v>3381</v>
      </c>
      <c r="Q933" t="s">
        <v>3383</v>
      </c>
      <c r="R933" t="s">
        <v>4136</v>
      </c>
      <c r="S933">
        <v>7</v>
      </c>
      <c r="T933" t="s">
        <v>4197</v>
      </c>
      <c r="U933" t="s">
        <v>4224</v>
      </c>
      <c r="W933" t="s">
        <v>4246</v>
      </c>
      <c r="X933" t="s">
        <v>3382</v>
      </c>
      <c r="Y933" t="s">
        <v>3382</v>
      </c>
      <c r="AA933" t="s">
        <v>4256</v>
      </c>
      <c r="AB933" t="s">
        <v>4261</v>
      </c>
      <c r="AC933">
        <v>1675</v>
      </c>
      <c r="AD933">
        <v>1675</v>
      </c>
      <c r="AE933">
        <v>7.5</v>
      </c>
      <c r="AG933" t="s">
        <v>5168</v>
      </c>
      <c r="AI933" t="s">
        <v>6201</v>
      </c>
      <c r="AJ933">
        <v>3</v>
      </c>
      <c r="AK933" t="s">
        <v>6274</v>
      </c>
      <c r="AL933">
        <v>1</v>
      </c>
      <c r="AM933">
        <v>0</v>
      </c>
      <c r="AN933">
        <v>160.63</v>
      </c>
      <c r="AQ933" t="s">
        <v>6287</v>
      </c>
      <c r="AR933" t="s">
        <v>5312</v>
      </c>
      <c r="AS933" t="s">
        <v>6298</v>
      </c>
      <c r="AT933">
        <v>19500</v>
      </c>
      <c r="AX933" t="s">
        <v>6416</v>
      </c>
      <c r="BA933" t="s">
        <v>6477</v>
      </c>
      <c r="BD933" t="s">
        <v>433</v>
      </c>
    </row>
    <row r="934" spans="1:57">
      <c r="A934" s="1">
        <f>HYPERLINK("https://lsnyc.legalserver.org/matter/dynamic-profile/view/1907621","19-1907621")</f>
        <v>0</v>
      </c>
      <c r="B934" t="s">
        <v>60</v>
      </c>
      <c r="C934" t="s">
        <v>203</v>
      </c>
      <c r="D934" t="s">
        <v>214</v>
      </c>
      <c r="E934" t="s">
        <v>286</v>
      </c>
      <c r="G934" t="s">
        <v>1287</v>
      </c>
      <c r="H934" t="s">
        <v>2006</v>
      </c>
      <c r="J934" t="s">
        <v>2927</v>
      </c>
      <c r="K934" t="s">
        <v>3149</v>
      </c>
      <c r="L934" t="s">
        <v>3341</v>
      </c>
      <c r="M934" t="s">
        <v>3379</v>
      </c>
      <c r="N934">
        <v>11373</v>
      </c>
      <c r="O934" t="s">
        <v>3380</v>
      </c>
      <c r="P934" t="s">
        <v>3381</v>
      </c>
      <c r="Q934" t="s">
        <v>3383</v>
      </c>
      <c r="R934" t="s">
        <v>4137</v>
      </c>
      <c r="S934">
        <v>1</v>
      </c>
      <c r="T934" t="s">
        <v>4197</v>
      </c>
      <c r="U934" t="s">
        <v>4229</v>
      </c>
      <c r="W934" t="s">
        <v>4246</v>
      </c>
      <c r="X934" t="s">
        <v>3382</v>
      </c>
      <c r="Y934" t="s">
        <v>3382</v>
      </c>
      <c r="AA934" t="s">
        <v>4256</v>
      </c>
      <c r="AC934">
        <v>0</v>
      </c>
      <c r="AD934">
        <v>1800</v>
      </c>
      <c r="AE934">
        <v>4.55</v>
      </c>
      <c r="AG934" t="s">
        <v>5169</v>
      </c>
      <c r="AI934" t="s">
        <v>6202</v>
      </c>
      <c r="AJ934">
        <v>2</v>
      </c>
      <c r="AL934">
        <v>1</v>
      </c>
      <c r="AM934">
        <v>0</v>
      </c>
      <c r="AN934">
        <v>49.13</v>
      </c>
      <c r="AR934" t="s">
        <v>5312</v>
      </c>
      <c r="AS934" t="s">
        <v>6299</v>
      </c>
      <c r="AT934">
        <v>6136</v>
      </c>
      <c r="AX934" t="s">
        <v>6441</v>
      </c>
      <c r="BA934" t="s">
        <v>6597</v>
      </c>
      <c r="BD934" t="s">
        <v>243</v>
      </c>
      <c r="BE934" t="s">
        <v>6702</v>
      </c>
    </row>
    <row r="935" spans="1:57">
      <c r="A935" s="1">
        <f>HYPERLINK("https://lsnyc.legalserver.org/matter/dynamic-profile/view/1866305","18-1866305")</f>
        <v>0</v>
      </c>
      <c r="B935" t="s">
        <v>60</v>
      </c>
      <c r="C935" t="s">
        <v>203</v>
      </c>
      <c r="D935" t="s">
        <v>214</v>
      </c>
      <c r="E935" t="s">
        <v>558</v>
      </c>
      <c r="G935" t="s">
        <v>767</v>
      </c>
      <c r="H935" t="s">
        <v>1455</v>
      </c>
      <c r="J935" t="s">
        <v>2925</v>
      </c>
      <c r="K935" t="s">
        <v>3316</v>
      </c>
      <c r="L935" t="s">
        <v>3341</v>
      </c>
      <c r="M935" t="s">
        <v>3379</v>
      </c>
      <c r="N935">
        <v>11373</v>
      </c>
      <c r="O935" t="s">
        <v>3380</v>
      </c>
      <c r="P935" t="s">
        <v>3381</v>
      </c>
      <c r="R935" t="s">
        <v>3406</v>
      </c>
      <c r="S935">
        <v>0</v>
      </c>
      <c r="T935" t="s">
        <v>4219</v>
      </c>
      <c r="U935" t="s">
        <v>4225</v>
      </c>
      <c r="W935" t="s">
        <v>4245</v>
      </c>
      <c r="X935" t="s">
        <v>3382</v>
      </c>
      <c r="AA935" t="s">
        <v>4256</v>
      </c>
      <c r="AC935">
        <v>230</v>
      </c>
      <c r="AD935">
        <v>1010</v>
      </c>
      <c r="AE935">
        <v>74.05</v>
      </c>
      <c r="AG935" t="s">
        <v>5167</v>
      </c>
      <c r="AI935" t="s">
        <v>6013</v>
      </c>
      <c r="AJ935">
        <v>66</v>
      </c>
      <c r="AK935" t="s">
        <v>6267</v>
      </c>
      <c r="AL935">
        <v>1</v>
      </c>
      <c r="AM935">
        <v>0</v>
      </c>
      <c r="AN935">
        <v>0</v>
      </c>
      <c r="AR935" t="s">
        <v>6292</v>
      </c>
      <c r="AT935">
        <v>9464</v>
      </c>
      <c r="AX935" t="s">
        <v>196</v>
      </c>
      <c r="BA935" t="s">
        <v>6598</v>
      </c>
      <c r="BD935" t="s">
        <v>227</v>
      </c>
      <c r="BE935" t="s">
        <v>6702</v>
      </c>
    </row>
    <row r="936" spans="1:57">
      <c r="A936" s="1">
        <f>HYPERLINK("https://lsnyc.legalserver.org/matter/dynamic-profile/view/1879471","18-1879471")</f>
        <v>0</v>
      </c>
      <c r="B936" t="s">
        <v>60</v>
      </c>
      <c r="C936" t="s">
        <v>203</v>
      </c>
      <c r="D936" t="s">
        <v>214</v>
      </c>
      <c r="E936" t="s">
        <v>461</v>
      </c>
      <c r="G936" t="s">
        <v>614</v>
      </c>
      <c r="H936" t="s">
        <v>2007</v>
      </c>
      <c r="J936" t="s">
        <v>2928</v>
      </c>
      <c r="K936" t="s">
        <v>2994</v>
      </c>
      <c r="L936" t="s">
        <v>3341</v>
      </c>
      <c r="M936" t="s">
        <v>3379</v>
      </c>
      <c r="N936">
        <v>11373</v>
      </c>
      <c r="O936" t="s">
        <v>3380</v>
      </c>
      <c r="P936" t="s">
        <v>3380</v>
      </c>
      <c r="Q936" t="s">
        <v>3384</v>
      </c>
      <c r="R936" t="s">
        <v>4138</v>
      </c>
      <c r="S936">
        <v>30</v>
      </c>
      <c r="T936" t="s">
        <v>4196</v>
      </c>
      <c r="U936" t="s">
        <v>4224</v>
      </c>
      <c r="W936" t="s">
        <v>4246</v>
      </c>
      <c r="X936" t="s">
        <v>3382</v>
      </c>
      <c r="Y936" t="s">
        <v>3380</v>
      </c>
      <c r="AA936" t="s">
        <v>4256</v>
      </c>
      <c r="AB936" t="s">
        <v>4261</v>
      </c>
      <c r="AC936">
        <v>971</v>
      </c>
      <c r="AD936">
        <v>971</v>
      </c>
      <c r="AE936">
        <v>2.15</v>
      </c>
      <c r="AG936" t="s">
        <v>5170</v>
      </c>
      <c r="AI936" t="s">
        <v>6203</v>
      </c>
      <c r="AJ936">
        <v>35</v>
      </c>
      <c r="AL936">
        <v>2</v>
      </c>
      <c r="AM936">
        <v>1</v>
      </c>
      <c r="AN936">
        <v>115.19</v>
      </c>
      <c r="AQ936" t="s">
        <v>6288</v>
      </c>
      <c r="AR936" t="s">
        <v>6293</v>
      </c>
      <c r="AS936" t="s">
        <v>6299</v>
      </c>
      <c r="AT936">
        <v>23936</v>
      </c>
      <c r="AX936" t="s">
        <v>188</v>
      </c>
      <c r="BA936" t="s">
        <v>6515</v>
      </c>
      <c r="BD936" t="s">
        <v>6694</v>
      </c>
    </row>
    <row r="937" spans="1:57">
      <c r="A937" s="1">
        <f>HYPERLINK("https://lsnyc.legalserver.org/matter/dynamic-profile/view/1913396","19-1913396")</f>
        <v>0</v>
      </c>
      <c r="B937" t="s">
        <v>60</v>
      </c>
      <c r="C937" t="s">
        <v>203</v>
      </c>
      <c r="D937" t="s">
        <v>214</v>
      </c>
      <c r="E937" t="s">
        <v>316</v>
      </c>
      <c r="G937" t="s">
        <v>1288</v>
      </c>
      <c r="H937" t="s">
        <v>2008</v>
      </c>
      <c r="J937" t="s">
        <v>2929</v>
      </c>
      <c r="K937">
        <v>40</v>
      </c>
      <c r="L937" t="s">
        <v>3341</v>
      </c>
      <c r="M937" t="s">
        <v>3379</v>
      </c>
      <c r="N937">
        <v>11373</v>
      </c>
      <c r="O937" t="s">
        <v>3380</v>
      </c>
      <c r="P937" t="s">
        <v>3381</v>
      </c>
      <c r="Q937" t="s">
        <v>3384</v>
      </c>
      <c r="R937" t="s">
        <v>4139</v>
      </c>
      <c r="S937">
        <v>18</v>
      </c>
      <c r="T937" t="s">
        <v>4196</v>
      </c>
      <c r="U937" t="s">
        <v>4224</v>
      </c>
      <c r="W937" t="s">
        <v>4246</v>
      </c>
      <c r="X937" t="s">
        <v>3382</v>
      </c>
      <c r="Y937" t="s">
        <v>3382</v>
      </c>
      <c r="AA937" t="s">
        <v>4256</v>
      </c>
      <c r="AC937">
        <v>0</v>
      </c>
      <c r="AD937">
        <v>1985</v>
      </c>
      <c r="AE937">
        <v>1.03</v>
      </c>
      <c r="AG937" t="s">
        <v>4403</v>
      </c>
      <c r="AI937" t="s">
        <v>6204</v>
      </c>
      <c r="AJ937">
        <v>7</v>
      </c>
      <c r="AL937">
        <v>2</v>
      </c>
      <c r="AM937">
        <v>0</v>
      </c>
      <c r="AN937">
        <v>251.92</v>
      </c>
      <c r="AR937" t="s">
        <v>5312</v>
      </c>
      <c r="AS937" t="s">
        <v>6299</v>
      </c>
      <c r="AT937">
        <v>42600</v>
      </c>
      <c r="AX937" t="s">
        <v>6441</v>
      </c>
      <c r="BA937" t="s">
        <v>6477</v>
      </c>
      <c r="BD937" t="s">
        <v>316</v>
      </c>
      <c r="BE937" t="s">
        <v>6702</v>
      </c>
    </row>
    <row r="938" spans="1:57">
      <c r="A938" s="1">
        <f>HYPERLINK("https://lsnyc.legalserver.org/matter/dynamic-profile/view/1846905","17-1846905")</f>
        <v>0</v>
      </c>
      <c r="B938" t="s">
        <v>60</v>
      </c>
      <c r="C938" t="s">
        <v>203</v>
      </c>
      <c r="D938" t="s">
        <v>214</v>
      </c>
      <c r="E938" t="s">
        <v>489</v>
      </c>
      <c r="G938" t="s">
        <v>611</v>
      </c>
      <c r="H938" t="s">
        <v>2009</v>
      </c>
      <c r="J938" t="s">
        <v>2930</v>
      </c>
      <c r="K938" t="s">
        <v>3011</v>
      </c>
      <c r="L938" t="s">
        <v>3352</v>
      </c>
      <c r="M938" t="s">
        <v>3379</v>
      </c>
      <c r="N938">
        <v>11372</v>
      </c>
      <c r="O938" t="s">
        <v>3381</v>
      </c>
      <c r="P938" t="s">
        <v>3381</v>
      </c>
      <c r="Q938" t="s">
        <v>3383</v>
      </c>
      <c r="R938" t="s">
        <v>4140</v>
      </c>
      <c r="S938">
        <v>20</v>
      </c>
      <c r="T938" t="s">
        <v>4196</v>
      </c>
      <c r="U938" t="s">
        <v>4223</v>
      </c>
      <c r="W938" t="s">
        <v>4245</v>
      </c>
      <c r="X938" t="s">
        <v>3382</v>
      </c>
      <c r="AA938" t="s">
        <v>4256</v>
      </c>
      <c r="AC938">
        <v>842.76</v>
      </c>
      <c r="AD938">
        <v>842.76</v>
      </c>
      <c r="AE938">
        <v>28.75</v>
      </c>
      <c r="AG938" t="s">
        <v>5171</v>
      </c>
      <c r="AI938" t="s">
        <v>6205</v>
      </c>
      <c r="AJ938">
        <v>36</v>
      </c>
      <c r="AK938" t="s">
        <v>6267</v>
      </c>
      <c r="AL938">
        <v>2</v>
      </c>
      <c r="AM938">
        <v>0</v>
      </c>
      <c r="AN938">
        <v>0</v>
      </c>
      <c r="AQ938" t="s">
        <v>6287</v>
      </c>
      <c r="AR938" t="s">
        <v>5312</v>
      </c>
      <c r="AT938">
        <v>0</v>
      </c>
      <c r="AX938" t="s">
        <v>196</v>
      </c>
      <c r="BA938" t="s">
        <v>6479</v>
      </c>
      <c r="BD938" t="s">
        <v>6695</v>
      </c>
    </row>
    <row r="939" spans="1:57">
      <c r="A939" s="1">
        <f>HYPERLINK("https://lsnyc.legalserver.org/matter/dynamic-profile/view/0776330","15-0776330")</f>
        <v>0</v>
      </c>
      <c r="B939" t="s">
        <v>60</v>
      </c>
      <c r="C939" t="s">
        <v>203</v>
      </c>
      <c r="D939" t="s">
        <v>214</v>
      </c>
      <c r="E939" t="s">
        <v>559</v>
      </c>
      <c r="G939" t="s">
        <v>1289</v>
      </c>
      <c r="H939" t="s">
        <v>2010</v>
      </c>
      <c r="J939" t="s">
        <v>2931</v>
      </c>
      <c r="K939" t="s">
        <v>3317</v>
      </c>
      <c r="L939" t="s">
        <v>3343</v>
      </c>
      <c r="M939" t="s">
        <v>3379</v>
      </c>
      <c r="N939">
        <v>11368</v>
      </c>
      <c r="O939" t="s">
        <v>3381</v>
      </c>
      <c r="P939" t="s">
        <v>3381</v>
      </c>
      <c r="S939">
        <v>8</v>
      </c>
      <c r="T939" t="s">
        <v>4220</v>
      </c>
      <c r="U939" t="s">
        <v>4226</v>
      </c>
      <c r="W939" t="s">
        <v>4245</v>
      </c>
      <c r="X939" t="s">
        <v>3382</v>
      </c>
      <c r="AA939" t="s">
        <v>4256</v>
      </c>
      <c r="AC939">
        <v>1275</v>
      </c>
      <c r="AD939">
        <v>1275</v>
      </c>
      <c r="AE939">
        <v>0.1</v>
      </c>
      <c r="AG939" t="s">
        <v>5172</v>
      </c>
      <c r="AH939" t="s">
        <v>5369</v>
      </c>
      <c r="AI939" t="s">
        <v>6206</v>
      </c>
      <c r="AJ939">
        <v>0</v>
      </c>
      <c r="AL939">
        <v>1</v>
      </c>
      <c r="AM939">
        <v>3</v>
      </c>
      <c r="AN939">
        <v>24.45</v>
      </c>
      <c r="AS939" t="s">
        <v>6298</v>
      </c>
      <c r="AT939">
        <v>5928</v>
      </c>
      <c r="AX939" t="s">
        <v>203</v>
      </c>
      <c r="BA939" t="s">
        <v>6599</v>
      </c>
      <c r="BD939" t="s">
        <v>6696</v>
      </c>
    </row>
    <row r="940" spans="1:57">
      <c r="A940" s="1">
        <f>HYPERLINK("https://lsnyc.legalserver.org/matter/dynamic-profile/view/0776328","15-0776328")</f>
        <v>0</v>
      </c>
      <c r="B940" t="s">
        <v>60</v>
      </c>
      <c r="C940" t="s">
        <v>203</v>
      </c>
      <c r="D940" t="s">
        <v>214</v>
      </c>
      <c r="E940" t="s">
        <v>559</v>
      </c>
      <c r="G940" t="s">
        <v>1289</v>
      </c>
      <c r="H940" t="s">
        <v>2010</v>
      </c>
      <c r="J940" t="s">
        <v>2931</v>
      </c>
      <c r="K940" t="s">
        <v>3317</v>
      </c>
      <c r="L940" t="s">
        <v>3343</v>
      </c>
      <c r="M940" t="s">
        <v>3379</v>
      </c>
      <c r="N940">
        <v>11368</v>
      </c>
      <c r="O940" t="s">
        <v>3381</v>
      </c>
      <c r="P940" t="s">
        <v>3381</v>
      </c>
      <c r="Q940" t="s">
        <v>3400</v>
      </c>
      <c r="R940" t="s">
        <v>4141</v>
      </c>
      <c r="S940">
        <v>8</v>
      </c>
      <c r="T940" t="s">
        <v>4197</v>
      </c>
      <c r="W940" t="s">
        <v>4245</v>
      </c>
      <c r="X940" t="s">
        <v>3382</v>
      </c>
      <c r="AA940" t="s">
        <v>4256</v>
      </c>
      <c r="AC940">
        <v>1275</v>
      </c>
      <c r="AD940">
        <v>1275</v>
      </c>
      <c r="AE940">
        <v>34.75</v>
      </c>
      <c r="AG940" t="s">
        <v>5172</v>
      </c>
      <c r="AH940" t="s">
        <v>5369</v>
      </c>
      <c r="AI940" t="s">
        <v>6206</v>
      </c>
      <c r="AJ940">
        <v>0</v>
      </c>
      <c r="AK940" t="s">
        <v>6267</v>
      </c>
      <c r="AL940">
        <v>1</v>
      </c>
      <c r="AM940">
        <v>3</v>
      </c>
      <c r="AN940">
        <v>24.45</v>
      </c>
      <c r="AR940" t="s">
        <v>5312</v>
      </c>
      <c r="AS940" t="s">
        <v>6298</v>
      </c>
      <c r="AT940">
        <v>5928</v>
      </c>
      <c r="AX940" t="s">
        <v>203</v>
      </c>
      <c r="BA940" t="s">
        <v>6599</v>
      </c>
      <c r="BD940" t="s">
        <v>6696</v>
      </c>
    </row>
    <row r="941" spans="1:57">
      <c r="A941" s="1">
        <f>HYPERLINK("https://lsnyc.legalserver.org/matter/dynamic-profile/view/1914191","19-1914191")</f>
        <v>0</v>
      </c>
      <c r="B941" t="s">
        <v>60</v>
      </c>
      <c r="C941" t="s">
        <v>203</v>
      </c>
      <c r="D941" t="s">
        <v>214</v>
      </c>
      <c r="E941" t="s">
        <v>219</v>
      </c>
      <c r="G941" t="s">
        <v>1290</v>
      </c>
      <c r="H941" t="s">
        <v>2011</v>
      </c>
      <c r="J941" t="s">
        <v>2932</v>
      </c>
      <c r="K941" t="s">
        <v>3047</v>
      </c>
      <c r="L941" t="s">
        <v>3343</v>
      </c>
      <c r="M941" t="s">
        <v>3379</v>
      </c>
      <c r="N941">
        <v>11368</v>
      </c>
      <c r="O941" t="s">
        <v>3380</v>
      </c>
      <c r="P941" t="s">
        <v>3381</v>
      </c>
      <c r="Q941" t="s">
        <v>3383</v>
      </c>
      <c r="R941" t="s">
        <v>4142</v>
      </c>
      <c r="S941">
        <v>3</v>
      </c>
      <c r="T941" t="s">
        <v>4197</v>
      </c>
      <c r="U941" t="s">
        <v>4224</v>
      </c>
      <c r="W941" t="s">
        <v>4245</v>
      </c>
      <c r="X941" t="s">
        <v>3382</v>
      </c>
      <c r="Y941" t="s">
        <v>3382</v>
      </c>
      <c r="AA941" t="s">
        <v>4256</v>
      </c>
      <c r="AC941">
        <v>0</v>
      </c>
      <c r="AD941">
        <v>1860</v>
      </c>
      <c r="AE941">
        <v>1.33</v>
      </c>
      <c r="AG941" t="s">
        <v>5173</v>
      </c>
      <c r="AI941" t="s">
        <v>6207</v>
      </c>
      <c r="AJ941">
        <v>3</v>
      </c>
      <c r="AK941" t="s">
        <v>6273</v>
      </c>
      <c r="AL941">
        <v>2</v>
      </c>
      <c r="AM941">
        <v>2</v>
      </c>
      <c r="AN941">
        <v>181.75</v>
      </c>
      <c r="AR941" t="s">
        <v>6290</v>
      </c>
      <c r="AS941" t="s">
        <v>6298</v>
      </c>
      <c r="AT941">
        <v>46800</v>
      </c>
      <c r="AX941" t="s">
        <v>6441</v>
      </c>
      <c r="BA941" t="s">
        <v>6477</v>
      </c>
      <c r="BD941" t="s">
        <v>230</v>
      </c>
      <c r="BE941" t="s">
        <v>6702</v>
      </c>
    </row>
    <row r="942" spans="1:57">
      <c r="A942" s="1">
        <f>HYPERLINK("https://lsnyc.legalserver.org/matter/dynamic-profile/view/0776323","15-0776323")</f>
        <v>0</v>
      </c>
      <c r="B942" t="s">
        <v>60</v>
      </c>
      <c r="C942" t="s">
        <v>203</v>
      </c>
      <c r="D942" t="s">
        <v>214</v>
      </c>
      <c r="E942" t="s">
        <v>559</v>
      </c>
      <c r="G942" t="s">
        <v>1289</v>
      </c>
      <c r="H942" t="s">
        <v>2010</v>
      </c>
      <c r="J942" t="s">
        <v>2931</v>
      </c>
      <c r="K942" t="s">
        <v>3317</v>
      </c>
      <c r="L942" t="s">
        <v>3343</v>
      </c>
      <c r="M942" t="s">
        <v>3379</v>
      </c>
      <c r="N942">
        <v>11368</v>
      </c>
      <c r="O942" t="s">
        <v>3380</v>
      </c>
      <c r="P942" t="s">
        <v>3381</v>
      </c>
      <c r="R942" t="s">
        <v>4143</v>
      </c>
      <c r="S942">
        <v>8</v>
      </c>
      <c r="T942" t="s">
        <v>4196</v>
      </c>
      <c r="U942" t="s">
        <v>4223</v>
      </c>
      <c r="W942" t="s">
        <v>4245</v>
      </c>
      <c r="X942" t="s">
        <v>3382</v>
      </c>
      <c r="AA942" t="s">
        <v>4256</v>
      </c>
      <c r="AC942">
        <v>0</v>
      </c>
      <c r="AD942">
        <v>1275</v>
      </c>
      <c r="AE942">
        <v>12.7</v>
      </c>
      <c r="AG942" t="s">
        <v>5172</v>
      </c>
      <c r="AH942" t="s">
        <v>5370</v>
      </c>
      <c r="AI942" t="s">
        <v>6206</v>
      </c>
      <c r="AJ942">
        <v>0</v>
      </c>
      <c r="AK942" t="s">
        <v>6267</v>
      </c>
      <c r="AL942">
        <v>1</v>
      </c>
      <c r="AM942">
        <v>3</v>
      </c>
      <c r="AN942">
        <v>24.45</v>
      </c>
      <c r="AS942" t="s">
        <v>6298</v>
      </c>
      <c r="AT942">
        <v>5928</v>
      </c>
      <c r="AX942" t="s">
        <v>203</v>
      </c>
      <c r="BA942" t="s">
        <v>6599</v>
      </c>
      <c r="BD942" t="s">
        <v>6696</v>
      </c>
      <c r="BE942" t="s">
        <v>6702</v>
      </c>
    </row>
    <row r="943" spans="1:57">
      <c r="A943" s="1">
        <f>HYPERLINK("https://lsnyc.legalserver.org/matter/dynamic-profile/view/1881358","18-1881358")</f>
        <v>0</v>
      </c>
      <c r="B943" t="s">
        <v>60</v>
      </c>
      <c r="C943" t="s">
        <v>203</v>
      </c>
      <c r="D943" t="s">
        <v>214</v>
      </c>
      <c r="E943" t="s">
        <v>439</v>
      </c>
      <c r="G943" t="s">
        <v>1291</v>
      </c>
      <c r="H943" t="s">
        <v>2012</v>
      </c>
      <c r="J943" t="s">
        <v>2933</v>
      </c>
      <c r="K943" t="s">
        <v>3243</v>
      </c>
      <c r="L943" t="s">
        <v>3343</v>
      </c>
      <c r="M943" t="s">
        <v>3379</v>
      </c>
      <c r="N943">
        <v>11368</v>
      </c>
      <c r="O943" t="s">
        <v>3380</v>
      </c>
      <c r="P943" t="s">
        <v>3380</v>
      </c>
      <c r="Q943" t="s">
        <v>3383</v>
      </c>
      <c r="R943" t="s">
        <v>4144</v>
      </c>
      <c r="S943">
        <v>1</v>
      </c>
      <c r="T943" t="s">
        <v>4196</v>
      </c>
      <c r="U943" t="s">
        <v>4225</v>
      </c>
      <c r="W943" t="s">
        <v>4245</v>
      </c>
      <c r="X943" t="s">
        <v>3382</v>
      </c>
      <c r="AA943" t="s">
        <v>4256</v>
      </c>
      <c r="AC943">
        <v>1600</v>
      </c>
      <c r="AD943">
        <v>1600</v>
      </c>
      <c r="AE943">
        <v>0.75</v>
      </c>
      <c r="AG943" t="s">
        <v>5174</v>
      </c>
      <c r="AI943" t="s">
        <v>6208</v>
      </c>
      <c r="AJ943">
        <v>2</v>
      </c>
      <c r="AL943">
        <v>2</v>
      </c>
      <c r="AM943">
        <v>0</v>
      </c>
      <c r="AN943">
        <v>113.73</v>
      </c>
      <c r="AR943" t="s">
        <v>5312</v>
      </c>
      <c r="AS943" t="s">
        <v>6298</v>
      </c>
      <c r="AT943">
        <v>18720</v>
      </c>
      <c r="AX943" t="s">
        <v>196</v>
      </c>
      <c r="BA943" t="s">
        <v>6477</v>
      </c>
      <c r="BD943" t="s">
        <v>439</v>
      </c>
    </row>
    <row r="944" spans="1:57">
      <c r="A944" s="1">
        <f>HYPERLINK("https://lsnyc.legalserver.org/matter/dynamic-profile/view/1881367","18-1881367")</f>
        <v>0</v>
      </c>
      <c r="B944" t="s">
        <v>60</v>
      </c>
      <c r="C944" t="s">
        <v>203</v>
      </c>
      <c r="D944" t="s">
        <v>214</v>
      </c>
      <c r="E944" t="s">
        <v>439</v>
      </c>
      <c r="G944" t="s">
        <v>1292</v>
      </c>
      <c r="H944" t="s">
        <v>2013</v>
      </c>
      <c r="J944" t="s">
        <v>2934</v>
      </c>
      <c r="K944" t="s">
        <v>3318</v>
      </c>
      <c r="L944" t="s">
        <v>3355</v>
      </c>
      <c r="M944" t="s">
        <v>3379</v>
      </c>
      <c r="N944">
        <v>11367</v>
      </c>
      <c r="O944" t="s">
        <v>3380</v>
      </c>
      <c r="P944" t="s">
        <v>3380</v>
      </c>
      <c r="Q944" t="s">
        <v>3383</v>
      </c>
      <c r="R944" t="s">
        <v>4145</v>
      </c>
      <c r="S944">
        <v>3</v>
      </c>
      <c r="T944" t="s">
        <v>4196</v>
      </c>
      <c r="U944" t="s">
        <v>4226</v>
      </c>
      <c r="W944" t="s">
        <v>4245</v>
      </c>
      <c r="X944" t="s">
        <v>3382</v>
      </c>
      <c r="Y944" t="s">
        <v>4250</v>
      </c>
      <c r="AA944" t="s">
        <v>4256</v>
      </c>
      <c r="AC944">
        <v>1236</v>
      </c>
      <c r="AD944">
        <v>1236</v>
      </c>
      <c r="AE944">
        <v>1.65</v>
      </c>
      <c r="AG944" t="s">
        <v>5175</v>
      </c>
      <c r="AH944" t="s">
        <v>5371</v>
      </c>
      <c r="AI944" t="s">
        <v>6209</v>
      </c>
      <c r="AJ944">
        <v>2</v>
      </c>
      <c r="AK944" t="s">
        <v>6267</v>
      </c>
      <c r="AL944">
        <v>2</v>
      </c>
      <c r="AM944">
        <v>3</v>
      </c>
      <c r="AN944">
        <v>63.88</v>
      </c>
      <c r="AQ944" t="s">
        <v>6286</v>
      </c>
      <c r="AR944" t="s">
        <v>5312</v>
      </c>
      <c r="AT944">
        <v>18793</v>
      </c>
      <c r="AX944" t="s">
        <v>196</v>
      </c>
      <c r="BA944" t="s">
        <v>6477</v>
      </c>
      <c r="BD944" t="s">
        <v>337</v>
      </c>
    </row>
    <row r="945" spans="1:57">
      <c r="A945" s="1">
        <f>HYPERLINK("https://lsnyc.legalserver.org/matter/dynamic-profile/view/1848018","17-1848018")</f>
        <v>0</v>
      </c>
      <c r="B945" t="s">
        <v>60</v>
      </c>
      <c r="C945" t="s">
        <v>203</v>
      </c>
      <c r="D945" t="s">
        <v>214</v>
      </c>
      <c r="E945" t="s">
        <v>560</v>
      </c>
      <c r="G945" t="s">
        <v>1203</v>
      </c>
      <c r="H945" t="s">
        <v>2014</v>
      </c>
      <c r="J945" t="s">
        <v>2935</v>
      </c>
      <c r="K945" t="s">
        <v>3076</v>
      </c>
      <c r="L945" t="s">
        <v>3353</v>
      </c>
      <c r="M945" t="s">
        <v>3379</v>
      </c>
      <c r="N945">
        <v>11365</v>
      </c>
      <c r="O945" t="s">
        <v>3380</v>
      </c>
      <c r="P945" t="s">
        <v>3381</v>
      </c>
      <c r="Q945" t="s">
        <v>3383</v>
      </c>
      <c r="R945" t="s">
        <v>4146</v>
      </c>
      <c r="S945">
        <v>22</v>
      </c>
      <c r="T945" t="s">
        <v>4196</v>
      </c>
      <c r="U945" t="s">
        <v>4225</v>
      </c>
      <c r="W945" t="s">
        <v>4245</v>
      </c>
      <c r="X945" t="s">
        <v>3382</v>
      </c>
      <c r="AA945" t="s">
        <v>4256</v>
      </c>
      <c r="AC945">
        <v>1100</v>
      </c>
      <c r="AD945">
        <v>1100</v>
      </c>
      <c r="AE945">
        <v>14.9</v>
      </c>
      <c r="AG945" t="s">
        <v>5176</v>
      </c>
      <c r="AI945" t="s">
        <v>6210</v>
      </c>
      <c r="AJ945">
        <v>9</v>
      </c>
      <c r="AK945" t="s">
        <v>6278</v>
      </c>
      <c r="AL945">
        <v>4</v>
      </c>
      <c r="AM945">
        <v>0</v>
      </c>
      <c r="AN945">
        <v>162.6</v>
      </c>
      <c r="AQ945" t="s">
        <v>6288</v>
      </c>
      <c r="AR945" t="s">
        <v>5312</v>
      </c>
      <c r="AT945">
        <v>40000</v>
      </c>
      <c r="AX945" t="s">
        <v>196</v>
      </c>
      <c r="BA945" t="s">
        <v>6477</v>
      </c>
      <c r="BD945" t="s">
        <v>6697</v>
      </c>
    </row>
    <row r="946" spans="1:57">
      <c r="A946" s="1">
        <f>HYPERLINK("https://lsnyc.legalserver.org/matter/dynamic-profile/view/1833346","17-1833346")</f>
        <v>0</v>
      </c>
      <c r="B946" t="s">
        <v>60</v>
      </c>
      <c r="C946" t="s">
        <v>203</v>
      </c>
      <c r="D946" t="s">
        <v>214</v>
      </c>
      <c r="E946" t="s">
        <v>561</v>
      </c>
      <c r="G946" t="s">
        <v>614</v>
      </c>
      <c r="H946" t="s">
        <v>1325</v>
      </c>
      <c r="J946" t="s">
        <v>2936</v>
      </c>
      <c r="K946" t="s">
        <v>3277</v>
      </c>
      <c r="L946" t="s">
        <v>3354</v>
      </c>
      <c r="M946" t="s">
        <v>3379</v>
      </c>
      <c r="N946">
        <v>11356</v>
      </c>
      <c r="O946" t="s">
        <v>3380</v>
      </c>
      <c r="P946" t="s">
        <v>3381</v>
      </c>
      <c r="Q946" t="s">
        <v>3387</v>
      </c>
      <c r="R946" t="s">
        <v>4147</v>
      </c>
      <c r="S946">
        <v>6</v>
      </c>
      <c r="T946" t="s">
        <v>4197</v>
      </c>
      <c r="U946" t="s">
        <v>4223</v>
      </c>
      <c r="W946" t="s">
        <v>4245</v>
      </c>
      <c r="X946" t="s">
        <v>3382</v>
      </c>
      <c r="Y946" t="s">
        <v>3382</v>
      </c>
      <c r="AA946" t="s">
        <v>4256</v>
      </c>
      <c r="AC946">
        <v>900</v>
      </c>
      <c r="AD946">
        <v>900</v>
      </c>
      <c r="AE946">
        <v>13.1</v>
      </c>
      <c r="AG946" t="s">
        <v>5177</v>
      </c>
      <c r="AI946" t="s">
        <v>5448</v>
      </c>
      <c r="AJ946">
        <v>2</v>
      </c>
      <c r="AK946" t="s">
        <v>6274</v>
      </c>
      <c r="AL946">
        <v>1</v>
      </c>
      <c r="AM946">
        <v>3</v>
      </c>
      <c r="AN946">
        <v>20.19</v>
      </c>
      <c r="AQ946" t="s">
        <v>6286</v>
      </c>
      <c r="AR946" t="s">
        <v>5312</v>
      </c>
      <c r="AT946">
        <v>4966</v>
      </c>
      <c r="AV946" t="s">
        <v>3382</v>
      </c>
      <c r="AX946" t="s">
        <v>196</v>
      </c>
      <c r="BA946" t="s">
        <v>6483</v>
      </c>
      <c r="BD946" t="s">
        <v>238</v>
      </c>
      <c r="BE946" t="s">
        <v>6702</v>
      </c>
    </row>
    <row r="947" spans="1:57">
      <c r="A947" s="1">
        <f>HYPERLINK("https://lsnyc.legalserver.org/matter/dynamic-profile/view/1845776","17-1845776")</f>
        <v>0</v>
      </c>
      <c r="B947" t="s">
        <v>60</v>
      </c>
      <c r="C947" t="s">
        <v>203</v>
      </c>
      <c r="D947" t="s">
        <v>214</v>
      </c>
      <c r="E947" t="s">
        <v>419</v>
      </c>
      <c r="G947" t="s">
        <v>666</v>
      </c>
      <c r="H947" t="s">
        <v>1833</v>
      </c>
      <c r="J947" t="s">
        <v>2700</v>
      </c>
      <c r="K947" t="s">
        <v>3101</v>
      </c>
      <c r="L947" t="s">
        <v>3354</v>
      </c>
      <c r="M947" t="s">
        <v>3379</v>
      </c>
      <c r="N947">
        <v>11356</v>
      </c>
      <c r="O947" t="s">
        <v>3380</v>
      </c>
      <c r="P947" t="s">
        <v>3381</v>
      </c>
      <c r="R947" t="s">
        <v>4148</v>
      </c>
      <c r="S947">
        <v>7</v>
      </c>
      <c r="T947" t="s">
        <v>4197</v>
      </c>
      <c r="U947" t="s">
        <v>4224</v>
      </c>
      <c r="W947" t="s">
        <v>4245</v>
      </c>
      <c r="X947" t="s">
        <v>3382</v>
      </c>
      <c r="Y947" t="s">
        <v>3382</v>
      </c>
      <c r="AA947" t="s">
        <v>4256</v>
      </c>
      <c r="AC947">
        <v>1200</v>
      </c>
      <c r="AD947">
        <v>1200</v>
      </c>
      <c r="AE947">
        <v>3.25</v>
      </c>
      <c r="AG947" t="s">
        <v>4946</v>
      </c>
      <c r="AH947" t="s">
        <v>3406</v>
      </c>
      <c r="AI947" t="s">
        <v>5980</v>
      </c>
      <c r="AJ947">
        <v>5</v>
      </c>
      <c r="AL947">
        <v>2</v>
      </c>
      <c r="AM947">
        <v>2</v>
      </c>
      <c r="AN947">
        <v>84.55</v>
      </c>
      <c r="AQ947" t="s">
        <v>6288</v>
      </c>
      <c r="AR947" t="s">
        <v>5312</v>
      </c>
      <c r="AS947" t="s">
        <v>6299</v>
      </c>
      <c r="AT947">
        <v>20800</v>
      </c>
      <c r="AU947" t="s">
        <v>3406</v>
      </c>
      <c r="AV947" t="s">
        <v>3382</v>
      </c>
      <c r="AX947" t="s">
        <v>6442</v>
      </c>
      <c r="BA947" t="s">
        <v>6477</v>
      </c>
      <c r="BD947" t="s">
        <v>6698</v>
      </c>
    </row>
    <row r="948" spans="1:57">
      <c r="A948" s="1">
        <f>HYPERLINK("https://lsnyc.legalserver.org/matter/dynamic-profile/view/1906439","19-1906439")</f>
        <v>0</v>
      </c>
      <c r="B948" t="s">
        <v>60</v>
      </c>
      <c r="C948" t="s">
        <v>203</v>
      </c>
      <c r="D948" t="s">
        <v>214</v>
      </c>
      <c r="E948" t="s">
        <v>310</v>
      </c>
      <c r="G948" t="s">
        <v>712</v>
      </c>
      <c r="H948" t="s">
        <v>1554</v>
      </c>
      <c r="L948" t="s">
        <v>3354</v>
      </c>
      <c r="M948" t="s">
        <v>3379</v>
      </c>
      <c r="N948">
        <v>11356</v>
      </c>
      <c r="O948" t="s">
        <v>3380</v>
      </c>
      <c r="P948" t="s">
        <v>3381</v>
      </c>
      <c r="Q948" t="s">
        <v>3383</v>
      </c>
      <c r="R948" t="s">
        <v>4149</v>
      </c>
      <c r="S948">
        <v>23</v>
      </c>
      <c r="T948" t="s">
        <v>4197</v>
      </c>
      <c r="U948" t="s">
        <v>4226</v>
      </c>
      <c r="W948" t="s">
        <v>4245</v>
      </c>
      <c r="X948" t="s">
        <v>3382</v>
      </c>
      <c r="AA948" t="s">
        <v>4256</v>
      </c>
      <c r="AC948">
        <v>0</v>
      </c>
      <c r="AD948">
        <v>1450</v>
      </c>
      <c r="AE948">
        <v>1</v>
      </c>
      <c r="AG948" t="s">
        <v>5178</v>
      </c>
      <c r="AI948" t="s">
        <v>6211</v>
      </c>
      <c r="AJ948">
        <v>2</v>
      </c>
      <c r="AK948" t="s">
        <v>6274</v>
      </c>
      <c r="AL948">
        <v>3</v>
      </c>
      <c r="AM948">
        <v>0</v>
      </c>
      <c r="AN948">
        <v>150.89</v>
      </c>
      <c r="AR948" t="s">
        <v>5312</v>
      </c>
      <c r="AS948" t="s">
        <v>6298</v>
      </c>
      <c r="AT948">
        <v>32184</v>
      </c>
      <c r="AX948" t="s">
        <v>196</v>
      </c>
      <c r="BA948" t="s">
        <v>6600</v>
      </c>
      <c r="BD948" t="s">
        <v>310</v>
      </c>
    </row>
    <row r="949" spans="1:57">
      <c r="A949" s="1">
        <f>HYPERLINK("https://lsnyc.legalserver.org/matter/dynamic-profile/view/1913975","19-1913975")</f>
        <v>0</v>
      </c>
      <c r="B949" t="s">
        <v>60</v>
      </c>
      <c r="C949" t="s">
        <v>204</v>
      </c>
      <c r="D949" t="s">
        <v>214</v>
      </c>
      <c r="E949" t="s">
        <v>249</v>
      </c>
      <c r="G949" t="s">
        <v>1293</v>
      </c>
      <c r="H949" t="s">
        <v>1464</v>
      </c>
      <c r="J949" t="s">
        <v>2937</v>
      </c>
      <c r="L949" t="s">
        <v>3358</v>
      </c>
      <c r="M949" t="s">
        <v>3379</v>
      </c>
      <c r="N949">
        <v>11693</v>
      </c>
      <c r="O949" t="s">
        <v>3380</v>
      </c>
      <c r="P949" t="s">
        <v>3381</v>
      </c>
      <c r="Q949" t="s">
        <v>3383</v>
      </c>
      <c r="R949" t="s">
        <v>4150</v>
      </c>
      <c r="S949">
        <v>5</v>
      </c>
      <c r="T949" t="s">
        <v>4197</v>
      </c>
      <c r="U949" t="s">
        <v>4224</v>
      </c>
      <c r="W949" t="s">
        <v>4245</v>
      </c>
      <c r="X949" t="s">
        <v>3382</v>
      </c>
      <c r="Y949" t="s">
        <v>3382</v>
      </c>
      <c r="AA949" t="s">
        <v>4256</v>
      </c>
      <c r="AC949">
        <v>0</v>
      </c>
      <c r="AD949">
        <v>1950</v>
      </c>
      <c r="AE949">
        <v>1.33</v>
      </c>
      <c r="AG949" t="s">
        <v>5179</v>
      </c>
      <c r="AH949" t="s">
        <v>5372</v>
      </c>
      <c r="AI949" t="s">
        <v>6212</v>
      </c>
      <c r="AJ949">
        <v>1</v>
      </c>
      <c r="AK949" t="s">
        <v>6266</v>
      </c>
      <c r="AL949">
        <v>1</v>
      </c>
      <c r="AM949">
        <v>1</v>
      </c>
      <c r="AN949">
        <v>49.67</v>
      </c>
      <c r="AR949" t="s">
        <v>6289</v>
      </c>
      <c r="AS949" t="s">
        <v>6298</v>
      </c>
      <c r="AT949">
        <v>8400</v>
      </c>
      <c r="AX949" t="s">
        <v>6441</v>
      </c>
      <c r="BA949" t="s">
        <v>6499</v>
      </c>
      <c r="BD949" t="s">
        <v>249</v>
      </c>
      <c r="BE949" t="s">
        <v>6702</v>
      </c>
    </row>
    <row r="950" spans="1:57">
      <c r="A950" s="1">
        <f>HYPERLINK("https://lsnyc.legalserver.org/matter/dynamic-profile/view/1892682","19-1892682")</f>
        <v>0</v>
      </c>
      <c r="B950" t="s">
        <v>60</v>
      </c>
      <c r="C950" t="s">
        <v>204</v>
      </c>
      <c r="D950" t="s">
        <v>214</v>
      </c>
      <c r="E950" t="s">
        <v>345</v>
      </c>
      <c r="G950" t="s">
        <v>1094</v>
      </c>
      <c r="H950" t="s">
        <v>1541</v>
      </c>
      <c r="J950" t="s">
        <v>2938</v>
      </c>
      <c r="K950" t="s">
        <v>3243</v>
      </c>
      <c r="L950" t="s">
        <v>3377</v>
      </c>
      <c r="M950" t="s">
        <v>3379</v>
      </c>
      <c r="N950">
        <v>11422</v>
      </c>
      <c r="O950" t="s">
        <v>3380</v>
      </c>
      <c r="P950" t="s">
        <v>3380</v>
      </c>
      <c r="Q950" t="s">
        <v>3383</v>
      </c>
      <c r="R950" t="s">
        <v>4151</v>
      </c>
      <c r="S950">
        <v>9</v>
      </c>
      <c r="T950" t="s">
        <v>4197</v>
      </c>
      <c r="U950" t="s">
        <v>4226</v>
      </c>
      <c r="W950" t="s">
        <v>4245</v>
      </c>
      <c r="X950" t="s">
        <v>3382</v>
      </c>
      <c r="Y950" t="s">
        <v>3382</v>
      </c>
      <c r="AA950" t="s">
        <v>4256</v>
      </c>
      <c r="AC950">
        <v>0</v>
      </c>
      <c r="AD950">
        <v>1717.33</v>
      </c>
      <c r="AE950">
        <v>1.83</v>
      </c>
      <c r="AG950" t="s">
        <v>5180</v>
      </c>
      <c r="AH950" t="s">
        <v>5373</v>
      </c>
      <c r="AI950" t="s">
        <v>6213</v>
      </c>
      <c r="AJ950">
        <v>0</v>
      </c>
      <c r="AK950" t="s">
        <v>6266</v>
      </c>
      <c r="AL950">
        <v>2</v>
      </c>
      <c r="AM950">
        <v>4</v>
      </c>
      <c r="AN950">
        <v>79.68000000000001</v>
      </c>
      <c r="AQ950" t="s">
        <v>6286</v>
      </c>
      <c r="AR950" t="s">
        <v>6290</v>
      </c>
      <c r="AS950" t="s">
        <v>6298</v>
      </c>
      <c r="AT950">
        <v>27560</v>
      </c>
      <c r="AX950" t="s">
        <v>184</v>
      </c>
      <c r="BA950" t="s">
        <v>6575</v>
      </c>
      <c r="BD950" t="s">
        <v>6640</v>
      </c>
    </row>
    <row r="951" spans="1:57">
      <c r="A951" s="1">
        <f>HYPERLINK("https://lsnyc.legalserver.org/matter/dynamic-profile/view/1910756","19-1910756")</f>
        <v>0</v>
      </c>
      <c r="B951" t="s">
        <v>60</v>
      </c>
      <c r="C951" t="s">
        <v>204</v>
      </c>
      <c r="D951" t="s">
        <v>214</v>
      </c>
      <c r="E951" t="s">
        <v>284</v>
      </c>
      <c r="G951" t="s">
        <v>702</v>
      </c>
      <c r="H951" t="s">
        <v>2015</v>
      </c>
      <c r="J951" t="s">
        <v>2939</v>
      </c>
      <c r="L951" t="s">
        <v>3372</v>
      </c>
      <c r="M951" t="s">
        <v>3379</v>
      </c>
      <c r="N951">
        <v>11420</v>
      </c>
      <c r="O951" t="s">
        <v>3380</v>
      </c>
      <c r="P951" t="s">
        <v>3381</v>
      </c>
      <c r="Q951" t="s">
        <v>3383</v>
      </c>
      <c r="R951" t="s">
        <v>4152</v>
      </c>
      <c r="S951">
        <v>3</v>
      </c>
      <c r="T951" t="s">
        <v>4197</v>
      </c>
      <c r="U951" t="s">
        <v>4226</v>
      </c>
      <c r="W951" t="s">
        <v>4245</v>
      </c>
      <c r="X951" t="s">
        <v>3382</v>
      </c>
      <c r="Y951" t="s">
        <v>3382</v>
      </c>
      <c r="AA951" t="s">
        <v>4256</v>
      </c>
      <c r="AC951">
        <v>0</v>
      </c>
      <c r="AD951">
        <v>1150</v>
      </c>
      <c r="AE951">
        <v>1.92</v>
      </c>
      <c r="AG951" t="s">
        <v>5181</v>
      </c>
      <c r="AJ951">
        <v>3</v>
      </c>
      <c r="AK951" t="s">
        <v>6274</v>
      </c>
      <c r="AL951">
        <v>2</v>
      </c>
      <c r="AM951">
        <v>0</v>
      </c>
      <c r="AN951">
        <v>118.27</v>
      </c>
      <c r="AS951" t="s">
        <v>6298</v>
      </c>
      <c r="AT951">
        <v>20000</v>
      </c>
      <c r="AX951" t="s">
        <v>6441</v>
      </c>
      <c r="BA951" t="s">
        <v>6477</v>
      </c>
      <c r="BD951" t="s">
        <v>334</v>
      </c>
      <c r="BE951" t="s">
        <v>6702</v>
      </c>
    </row>
    <row r="952" spans="1:57">
      <c r="A952" s="1">
        <f>HYPERLINK("https://lsnyc.legalserver.org/matter/dynamic-profile/view/1885555","18-1885555")</f>
        <v>0</v>
      </c>
      <c r="B952" t="s">
        <v>60</v>
      </c>
      <c r="C952" t="s">
        <v>204</v>
      </c>
      <c r="D952" t="s">
        <v>214</v>
      </c>
      <c r="E952" t="s">
        <v>364</v>
      </c>
      <c r="G952" t="s">
        <v>1294</v>
      </c>
      <c r="H952" t="s">
        <v>2016</v>
      </c>
      <c r="J952" t="s">
        <v>2940</v>
      </c>
      <c r="K952" t="s">
        <v>3243</v>
      </c>
      <c r="L952" t="s">
        <v>3361</v>
      </c>
      <c r="M952" t="s">
        <v>3379</v>
      </c>
      <c r="N952">
        <v>11419</v>
      </c>
      <c r="O952" t="s">
        <v>3380</v>
      </c>
      <c r="P952" t="s">
        <v>3380</v>
      </c>
      <c r="Q952" t="s">
        <v>3383</v>
      </c>
      <c r="R952" t="s">
        <v>4153</v>
      </c>
      <c r="S952">
        <v>17</v>
      </c>
      <c r="T952" t="s">
        <v>4197</v>
      </c>
      <c r="U952" t="s">
        <v>4224</v>
      </c>
      <c r="W952" t="s">
        <v>4245</v>
      </c>
      <c r="X952" t="s">
        <v>3382</v>
      </c>
      <c r="Y952" t="s">
        <v>3382</v>
      </c>
      <c r="AA952" t="s">
        <v>4256</v>
      </c>
      <c r="AC952">
        <v>0</v>
      </c>
      <c r="AD952">
        <v>1350</v>
      </c>
      <c r="AE952">
        <v>0</v>
      </c>
      <c r="AG952" t="s">
        <v>5182</v>
      </c>
      <c r="AI952" t="s">
        <v>6214</v>
      </c>
      <c r="AJ952">
        <v>0</v>
      </c>
      <c r="AK952" t="s">
        <v>6266</v>
      </c>
      <c r="AL952">
        <v>5</v>
      </c>
      <c r="AM952">
        <v>1</v>
      </c>
      <c r="AN952">
        <v>163.01</v>
      </c>
      <c r="AQ952" t="s">
        <v>6288</v>
      </c>
      <c r="AR952" t="s">
        <v>5312</v>
      </c>
      <c r="AS952" t="s">
        <v>6298</v>
      </c>
      <c r="AT952">
        <v>55000</v>
      </c>
      <c r="AX952" t="s">
        <v>184</v>
      </c>
      <c r="BA952" t="s">
        <v>6477</v>
      </c>
    </row>
    <row r="953" spans="1:57">
      <c r="A953" s="1">
        <f>HYPERLINK("https://lsnyc.legalserver.org/matter/dynamic-profile/view/1898687","19-1898687")</f>
        <v>0</v>
      </c>
      <c r="B953" t="s">
        <v>60</v>
      </c>
      <c r="C953" t="s">
        <v>204</v>
      </c>
      <c r="D953" t="s">
        <v>214</v>
      </c>
      <c r="E953" t="s">
        <v>367</v>
      </c>
      <c r="G953" t="s">
        <v>1295</v>
      </c>
      <c r="H953" t="s">
        <v>2017</v>
      </c>
      <c r="J953" t="s">
        <v>2941</v>
      </c>
      <c r="K953">
        <v>1</v>
      </c>
      <c r="L953" t="s">
        <v>3337</v>
      </c>
      <c r="M953" t="s">
        <v>3379</v>
      </c>
      <c r="N953">
        <v>11417</v>
      </c>
      <c r="O953" t="s">
        <v>3380</v>
      </c>
      <c r="P953" t="s">
        <v>3380</v>
      </c>
      <c r="Q953" t="s">
        <v>3383</v>
      </c>
      <c r="R953" t="s">
        <v>4154</v>
      </c>
      <c r="S953">
        <v>5</v>
      </c>
      <c r="T953" t="s">
        <v>4197</v>
      </c>
      <c r="U953" t="s">
        <v>4225</v>
      </c>
      <c r="W953" t="s">
        <v>4245</v>
      </c>
      <c r="X953" t="s">
        <v>3382</v>
      </c>
      <c r="Y953" t="s">
        <v>3382</v>
      </c>
      <c r="AA953" t="s">
        <v>4256</v>
      </c>
      <c r="AC953">
        <v>0</v>
      </c>
      <c r="AD953">
        <v>2068</v>
      </c>
      <c r="AE953">
        <v>1.53</v>
      </c>
      <c r="AG953" t="s">
        <v>5183</v>
      </c>
      <c r="AI953" t="s">
        <v>6215</v>
      </c>
      <c r="AJ953">
        <v>0</v>
      </c>
      <c r="AK953" t="s">
        <v>6266</v>
      </c>
      <c r="AL953">
        <v>1</v>
      </c>
      <c r="AM953">
        <v>3</v>
      </c>
      <c r="AN953">
        <v>119.07</v>
      </c>
      <c r="AR953" t="s">
        <v>6290</v>
      </c>
      <c r="AS953" t="s">
        <v>6298</v>
      </c>
      <c r="AT953">
        <v>30660</v>
      </c>
      <c r="AX953" t="s">
        <v>184</v>
      </c>
      <c r="BA953" t="s">
        <v>6515</v>
      </c>
      <c r="BD953" t="s">
        <v>6640</v>
      </c>
    </row>
    <row r="954" spans="1:57">
      <c r="A954" s="1">
        <f>HYPERLINK("https://lsnyc.legalserver.org/matter/dynamic-profile/view/1891160","19-1891160")</f>
        <v>0</v>
      </c>
      <c r="B954" t="s">
        <v>60</v>
      </c>
      <c r="C954" t="s">
        <v>204</v>
      </c>
      <c r="D954" t="s">
        <v>214</v>
      </c>
      <c r="E954" t="s">
        <v>241</v>
      </c>
      <c r="G954" t="s">
        <v>607</v>
      </c>
      <c r="H954" t="s">
        <v>2018</v>
      </c>
      <c r="J954" t="s">
        <v>2942</v>
      </c>
      <c r="K954" t="s">
        <v>3252</v>
      </c>
      <c r="L954" t="s">
        <v>3356</v>
      </c>
      <c r="M954" t="s">
        <v>3379</v>
      </c>
      <c r="N954">
        <v>11413</v>
      </c>
      <c r="O954" t="s">
        <v>3381</v>
      </c>
      <c r="P954" t="s">
        <v>3381</v>
      </c>
      <c r="Q954" t="s">
        <v>3383</v>
      </c>
      <c r="R954" t="s">
        <v>4155</v>
      </c>
      <c r="S954">
        <v>8</v>
      </c>
      <c r="T954" t="s">
        <v>4197</v>
      </c>
      <c r="W954" t="s">
        <v>4245</v>
      </c>
      <c r="X954" t="s">
        <v>3382</v>
      </c>
      <c r="AA954" t="s">
        <v>4256</v>
      </c>
      <c r="AC954">
        <v>0</v>
      </c>
      <c r="AD954">
        <v>900</v>
      </c>
      <c r="AE954">
        <v>1.56</v>
      </c>
      <c r="AG954" t="s">
        <v>5184</v>
      </c>
      <c r="AI954" t="s">
        <v>6216</v>
      </c>
      <c r="AJ954">
        <v>1</v>
      </c>
      <c r="AK954" t="s">
        <v>6274</v>
      </c>
      <c r="AL954">
        <v>1</v>
      </c>
      <c r="AM954">
        <v>0</v>
      </c>
      <c r="AN954">
        <v>24.02</v>
      </c>
      <c r="AQ954" t="s">
        <v>6287</v>
      </c>
      <c r="AR954" t="s">
        <v>5312</v>
      </c>
      <c r="AT954">
        <v>3000</v>
      </c>
      <c r="AX954" t="s">
        <v>196</v>
      </c>
      <c r="BA954" t="s">
        <v>3391</v>
      </c>
      <c r="BD954" t="s">
        <v>382</v>
      </c>
    </row>
    <row r="955" spans="1:57">
      <c r="A955" s="1">
        <f>HYPERLINK("https://lsnyc.legalserver.org/matter/dynamic-profile/view/1888875","19-1888875")</f>
        <v>0</v>
      </c>
      <c r="B955" t="s">
        <v>60</v>
      </c>
      <c r="C955" t="s">
        <v>204</v>
      </c>
      <c r="D955" t="s">
        <v>214</v>
      </c>
      <c r="E955" t="s">
        <v>485</v>
      </c>
      <c r="G955" t="s">
        <v>940</v>
      </c>
      <c r="H955" t="s">
        <v>2019</v>
      </c>
      <c r="J955" t="s">
        <v>2943</v>
      </c>
      <c r="K955" t="s">
        <v>3319</v>
      </c>
      <c r="L955" t="s">
        <v>3364</v>
      </c>
      <c r="M955" t="s">
        <v>3379</v>
      </c>
      <c r="N955">
        <v>11412</v>
      </c>
      <c r="O955" t="s">
        <v>3381</v>
      </c>
      <c r="P955" t="s">
        <v>3381</v>
      </c>
      <c r="Q955" t="s">
        <v>3383</v>
      </c>
      <c r="R955" t="s">
        <v>4156</v>
      </c>
      <c r="S955">
        <v>9</v>
      </c>
      <c r="U955" t="s">
        <v>4225</v>
      </c>
      <c r="W955" t="s">
        <v>4245</v>
      </c>
      <c r="X955" t="s">
        <v>3382</v>
      </c>
      <c r="AA955" t="s">
        <v>4256</v>
      </c>
      <c r="AC955">
        <v>0</v>
      </c>
      <c r="AD955">
        <v>0</v>
      </c>
      <c r="AE955">
        <v>0</v>
      </c>
      <c r="AG955" t="s">
        <v>5185</v>
      </c>
      <c r="AI955" t="s">
        <v>6217</v>
      </c>
      <c r="AJ955">
        <v>1</v>
      </c>
      <c r="AK955" t="s">
        <v>6274</v>
      </c>
      <c r="AL955">
        <v>2</v>
      </c>
      <c r="AM955">
        <v>0</v>
      </c>
      <c r="AN955">
        <v>19.07</v>
      </c>
      <c r="AQ955" t="s">
        <v>6287</v>
      </c>
      <c r="AR955" t="s">
        <v>5312</v>
      </c>
      <c r="AT955">
        <v>3224</v>
      </c>
      <c r="AX955" t="s">
        <v>196</v>
      </c>
      <c r="BA955" t="s">
        <v>6483</v>
      </c>
    </row>
    <row r="956" spans="1:57">
      <c r="A956" s="1">
        <f>HYPERLINK("https://lsnyc.legalserver.org/matter/dynamic-profile/view/1902812","19-1902812")</f>
        <v>0</v>
      </c>
      <c r="B956" t="s">
        <v>60</v>
      </c>
      <c r="C956" t="s">
        <v>204</v>
      </c>
      <c r="D956" t="s">
        <v>214</v>
      </c>
      <c r="E956" t="s">
        <v>517</v>
      </c>
      <c r="G956" t="s">
        <v>1296</v>
      </c>
      <c r="H956" t="s">
        <v>2020</v>
      </c>
      <c r="J956" t="s">
        <v>2944</v>
      </c>
      <c r="K956" t="s">
        <v>3192</v>
      </c>
      <c r="L956" t="s">
        <v>3338</v>
      </c>
      <c r="M956" t="s">
        <v>3379</v>
      </c>
      <c r="N956">
        <v>11385</v>
      </c>
      <c r="O956" t="s">
        <v>3380</v>
      </c>
      <c r="P956" t="s">
        <v>3381</v>
      </c>
      <c r="Q956" t="s">
        <v>3383</v>
      </c>
      <c r="R956" t="s">
        <v>4157</v>
      </c>
      <c r="S956">
        <v>5</v>
      </c>
      <c r="T956" t="s">
        <v>4196</v>
      </c>
      <c r="U956" t="s">
        <v>4223</v>
      </c>
      <c r="W956" t="s">
        <v>4246</v>
      </c>
      <c r="X956" t="s">
        <v>3382</v>
      </c>
      <c r="Y956" t="s">
        <v>3380</v>
      </c>
      <c r="AA956" t="s">
        <v>4256</v>
      </c>
      <c r="AC956">
        <v>0</v>
      </c>
      <c r="AD956">
        <v>17000</v>
      </c>
      <c r="AE956">
        <v>21.4</v>
      </c>
      <c r="AG956" t="s">
        <v>4837</v>
      </c>
      <c r="AI956" t="s">
        <v>6218</v>
      </c>
      <c r="AJ956">
        <v>6</v>
      </c>
      <c r="AK956" t="s">
        <v>6266</v>
      </c>
      <c r="AL956">
        <v>4</v>
      </c>
      <c r="AM956">
        <v>2</v>
      </c>
      <c r="AN956">
        <v>151.08</v>
      </c>
      <c r="AR956" t="s">
        <v>5312</v>
      </c>
      <c r="AS956" t="s">
        <v>6298</v>
      </c>
      <c r="AT956">
        <v>52258</v>
      </c>
      <c r="AX956" t="s">
        <v>6441</v>
      </c>
      <c r="BA956" t="s">
        <v>6477</v>
      </c>
      <c r="BD956" t="s">
        <v>227</v>
      </c>
      <c r="BE956" t="s">
        <v>6702</v>
      </c>
    </row>
    <row r="957" spans="1:57">
      <c r="A957" s="1">
        <f>HYPERLINK("https://lsnyc.legalserver.org/matter/dynamic-profile/view/1888330","19-1888330")</f>
        <v>0</v>
      </c>
      <c r="B957" t="s">
        <v>60</v>
      </c>
      <c r="C957" t="s">
        <v>204</v>
      </c>
      <c r="D957" t="s">
        <v>214</v>
      </c>
      <c r="E957" t="s">
        <v>372</v>
      </c>
      <c r="G957" t="s">
        <v>1297</v>
      </c>
      <c r="H957" t="s">
        <v>1334</v>
      </c>
      <c r="J957" t="s">
        <v>2945</v>
      </c>
      <c r="K957" t="s">
        <v>3320</v>
      </c>
      <c r="L957" t="s">
        <v>3355</v>
      </c>
      <c r="M957" t="s">
        <v>3379</v>
      </c>
      <c r="N957">
        <v>11367</v>
      </c>
      <c r="O957" t="s">
        <v>3380</v>
      </c>
      <c r="P957" t="s">
        <v>3380</v>
      </c>
      <c r="Q957" t="s">
        <v>3383</v>
      </c>
      <c r="R957" t="s">
        <v>4158</v>
      </c>
      <c r="S957">
        <v>20</v>
      </c>
      <c r="T957" t="s">
        <v>4196</v>
      </c>
      <c r="U957" t="s">
        <v>4224</v>
      </c>
      <c r="W957" t="s">
        <v>4245</v>
      </c>
      <c r="X957" t="s">
        <v>3382</v>
      </c>
      <c r="Y957" t="s">
        <v>3382</v>
      </c>
      <c r="AA957" t="s">
        <v>4258</v>
      </c>
      <c r="AC957">
        <v>0</v>
      </c>
      <c r="AD957">
        <v>487</v>
      </c>
      <c r="AE957">
        <v>1.5</v>
      </c>
      <c r="AG957" t="s">
        <v>5186</v>
      </c>
      <c r="AH957" t="s">
        <v>5374</v>
      </c>
      <c r="AI957" t="s">
        <v>6219</v>
      </c>
      <c r="AJ957">
        <v>9</v>
      </c>
      <c r="AK957" t="s">
        <v>6270</v>
      </c>
      <c r="AL957">
        <v>1</v>
      </c>
      <c r="AM957">
        <v>4</v>
      </c>
      <c r="AN957">
        <v>101.97</v>
      </c>
      <c r="AQ957" t="s">
        <v>6286</v>
      </c>
      <c r="AR957" t="s">
        <v>5312</v>
      </c>
      <c r="AS957" t="s">
        <v>6298</v>
      </c>
      <c r="AT957">
        <v>30000</v>
      </c>
      <c r="AX957" t="s">
        <v>184</v>
      </c>
      <c r="BA957" t="s">
        <v>6477</v>
      </c>
      <c r="BD957" t="s">
        <v>358</v>
      </c>
    </row>
    <row r="958" spans="1:57">
      <c r="A958" s="1">
        <f>HYPERLINK("https://lsnyc.legalserver.org/matter/dynamic-profile/view/1888298","19-1888298")</f>
        <v>0</v>
      </c>
      <c r="B958" t="s">
        <v>60</v>
      </c>
      <c r="C958" t="s">
        <v>204</v>
      </c>
      <c r="D958" t="s">
        <v>214</v>
      </c>
      <c r="E958" t="s">
        <v>372</v>
      </c>
      <c r="G958" t="s">
        <v>1298</v>
      </c>
      <c r="H958" t="s">
        <v>2021</v>
      </c>
      <c r="J958" t="s">
        <v>2946</v>
      </c>
      <c r="L958" t="s">
        <v>3353</v>
      </c>
      <c r="M958" t="s">
        <v>3379</v>
      </c>
      <c r="N958">
        <v>11365</v>
      </c>
      <c r="O958" t="s">
        <v>3381</v>
      </c>
      <c r="P958" t="s">
        <v>3381</v>
      </c>
      <c r="Q958" t="s">
        <v>3383</v>
      </c>
      <c r="R958" t="s">
        <v>4159</v>
      </c>
      <c r="S958">
        <v>5</v>
      </c>
      <c r="T958" t="s">
        <v>4196</v>
      </c>
      <c r="W958" t="s">
        <v>4245</v>
      </c>
      <c r="X958" t="s">
        <v>3382</v>
      </c>
      <c r="AA958" t="s">
        <v>4256</v>
      </c>
      <c r="AC958">
        <v>0</v>
      </c>
      <c r="AD958">
        <v>101</v>
      </c>
      <c r="AE958">
        <v>2.75</v>
      </c>
      <c r="AG958" t="s">
        <v>5187</v>
      </c>
      <c r="AH958" t="s">
        <v>5375</v>
      </c>
      <c r="AI958" t="s">
        <v>6220</v>
      </c>
      <c r="AJ958">
        <v>28</v>
      </c>
      <c r="AK958" t="s">
        <v>6270</v>
      </c>
      <c r="AL958">
        <v>1</v>
      </c>
      <c r="AM958">
        <v>1</v>
      </c>
      <c r="AN958">
        <v>25.52</v>
      </c>
      <c r="AR958" t="s">
        <v>5312</v>
      </c>
      <c r="AS958" t="s">
        <v>6298</v>
      </c>
      <c r="AT958">
        <v>4200</v>
      </c>
      <c r="AX958" t="s">
        <v>196</v>
      </c>
      <c r="BA958" t="s">
        <v>6561</v>
      </c>
      <c r="BD958" t="s">
        <v>404</v>
      </c>
    </row>
    <row r="959" spans="1:57">
      <c r="A959" s="1">
        <f>HYPERLINK("https://lsnyc.legalserver.org/matter/dynamic-profile/view/1884073","18-1884073")</f>
        <v>0</v>
      </c>
      <c r="B959" t="s">
        <v>60</v>
      </c>
      <c r="C959" t="s">
        <v>204</v>
      </c>
      <c r="D959" t="s">
        <v>214</v>
      </c>
      <c r="E959" t="s">
        <v>480</v>
      </c>
      <c r="G959" t="s">
        <v>687</v>
      </c>
      <c r="H959" t="s">
        <v>2022</v>
      </c>
      <c r="J959" t="s">
        <v>2947</v>
      </c>
      <c r="K959">
        <v>606</v>
      </c>
      <c r="L959" t="s">
        <v>3355</v>
      </c>
      <c r="M959" t="s">
        <v>3379</v>
      </c>
      <c r="N959">
        <v>11355</v>
      </c>
      <c r="O959" t="s">
        <v>3380</v>
      </c>
      <c r="P959" t="s">
        <v>3380</v>
      </c>
      <c r="Q959" t="s">
        <v>3383</v>
      </c>
      <c r="R959" t="s">
        <v>4160</v>
      </c>
      <c r="S959">
        <v>18</v>
      </c>
      <c r="T959" t="s">
        <v>4197</v>
      </c>
      <c r="U959" t="s">
        <v>4224</v>
      </c>
      <c r="W959" t="s">
        <v>4245</v>
      </c>
      <c r="X959" t="s">
        <v>3382</v>
      </c>
      <c r="Y959" t="s">
        <v>3382</v>
      </c>
      <c r="AA959" t="s">
        <v>4256</v>
      </c>
      <c r="AC959">
        <v>0</v>
      </c>
      <c r="AD959">
        <v>1350</v>
      </c>
      <c r="AE959">
        <v>1.5</v>
      </c>
      <c r="AG959" t="s">
        <v>5188</v>
      </c>
      <c r="AI959" t="s">
        <v>6221</v>
      </c>
      <c r="AJ959">
        <v>180</v>
      </c>
      <c r="AK959" t="s">
        <v>6266</v>
      </c>
      <c r="AL959">
        <v>3</v>
      </c>
      <c r="AM959">
        <v>0</v>
      </c>
      <c r="AN959">
        <v>144.37</v>
      </c>
      <c r="AQ959" t="s">
        <v>6287</v>
      </c>
      <c r="AR959" t="s">
        <v>5312</v>
      </c>
      <c r="AS959" t="s">
        <v>6298</v>
      </c>
      <c r="AT959">
        <v>30000</v>
      </c>
      <c r="AX959" t="s">
        <v>184</v>
      </c>
      <c r="BA959" t="s">
        <v>6477</v>
      </c>
      <c r="BD959" t="s">
        <v>566</v>
      </c>
    </row>
    <row r="960" spans="1:57">
      <c r="A960" s="1">
        <f>HYPERLINK("https://lsnyc.legalserver.org/matter/dynamic-profile/view/1884382","18-1884382")</f>
        <v>0</v>
      </c>
      <c r="B960" t="s">
        <v>60</v>
      </c>
      <c r="C960" t="s">
        <v>204</v>
      </c>
      <c r="D960" t="s">
        <v>214</v>
      </c>
      <c r="E960" t="s">
        <v>562</v>
      </c>
      <c r="G960" t="s">
        <v>1299</v>
      </c>
      <c r="H960" t="s">
        <v>2023</v>
      </c>
      <c r="J960" t="s">
        <v>2948</v>
      </c>
      <c r="K960" t="s">
        <v>3321</v>
      </c>
      <c r="L960" t="s">
        <v>3355</v>
      </c>
      <c r="M960" t="s">
        <v>3379</v>
      </c>
      <c r="N960">
        <v>11355</v>
      </c>
      <c r="O960" t="s">
        <v>3381</v>
      </c>
      <c r="P960" t="s">
        <v>3381</v>
      </c>
      <c r="Q960" t="s">
        <v>3386</v>
      </c>
      <c r="S960">
        <v>9</v>
      </c>
      <c r="W960" t="s">
        <v>4245</v>
      </c>
      <c r="X960" t="s">
        <v>3382</v>
      </c>
      <c r="AA960" t="s">
        <v>4256</v>
      </c>
      <c r="AC960">
        <v>0</v>
      </c>
      <c r="AD960">
        <v>1800</v>
      </c>
      <c r="AE960">
        <v>2.5</v>
      </c>
      <c r="AG960" t="s">
        <v>5189</v>
      </c>
      <c r="AI960" t="s">
        <v>6222</v>
      </c>
      <c r="AJ960">
        <v>1</v>
      </c>
      <c r="AL960">
        <v>1</v>
      </c>
      <c r="AM960">
        <v>3</v>
      </c>
      <c r="AN960">
        <v>95.62</v>
      </c>
      <c r="AR960" t="s">
        <v>5312</v>
      </c>
      <c r="AS960" t="s">
        <v>6298</v>
      </c>
      <c r="AT960">
        <v>24000</v>
      </c>
      <c r="AX960" t="s">
        <v>6406</v>
      </c>
      <c r="BA960" t="s">
        <v>6477</v>
      </c>
      <c r="BD960" t="s">
        <v>513</v>
      </c>
    </row>
    <row r="961" spans="1:57">
      <c r="A961" s="1">
        <f>HYPERLINK("https://lsnyc.legalserver.org/matter/dynamic-profile/view/1884553","18-1884553")</f>
        <v>0</v>
      </c>
      <c r="B961" t="s">
        <v>60</v>
      </c>
      <c r="C961" t="s">
        <v>205</v>
      </c>
      <c r="D961" t="s">
        <v>214</v>
      </c>
      <c r="E961" t="s">
        <v>563</v>
      </c>
      <c r="G961" t="s">
        <v>1300</v>
      </c>
      <c r="H961" t="s">
        <v>1464</v>
      </c>
      <c r="J961" t="s">
        <v>2780</v>
      </c>
      <c r="K961" t="s">
        <v>3036</v>
      </c>
      <c r="L961" t="s">
        <v>3333</v>
      </c>
      <c r="M961" t="s">
        <v>3379</v>
      </c>
      <c r="N961">
        <v>11434</v>
      </c>
      <c r="O961" t="s">
        <v>3380</v>
      </c>
      <c r="P961" t="s">
        <v>3380</v>
      </c>
      <c r="Q961" t="s">
        <v>3384</v>
      </c>
      <c r="R961" t="s">
        <v>4161</v>
      </c>
      <c r="S961">
        <v>2</v>
      </c>
      <c r="T961" t="s">
        <v>4196</v>
      </c>
      <c r="U961" t="s">
        <v>4225</v>
      </c>
      <c r="W961" t="s">
        <v>4245</v>
      </c>
      <c r="X961" t="s">
        <v>3382</v>
      </c>
      <c r="Y961" t="s">
        <v>3382</v>
      </c>
      <c r="AA961" t="s">
        <v>4258</v>
      </c>
      <c r="AC961">
        <v>0</v>
      </c>
      <c r="AD961">
        <v>1246</v>
      </c>
      <c r="AE961">
        <v>27.75</v>
      </c>
      <c r="AG961" t="s">
        <v>5190</v>
      </c>
      <c r="AI961" t="s">
        <v>6223</v>
      </c>
      <c r="AJ961">
        <v>0</v>
      </c>
      <c r="AK961" t="s">
        <v>6270</v>
      </c>
      <c r="AL961">
        <v>1</v>
      </c>
      <c r="AM961">
        <v>0</v>
      </c>
      <c r="AN961">
        <v>87.48</v>
      </c>
      <c r="AQ961" t="s">
        <v>6287</v>
      </c>
      <c r="AS961" t="s">
        <v>6298</v>
      </c>
      <c r="AT961">
        <v>10620</v>
      </c>
      <c r="AX961" t="s">
        <v>184</v>
      </c>
      <c r="BA961" t="s">
        <v>6477</v>
      </c>
      <c r="BD961" t="s">
        <v>323</v>
      </c>
    </row>
    <row r="962" spans="1:57">
      <c r="A962" s="1">
        <f>HYPERLINK("https://lsnyc.legalserver.org/matter/dynamic-profile/view/1894703","19-1894703")</f>
        <v>0</v>
      </c>
      <c r="B962" t="s">
        <v>60</v>
      </c>
      <c r="C962" t="s">
        <v>205</v>
      </c>
      <c r="D962" t="s">
        <v>214</v>
      </c>
      <c r="E962" t="s">
        <v>299</v>
      </c>
      <c r="G962" t="s">
        <v>587</v>
      </c>
      <c r="H962" t="s">
        <v>2024</v>
      </c>
      <c r="J962" t="s">
        <v>2949</v>
      </c>
      <c r="K962" t="s">
        <v>3322</v>
      </c>
      <c r="L962" t="s">
        <v>3333</v>
      </c>
      <c r="M962" t="s">
        <v>3379</v>
      </c>
      <c r="N962">
        <v>11434</v>
      </c>
      <c r="O962" t="s">
        <v>3380</v>
      </c>
      <c r="P962" t="s">
        <v>3380</v>
      </c>
      <c r="Q962" t="s">
        <v>3384</v>
      </c>
      <c r="R962" t="s">
        <v>4162</v>
      </c>
      <c r="S962">
        <v>5</v>
      </c>
      <c r="T962" t="s">
        <v>4196</v>
      </c>
      <c r="U962" t="s">
        <v>4223</v>
      </c>
      <c r="W962" t="s">
        <v>4246</v>
      </c>
      <c r="X962" t="s">
        <v>3382</v>
      </c>
      <c r="Y962" t="s">
        <v>3382</v>
      </c>
      <c r="AA962" t="s">
        <v>4256</v>
      </c>
      <c r="AB962" t="s">
        <v>4261</v>
      </c>
      <c r="AC962">
        <v>0</v>
      </c>
      <c r="AD962">
        <v>1366.68</v>
      </c>
      <c r="AE962">
        <v>21.75</v>
      </c>
      <c r="AG962" t="s">
        <v>5191</v>
      </c>
      <c r="AI962" t="s">
        <v>6224</v>
      </c>
      <c r="AJ962">
        <v>32</v>
      </c>
      <c r="AK962" t="s">
        <v>6267</v>
      </c>
      <c r="AL962">
        <v>1</v>
      </c>
      <c r="AM962">
        <v>0</v>
      </c>
      <c r="AN962">
        <v>115.29</v>
      </c>
      <c r="AQ962" t="s">
        <v>6287</v>
      </c>
      <c r="AR962" t="s">
        <v>5312</v>
      </c>
      <c r="AS962" t="s">
        <v>6298</v>
      </c>
      <c r="AT962">
        <v>14400</v>
      </c>
      <c r="AU962" t="s">
        <v>6318</v>
      </c>
      <c r="AX962" t="s">
        <v>6442</v>
      </c>
      <c r="BA962" t="s">
        <v>6477</v>
      </c>
      <c r="BD962" t="s">
        <v>258</v>
      </c>
    </row>
    <row r="963" spans="1:57">
      <c r="A963" s="1">
        <f>HYPERLINK("https://lsnyc.legalserver.org/matter/dynamic-profile/view/1887411","19-1887411")</f>
        <v>0</v>
      </c>
      <c r="B963" t="s">
        <v>60</v>
      </c>
      <c r="C963" t="s">
        <v>205</v>
      </c>
      <c r="D963" t="s">
        <v>215</v>
      </c>
      <c r="E963" t="s">
        <v>496</v>
      </c>
      <c r="F963" t="s">
        <v>234</v>
      </c>
      <c r="G963" t="s">
        <v>1301</v>
      </c>
      <c r="H963" t="s">
        <v>2025</v>
      </c>
      <c r="J963" t="s">
        <v>2950</v>
      </c>
      <c r="K963" t="s">
        <v>3110</v>
      </c>
      <c r="L963" t="s">
        <v>3347</v>
      </c>
      <c r="M963" t="s">
        <v>3379</v>
      </c>
      <c r="N963">
        <v>11423</v>
      </c>
      <c r="O963" t="s">
        <v>3382</v>
      </c>
      <c r="P963" t="s">
        <v>3380</v>
      </c>
      <c r="Q963" t="s">
        <v>3383</v>
      </c>
      <c r="R963" t="s">
        <v>4163</v>
      </c>
      <c r="S963">
        <v>3</v>
      </c>
      <c r="T963" t="s">
        <v>4196</v>
      </c>
      <c r="U963" t="s">
        <v>4225</v>
      </c>
      <c r="V963" t="s">
        <v>4230</v>
      </c>
      <c r="W963" t="s">
        <v>4245</v>
      </c>
      <c r="X963" t="s">
        <v>3382</v>
      </c>
      <c r="Y963" t="s">
        <v>3382</v>
      </c>
      <c r="AA963" t="s">
        <v>4256</v>
      </c>
      <c r="AB963" t="s">
        <v>4261</v>
      </c>
      <c r="AC963">
        <v>0</v>
      </c>
      <c r="AD963">
        <v>1575</v>
      </c>
      <c r="AE963">
        <v>2.05</v>
      </c>
      <c r="AF963" t="s">
        <v>4268</v>
      </c>
      <c r="AG963" t="s">
        <v>5192</v>
      </c>
      <c r="AH963" t="s">
        <v>5376</v>
      </c>
      <c r="AI963" t="s">
        <v>6225</v>
      </c>
      <c r="AJ963">
        <v>66</v>
      </c>
      <c r="AK963" t="s">
        <v>6267</v>
      </c>
      <c r="AL963">
        <v>1</v>
      </c>
      <c r="AM963">
        <v>0</v>
      </c>
      <c r="AN963">
        <v>148.27</v>
      </c>
      <c r="AQ963" t="s">
        <v>6287</v>
      </c>
      <c r="AR963" t="s">
        <v>5312</v>
      </c>
      <c r="AS963" t="s">
        <v>6298</v>
      </c>
      <c r="AT963">
        <v>18000</v>
      </c>
      <c r="AX963" t="s">
        <v>184</v>
      </c>
      <c r="BA963" t="s">
        <v>6477</v>
      </c>
      <c r="BD963" t="s">
        <v>234</v>
      </c>
    </row>
    <row r="964" spans="1:57">
      <c r="A964" s="1">
        <f>HYPERLINK("https://lsnyc.legalserver.org/matter/dynamic-profile/view/1913122","19-1913122")</f>
        <v>0</v>
      </c>
      <c r="B964" t="s">
        <v>60</v>
      </c>
      <c r="C964" t="s">
        <v>205</v>
      </c>
      <c r="D964" t="s">
        <v>214</v>
      </c>
      <c r="E964" t="s">
        <v>259</v>
      </c>
      <c r="G964" t="s">
        <v>759</v>
      </c>
      <c r="H964" t="s">
        <v>1485</v>
      </c>
      <c r="J964" t="s">
        <v>2951</v>
      </c>
      <c r="K964" t="s">
        <v>3047</v>
      </c>
      <c r="L964" t="s">
        <v>3357</v>
      </c>
      <c r="M964" t="s">
        <v>3379</v>
      </c>
      <c r="N964">
        <v>11385</v>
      </c>
      <c r="O964" t="s">
        <v>3380</v>
      </c>
      <c r="P964" t="s">
        <v>3381</v>
      </c>
      <c r="Q964" t="s">
        <v>3384</v>
      </c>
      <c r="R964" t="s">
        <v>4164</v>
      </c>
      <c r="S964">
        <v>1</v>
      </c>
      <c r="T964" t="s">
        <v>4196</v>
      </c>
      <c r="U964" t="s">
        <v>4223</v>
      </c>
      <c r="W964" t="s">
        <v>4246</v>
      </c>
      <c r="X964" t="s">
        <v>3382</v>
      </c>
      <c r="Y964" t="s">
        <v>3382</v>
      </c>
      <c r="AA964" t="s">
        <v>4256</v>
      </c>
      <c r="AC964">
        <v>0</v>
      </c>
      <c r="AD964">
        <v>1850</v>
      </c>
      <c r="AE964">
        <v>9.619999999999999</v>
      </c>
      <c r="AG964" t="s">
        <v>5193</v>
      </c>
      <c r="AI964" t="s">
        <v>6226</v>
      </c>
      <c r="AJ964">
        <v>2</v>
      </c>
      <c r="AK964" t="s">
        <v>6266</v>
      </c>
      <c r="AL964">
        <v>1</v>
      </c>
      <c r="AM964">
        <v>0</v>
      </c>
      <c r="AN964">
        <v>0</v>
      </c>
      <c r="AR964" t="s">
        <v>5312</v>
      </c>
      <c r="AS964" t="s">
        <v>6298</v>
      </c>
      <c r="AT964">
        <v>0</v>
      </c>
      <c r="AX964" t="s">
        <v>6441</v>
      </c>
      <c r="BA964" t="s">
        <v>6479</v>
      </c>
      <c r="BD964" t="s">
        <v>231</v>
      </c>
      <c r="BE964" t="s">
        <v>6702</v>
      </c>
    </row>
    <row r="965" spans="1:57">
      <c r="A965" s="1">
        <f>HYPERLINK("https://lsnyc.legalserver.org/matter/dynamic-profile/view/1900388","19-1900388")</f>
        <v>0</v>
      </c>
      <c r="B965" t="s">
        <v>60</v>
      </c>
      <c r="C965" t="s">
        <v>205</v>
      </c>
      <c r="D965" t="s">
        <v>214</v>
      </c>
      <c r="E965" t="s">
        <v>396</v>
      </c>
      <c r="G965" t="s">
        <v>821</v>
      </c>
      <c r="H965" t="s">
        <v>1437</v>
      </c>
      <c r="J965" t="s">
        <v>2952</v>
      </c>
      <c r="K965" t="s">
        <v>3323</v>
      </c>
      <c r="L965" t="s">
        <v>3341</v>
      </c>
      <c r="M965" t="s">
        <v>3379</v>
      </c>
      <c r="N965">
        <v>11373</v>
      </c>
      <c r="O965" t="s">
        <v>3381</v>
      </c>
      <c r="P965" t="s">
        <v>3381</v>
      </c>
      <c r="R965" t="s">
        <v>4165</v>
      </c>
      <c r="S965">
        <v>12</v>
      </c>
      <c r="T965" t="s">
        <v>4197</v>
      </c>
      <c r="U965" t="s">
        <v>4223</v>
      </c>
      <c r="W965" t="s">
        <v>4246</v>
      </c>
      <c r="X965" t="s">
        <v>3382</v>
      </c>
      <c r="AA965" t="s">
        <v>4256</v>
      </c>
      <c r="AC965">
        <v>0</v>
      </c>
      <c r="AD965">
        <v>1262.03</v>
      </c>
      <c r="AE965">
        <v>26.35</v>
      </c>
      <c r="AG965" t="s">
        <v>5194</v>
      </c>
      <c r="AI965" t="s">
        <v>6227</v>
      </c>
      <c r="AJ965">
        <v>139</v>
      </c>
      <c r="AL965">
        <v>2</v>
      </c>
      <c r="AM965">
        <v>4</v>
      </c>
      <c r="AN965">
        <v>131.15</v>
      </c>
      <c r="AS965" t="s">
        <v>6298</v>
      </c>
      <c r="AT965">
        <v>45364.8</v>
      </c>
      <c r="AX965" t="s">
        <v>6449</v>
      </c>
      <c r="BA965" t="s">
        <v>6477</v>
      </c>
      <c r="BD965" t="s">
        <v>227</v>
      </c>
    </row>
    <row r="966" spans="1:57">
      <c r="A966" s="1">
        <f>HYPERLINK("https://lsnyc.legalserver.org/matter/dynamic-profile/view/1915096","19-1915096")</f>
        <v>0</v>
      </c>
      <c r="B966" t="s">
        <v>60</v>
      </c>
      <c r="C966" t="s">
        <v>205</v>
      </c>
      <c r="D966" t="s">
        <v>214</v>
      </c>
      <c r="E966" t="s">
        <v>237</v>
      </c>
      <c r="G966" t="s">
        <v>1203</v>
      </c>
      <c r="H966" t="s">
        <v>1403</v>
      </c>
      <c r="J966" t="s">
        <v>2953</v>
      </c>
      <c r="K966" t="s">
        <v>3055</v>
      </c>
      <c r="L966" t="s">
        <v>3341</v>
      </c>
      <c r="M966" t="s">
        <v>3379</v>
      </c>
      <c r="N966">
        <v>11373</v>
      </c>
      <c r="O966" t="s">
        <v>3380</v>
      </c>
      <c r="P966" t="s">
        <v>3381</v>
      </c>
      <c r="Q966" t="s">
        <v>3383</v>
      </c>
      <c r="R966" t="s">
        <v>4166</v>
      </c>
      <c r="S966">
        <v>9</v>
      </c>
      <c r="T966" t="s">
        <v>4197</v>
      </c>
      <c r="U966" t="s">
        <v>4224</v>
      </c>
      <c r="W966" t="s">
        <v>4246</v>
      </c>
      <c r="X966" t="s">
        <v>3382</v>
      </c>
      <c r="Y966" t="s">
        <v>3382</v>
      </c>
      <c r="AA966" t="s">
        <v>4256</v>
      </c>
      <c r="AC966">
        <v>0</v>
      </c>
      <c r="AD966">
        <v>1650</v>
      </c>
      <c r="AE966">
        <v>1.33</v>
      </c>
      <c r="AG966" t="s">
        <v>5195</v>
      </c>
      <c r="AJ966">
        <v>21</v>
      </c>
      <c r="AK966" t="s">
        <v>6266</v>
      </c>
      <c r="AL966">
        <v>2</v>
      </c>
      <c r="AM966">
        <v>0</v>
      </c>
      <c r="AN966">
        <v>0</v>
      </c>
      <c r="AR966" t="s">
        <v>5312</v>
      </c>
      <c r="AS966" t="s">
        <v>6298</v>
      </c>
      <c r="AT966">
        <v>0</v>
      </c>
      <c r="AX966" t="s">
        <v>6441</v>
      </c>
      <c r="BA966" t="s">
        <v>6479</v>
      </c>
      <c r="BD966" t="s">
        <v>231</v>
      </c>
      <c r="BE966" t="s">
        <v>6702</v>
      </c>
    </row>
    <row r="967" spans="1:57">
      <c r="A967" s="1">
        <f>HYPERLINK("https://lsnyc.legalserver.org/matter/dynamic-profile/view/1912609","19-1912609")</f>
        <v>0</v>
      </c>
      <c r="B967" t="s">
        <v>60</v>
      </c>
      <c r="C967" t="s">
        <v>205</v>
      </c>
      <c r="D967" t="s">
        <v>214</v>
      </c>
      <c r="E967" t="s">
        <v>225</v>
      </c>
      <c r="G967" t="s">
        <v>1044</v>
      </c>
      <c r="H967" t="s">
        <v>2026</v>
      </c>
      <c r="J967" t="s">
        <v>2954</v>
      </c>
      <c r="K967" t="s">
        <v>3036</v>
      </c>
      <c r="L967" t="s">
        <v>3346</v>
      </c>
      <c r="M967" t="s">
        <v>3379</v>
      </c>
      <c r="N967">
        <v>11106</v>
      </c>
      <c r="O967" t="s">
        <v>3380</v>
      </c>
      <c r="P967" t="s">
        <v>3381</v>
      </c>
      <c r="Q967" t="s">
        <v>3383</v>
      </c>
      <c r="R967" t="s">
        <v>4167</v>
      </c>
      <c r="S967">
        <v>32</v>
      </c>
      <c r="T967" t="s">
        <v>4196</v>
      </c>
      <c r="U967" t="s">
        <v>4223</v>
      </c>
      <c r="W967" t="s">
        <v>4245</v>
      </c>
      <c r="X967" t="s">
        <v>3382</v>
      </c>
      <c r="Y967" t="s">
        <v>3382</v>
      </c>
      <c r="AA967" t="s">
        <v>4256</v>
      </c>
      <c r="AC967">
        <v>0</v>
      </c>
      <c r="AD967">
        <v>1314.24</v>
      </c>
      <c r="AE967">
        <v>5.13</v>
      </c>
      <c r="AG967" t="s">
        <v>5196</v>
      </c>
      <c r="AI967" t="s">
        <v>6228</v>
      </c>
      <c r="AJ967">
        <v>16</v>
      </c>
      <c r="AK967" t="s">
        <v>6269</v>
      </c>
      <c r="AL967">
        <v>1</v>
      </c>
      <c r="AM967">
        <v>1</v>
      </c>
      <c r="AN967">
        <v>177.41</v>
      </c>
      <c r="AR967" t="s">
        <v>5312</v>
      </c>
      <c r="AS967" t="s">
        <v>6298</v>
      </c>
      <c r="AT967">
        <v>30000</v>
      </c>
      <c r="AX967" t="s">
        <v>6441</v>
      </c>
      <c r="BA967" t="s">
        <v>6477</v>
      </c>
      <c r="BD967" t="s">
        <v>231</v>
      </c>
      <c r="BE967" t="s">
        <v>6702</v>
      </c>
    </row>
    <row r="968" spans="1:57">
      <c r="A968" s="1">
        <f>HYPERLINK("https://lsnyc.legalserver.org/matter/dynamic-profile/view/1905484","19-1905484")</f>
        <v>0</v>
      </c>
      <c r="B968" t="s">
        <v>61</v>
      </c>
      <c r="C968" t="s">
        <v>206</v>
      </c>
      <c r="D968" t="s">
        <v>214</v>
      </c>
      <c r="E968" t="s">
        <v>544</v>
      </c>
      <c r="G968" t="s">
        <v>1302</v>
      </c>
      <c r="H968" t="s">
        <v>2027</v>
      </c>
      <c r="J968" t="s">
        <v>2955</v>
      </c>
      <c r="K968" t="s">
        <v>3007</v>
      </c>
      <c r="L968" t="s">
        <v>3378</v>
      </c>
      <c r="M968" t="s">
        <v>3379</v>
      </c>
      <c r="N968">
        <v>10314</v>
      </c>
      <c r="O968" t="s">
        <v>3380</v>
      </c>
      <c r="P968" t="s">
        <v>3381</v>
      </c>
      <c r="Q968" t="s">
        <v>3386</v>
      </c>
      <c r="R968" t="s">
        <v>4168</v>
      </c>
      <c r="S968">
        <v>7</v>
      </c>
      <c r="T968" t="s">
        <v>4196</v>
      </c>
      <c r="W968" t="s">
        <v>4248</v>
      </c>
      <c r="X968" t="s">
        <v>3382</v>
      </c>
      <c r="Y968" t="s">
        <v>3382</v>
      </c>
      <c r="AA968" t="s">
        <v>4256</v>
      </c>
      <c r="AB968" t="s">
        <v>4265</v>
      </c>
      <c r="AC968">
        <v>0</v>
      </c>
      <c r="AD968">
        <v>953</v>
      </c>
      <c r="AE968">
        <v>27.9</v>
      </c>
      <c r="AG968" t="s">
        <v>5197</v>
      </c>
      <c r="AI968" t="s">
        <v>6229</v>
      </c>
      <c r="AJ968">
        <v>8</v>
      </c>
      <c r="AK968" t="s">
        <v>6274</v>
      </c>
      <c r="AL968">
        <v>2</v>
      </c>
      <c r="AM968">
        <v>2</v>
      </c>
      <c r="AN968">
        <v>97.09</v>
      </c>
      <c r="AR968" t="s">
        <v>5312</v>
      </c>
      <c r="AS968" t="s">
        <v>6298</v>
      </c>
      <c r="AT968">
        <v>25000</v>
      </c>
      <c r="AX968" t="s">
        <v>6450</v>
      </c>
      <c r="BA968" t="s">
        <v>6473</v>
      </c>
      <c r="BD968" t="s">
        <v>218</v>
      </c>
      <c r="BE968" t="s">
        <v>6702</v>
      </c>
    </row>
    <row r="969" spans="1:57">
      <c r="A969" s="1">
        <f>HYPERLINK("https://lsnyc.legalserver.org/matter/dynamic-profile/view/1912985","19-1912985")</f>
        <v>0</v>
      </c>
      <c r="B969" t="s">
        <v>61</v>
      </c>
      <c r="C969" t="s">
        <v>206</v>
      </c>
      <c r="D969" t="s">
        <v>214</v>
      </c>
      <c r="E969" t="s">
        <v>316</v>
      </c>
      <c r="G969" t="s">
        <v>668</v>
      </c>
      <c r="H969" t="s">
        <v>2028</v>
      </c>
      <c r="J969" t="s">
        <v>2956</v>
      </c>
      <c r="K969" t="s">
        <v>3004</v>
      </c>
      <c r="L969" t="s">
        <v>3378</v>
      </c>
      <c r="M969" t="s">
        <v>3379</v>
      </c>
      <c r="N969">
        <v>10306</v>
      </c>
      <c r="O969" t="s">
        <v>3381</v>
      </c>
      <c r="P969" t="s">
        <v>3381</v>
      </c>
      <c r="Q969" t="s">
        <v>3384</v>
      </c>
      <c r="R969" t="s">
        <v>4169</v>
      </c>
      <c r="S969">
        <v>27</v>
      </c>
      <c r="T969" t="s">
        <v>4197</v>
      </c>
      <c r="U969" t="s">
        <v>4223</v>
      </c>
      <c r="W969" t="s">
        <v>4249</v>
      </c>
      <c r="X969" t="s">
        <v>3382</v>
      </c>
      <c r="Y969" t="s">
        <v>3382</v>
      </c>
      <c r="AA969" t="s">
        <v>4258</v>
      </c>
      <c r="AB969" t="s">
        <v>4261</v>
      </c>
      <c r="AC969">
        <v>0</v>
      </c>
      <c r="AD969">
        <v>1344</v>
      </c>
      <c r="AE969">
        <v>1</v>
      </c>
      <c r="AG969" t="s">
        <v>5198</v>
      </c>
      <c r="AI969" t="s">
        <v>6230</v>
      </c>
      <c r="AJ969">
        <v>0</v>
      </c>
      <c r="AK969" t="s">
        <v>6270</v>
      </c>
      <c r="AL969">
        <v>2</v>
      </c>
      <c r="AM969">
        <v>0</v>
      </c>
      <c r="AN969">
        <v>138.38</v>
      </c>
      <c r="AR969" t="s">
        <v>5312</v>
      </c>
      <c r="AS969" t="s">
        <v>6298</v>
      </c>
      <c r="AT969">
        <v>23400</v>
      </c>
      <c r="AX969" t="s">
        <v>6450</v>
      </c>
      <c r="BA969" t="s">
        <v>6485</v>
      </c>
      <c r="BD969" t="s">
        <v>316</v>
      </c>
    </row>
    <row r="970" spans="1:57">
      <c r="A970" s="1">
        <f>HYPERLINK("https://lsnyc.legalserver.org/matter/dynamic-profile/view/1914748","19-1914748")</f>
        <v>0</v>
      </c>
      <c r="B970" t="s">
        <v>61</v>
      </c>
      <c r="C970" t="s">
        <v>206</v>
      </c>
      <c r="D970" t="s">
        <v>214</v>
      </c>
      <c r="E970" t="s">
        <v>218</v>
      </c>
      <c r="G970" t="s">
        <v>1077</v>
      </c>
      <c r="H970" t="s">
        <v>2029</v>
      </c>
      <c r="J970" t="s">
        <v>2957</v>
      </c>
      <c r="K970" t="s">
        <v>3003</v>
      </c>
      <c r="L970" t="s">
        <v>3378</v>
      </c>
      <c r="M970" t="s">
        <v>3379</v>
      </c>
      <c r="N970">
        <v>10306</v>
      </c>
      <c r="O970" t="s">
        <v>3381</v>
      </c>
      <c r="P970" t="s">
        <v>3381</v>
      </c>
      <c r="Q970" t="s">
        <v>3389</v>
      </c>
      <c r="R970" t="s">
        <v>4170</v>
      </c>
      <c r="S970">
        <v>6</v>
      </c>
      <c r="T970" t="s">
        <v>4196</v>
      </c>
      <c r="W970" t="s">
        <v>4249</v>
      </c>
      <c r="X970" t="s">
        <v>3382</v>
      </c>
      <c r="Y970" t="s">
        <v>3382</v>
      </c>
      <c r="AA970" t="s">
        <v>4256</v>
      </c>
      <c r="AC970">
        <v>0</v>
      </c>
      <c r="AD970">
        <v>1400</v>
      </c>
      <c r="AE970">
        <v>0.4</v>
      </c>
      <c r="AG970" t="s">
        <v>5199</v>
      </c>
      <c r="AI970" t="s">
        <v>6231</v>
      </c>
      <c r="AJ970">
        <v>0</v>
      </c>
      <c r="AK970" t="s">
        <v>6274</v>
      </c>
      <c r="AL970">
        <v>2</v>
      </c>
      <c r="AM970">
        <v>0</v>
      </c>
      <c r="AN970">
        <v>212.89</v>
      </c>
      <c r="AR970" t="s">
        <v>5312</v>
      </c>
      <c r="AT970">
        <v>36000</v>
      </c>
      <c r="AX970" t="s">
        <v>6450</v>
      </c>
      <c r="BA970" t="s">
        <v>6477</v>
      </c>
      <c r="BD970" t="s">
        <v>218</v>
      </c>
    </row>
    <row r="971" spans="1:57">
      <c r="A971" s="1">
        <f>HYPERLINK("https://lsnyc.legalserver.org/matter/dynamic-profile/view/1914522","19-1914522")</f>
        <v>0</v>
      </c>
      <c r="B971" t="s">
        <v>61</v>
      </c>
      <c r="C971" t="s">
        <v>206</v>
      </c>
      <c r="D971" t="s">
        <v>214</v>
      </c>
      <c r="E971" t="s">
        <v>227</v>
      </c>
      <c r="G971" t="s">
        <v>889</v>
      </c>
      <c r="H971" t="s">
        <v>1672</v>
      </c>
      <c r="J971" t="s">
        <v>2958</v>
      </c>
      <c r="K971" t="s">
        <v>3287</v>
      </c>
      <c r="L971" t="s">
        <v>3378</v>
      </c>
      <c r="M971" t="s">
        <v>3379</v>
      </c>
      <c r="N971">
        <v>10305</v>
      </c>
      <c r="O971" t="s">
        <v>3381</v>
      </c>
      <c r="P971" t="s">
        <v>3381</v>
      </c>
      <c r="Q971" t="s">
        <v>3384</v>
      </c>
      <c r="S971">
        <v>9</v>
      </c>
      <c r="T971" t="s">
        <v>4197</v>
      </c>
      <c r="U971" t="s">
        <v>4223</v>
      </c>
      <c r="W971" t="s">
        <v>4248</v>
      </c>
      <c r="X971" t="s">
        <v>3382</v>
      </c>
      <c r="Y971" t="s">
        <v>3382</v>
      </c>
      <c r="AA971" t="s">
        <v>4256</v>
      </c>
      <c r="AB971" t="s">
        <v>4261</v>
      </c>
      <c r="AC971">
        <v>0</v>
      </c>
      <c r="AD971">
        <v>760</v>
      </c>
      <c r="AE971">
        <v>0.1</v>
      </c>
      <c r="AG971" t="s">
        <v>5200</v>
      </c>
      <c r="AI971" t="s">
        <v>6232</v>
      </c>
      <c r="AJ971">
        <v>2</v>
      </c>
      <c r="AK971" t="s">
        <v>6274</v>
      </c>
      <c r="AL971">
        <v>1</v>
      </c>
      <c r="AM971">
        <v>0</v>
      </c>
      <c r="AN971">
        <v>96.73</v>
      </c>
      <c r="AR971" t="s">
        <v>5312</v>
      </c>
      <c r="AS971" t="s">
        <v>6298</v>
      </c>
      <c r="AT971">
        <v>12081.6</v>
      </c>
      <c r="AX971" t="s">
        <v>6450</v>
      </c>
      <c r="BA971" t="s">
        <v>6487</v>
      </c>
      <c r="BD971" t="s">
        <v>341</v>
      </c>
    </row>
    <row r="972" spans="1:57">
      <c r="A972" s="1">
        <f>HYPERLINK("https://lsnyc.legalserver.org/matter/dynamic-profile/view/1912623","19-1912623")</f>
        <v>0</v>
      </c>
      <c r="B972" t="s">
        <v>61</v>
      </c>
      <c r="C972" t="s">
        <v>207</v>
      </c>
      <c r="D972" t="s">
        <v>214</v>
      </c>
      <c r="E972" t="s">
        <v>251</v>
      </c>
      <c r="G972" t="s">
        <v>1303</v>
      </c>
      <c r="H972" t="s">
        <v>2030</v>
      </c>
      <c r="J972" t="s">
        <v>2959</v>
      </c>
      <c r="K972" t="s">
        <v>3136</v>
      </c>
      <c r="L972" t="s">
        <v>3378</v>
      </c>
      <c r="M972" t="s">
        <v>3379</v>
      </c>
      <c r="N972">
        <v>10314</v>
      </c>
      <c r="O972" t="s">
        <v>3381</v>
      </c>
      <c r="P972" t="s">
        <v>3381</v>
      </c>
      <c r="Q972" t="s">
        <v>3387</v>
      </c>
      <c r="R972" t="s">
        <v>4171</v>
      </c>
      <c r="S972">
        <v>10</v>
      </c>
      <c r="T972" t="s">
        <v>4196</v>
      </c>
      <c r="W972" t="s">
        <v>4249</v>
      </c>
      <c r="X972" t="s">
        <v>3382</v>
      </c>
      <c r="Y972" t="s">
        <v>3382</v>
      </c>
      <c r="AA972" t="s">
        <v>4258</v>
      </c>
      <c r="AC972">
        <v>0</v>
      </c>
      <c r="AD972">
        <v>858</v>
      </c>
      <c r="AE972">
        <v>3.85</v>
      </c>
      <c r="AG972" t="s">
        <v>5201</v>
      </c>
      <c r="AI972" t="s">
        <v>6233</v>
      </c>
      <c r="AJ972">
        <v>0</v>
      </c>
      <c r="AK972" t="s">
        <v>6270</v>
      </c>
      <c r="AL972">
        <v>1</v>
      </c>
      <c r="AM972">
        <v>2</v>
      </c>
      <c r="AN972">
        <v>91.48999999999999</v>
      </c>
      <c r="AR972" t="s">
        <v>5312</v>
      </c>
      <c r="AS972" t="s">
        <v>6298</v>
      </c>
      <c r="AT972">
        <v>19515.6</v>
      </c>
      <c r="AX972" t="s">
        <v>6450</v>
      </c>
      <c r="BA972" t="s">
        <v>6477</v>
      </c>
      <c r="BD972" t="s">
        <v>231</v>
      </c>
    </row>
    <row r="973" spans="1:57">
      <c r="A973" s="1">
        <f>HYPERLINK("https://lsnyc.legalserver.org/matter/dynamic-profile/view/1872566","18-1872566")</f>
        <v>0</v>
      </c>
      <c r="B973" t="s">
        <v>61</v>
      </c>
      <c r="C973" t="s">
        <v>208</v>
      </c>
      <c r="D973" t="s">
        <v>214</v>
      </c>
      <c r="E973" t="s">
        <v>564</v>
      </c>
      <c r="G973" t="s">
        <v>1304</v>
      </c>
      <c r="H973" t="s">
        <v>2031</v>
      </c>
      <c r="J973" t="s">
        <v>2960</v>
      </c>
      <c r="K973" t="s">
        <v>3021</v>
      </c>
      <c r="L973" t="s">
        <v>3378</v>
      </c>
      <c r="M973" t="s">
        <v>3379</v>
      </c>
      <c r="N973">
        <v>10314</v>
      </c>
      <c r="O973" t="s">
        <v>3380</v>
      </c>
      <c r="P973" t="s">
        <v>3380</v>
      </c>
      <c r="Q973" t="s">
        <v>3399</v>
      </c>
      <c r="R973" t="s">
        <v>4172</v>
      </c>
      <c r="S973">
        <v>35</v>
      </c>
      <c r="T973" t="s">
        <v>4196</v>
      </c>
      <c r="U973" t="s">
        <v>4223</v>
      </c>
      <c r="W973" t="s">
        <v>4248</v>
      </c>
      <c r="X973" t="s">
        <v>3382</v>
      </c>
      <c r="Y973" t="s">
        <v>3382</v>
      </c>
      <c r="AA973" t="s">
        <v>4258</v>
      </c>
      <c r="AB973" t="s">
        <v>4261</v>
      </c>
      <c r="AC973">
        <v>549</v>
      </c>
      <c r="AD973">
        <v>549</v>
      </c>
      <c r="AE973">
        <v>6.2</v>
      </c>
      <c r="AG973" t="s">
        <v>5202</v>
      </c>
      <c r="AI973" t="s">
        <v>6234</v>
      </c>
      <c r="AJ973">
        <v>0</v>
      </c>
      <c r="AK973" t="s">
        <v>6270</v>
      </c>
      <c r="AL973">
        <v>1</v>
      </c>
      <c r="AM973">
        <v>0</v>
      </c>
      <c r="AN973">
        <v>85.67</v>
      </c>
      <c r="AP973" t="s">
        <v>6285</v>
      </c>
      <c r="AQ973" t="s">
        <v>6287</v>
      </c>
      <c r="AR973" t="s">
        <v>5312</v>
      </c>
      <c r="AT973">
        <v>10400</v>
      </c>
      <c r="AV973" t="s">
        <v>3380</v>
      </c>
      <c r="AX973" t="s">
        <v>6451</v>
      </c>
      <c r="BA973" t="s">
        <v>6477</v>
      </c>
      <c r="BD973" t="s">
        <v>6699</v>
      </c>
    </row>
    <row r="974" spans="1:57">
      <c r="A974" s="1">
        <f>HYPERLINK("https://lsnyc.legalserver.org/matter/dynamic-profile/view/1872647","18-1872647")</f>
        <v>0</v>
      </c>
      <c r="B974" t="s">
        <v>61</v>
      </c>
      <c r="C974" t="s">
        <v>208</v>
      </c>
      <c r="D974" t="s">
        <v>214</v>
      </c>
      <c r="E974" t="s">
        <v>565</v>
      </c>
      <c r="G974" t="s">
        <v>1305</v>
      </c>
      <c r="H974" t="s">
        <v>2032</v>
      </c>
      <c r="J974" t="s">
        <v>2961</v>
      </c>
      <c r="K974" t="s">
        <v>3252</v>
      </c>
      <c r="L974" t="s">
        <v>3378</v>
      </c>
      <c r="M974" t="s">
        <v>3379</v>
      </c>
      <c r="N974">
        <v>10310</v>
      </c>
      <c r="O974" t="s">
        <v>3381</v>
      </c>
      <c r="P974" t="s">
        <v>3381</v>
      </c>
      <c r="S974">
        <v>0</v>
      </c>
      <c r="U974" t="s">
        <v>4225</v>
      </c>
      <c r="W974" t="s">
        <v>4249</v>
      </c>
      <c r="X974" t="s">
        <v>3382</v>
      </c>
      <c r="AA974" t="s">
        <v>4256</v>
      </c>
      <c r="AC974">
        <v>0</v>
      </c>
      <c r="AD974">
        <v>0</v>
      </c>
      <c r="AE974">
        <v>1.6</v>
      </c>
      <c r="AG974" t="s">
        <v>5203</v>
      </c>
      <c r="AI974" t="s">
        <v>6235</v>
      </c>
      <c r="AJ974">
        <v>0</v>
      </c>
      <c r="AL974">
        <v>1</v>
      </c>
      <c r="AM974">
        <v>0</v>
      </c>
      <c r="AN974">
        <v>231.7</v>
      </c>
      <c r="AS974" t="s">
        <v>6298</v>
      </c>
      <c r="AT974">
        <v>28128</v>
      </c>
      <c r="AX974" t="s">
        <v>6452</v>
      </c>
      <c r="BA974" t="s">
        <v>6553</v>
      </c>
      <c r="BD974" t="s">
        <v>565</v>
      </c>
    </row>
    <row r="975" spans="1:57">
      <c r="A975" s="1">
        <f>HYPERLINK("https://lsnyc.legalserver.org/matter/dynamic-profile/view/1885335","18-1885335")</f>
        <v>0</v>
      </c>
      <c r="B975" t="s">
        <v>61</v>
      </c>
      <c r="C975" t="s">
        <v>208</v>
      </c>
      <c r="D975" t="s">
        <v>214</v>
      </c>
      <c r="E975" t="s">
        <v>566</v>
      </c>
      <c r="G975" t="s">
        <v>1026</v>
      </c>
      <c r="H975" t="s">
        <v>2033</v>
      </c>
      <c r="J975" t="s">
        <v>2962</v>
      </c>
      <c r="K975" t="s">
        <v>3017</v>
      </c>
      <c r="L975" t="s">
        <v>3378</v>
      </c>
      <c r="M975" t="s">
        <v>3379</v>
      </c>
      <c r="N975">
        <v>10310</v>
      </c>
      <c r="O975" t="s">
        <v>3381</v>
      </c>
      <c r="P975" t="s">
        <v>3381</v>
      </c>
      <c r="S975">
        <v>0</v>
      </c>
      <c r="W975" t="s">
        <v>4248</v>
      </c>
      <c r="X975" t="s">
        <v>3382</v>
      </c>
      <c r="AA975" t="s">
        <v>4256</v>
      </c>
      <c r="AC975">
        <v>0</v>
      </c>
      <c r="AD975">
        <v>0</v>
      </c>
      <c r="AE975">
        <v>0</v>
      </c>
      <c r="AG975" t="s">
        <v>5204</v>
      </c>
      <c r="AI975" t="s">
        <v>6236</v>
      </c>
      <c r="AJ975">
        <v>0</v>
      </c>
      <c r="AL975">
        <v>1</v>
      </c>
      <c r="AM975">
        <v>0</v>
      </c>
      <c r="AN975">
        <v>214.17</v>
      </c>
      <c r="AS975" t="s">
        <v>6298</v>
      </c>
      <c r="AT975">
        <v>26000</v>
      </c>
      <c r="AX975" t="s">
        <v>6453</v>
      </c>
      <c r="BA975" t="s">
        <v>6477</v>
      </c>
    </row>
    <row r="976" spans="1:57">
      <c r="A976" s="1">
        <f>HYPERLINK("https://lsnyc.legalserver.org/matter/dynamic-profile/view/1893280","19-1893280")</f>
        <v>0</v>
      </c>
      <c r="B976" t="s">
        <v>61</v>
      </c>
      <c r="C976" t="s">
        <v>208</v>
      </c>
      <c r="D976" t="s">
        <v>214</v>
      </c>
      <c r="E976" t="s">
        <v>567</v>
      </c>
      <c r="G976" t="s">
        <v>1306</v>
      </c>
      <c r="H976" t="s">
        <v>1334</v>
      </c>
      <c r="J976" t="s">
        <v>2963</v>
      </c>
      <c r="K976" t="s">
        <v>3324</v>
      </c>
      <c r="L976" t="s">
        <v>3378</v>
      </c>
      <c r="M976" t="s">
        <v>3379</v>
      </c>
      <c r="N976">
        <v>10304</v>
      </c>
      <c r="O976" t="s">
        <v>3380</v>
      </c>
      <c r="P976" t="s">
        <v>3381</v>
      </c>
      <c r="Q976" t="s">
        <v>3386</v>
      </c>
      <c r="R976" t="s">
        <v>4173</v>
      </c>
      <c r="S976">
        <v>18</v>
      </c>
      <c r="T976" t="s">
        <v>4196</v>
      </c>
      <c r="U976" t="s">
        <v>4223</v>
      </c>
      <c r="W976" t="s">
        <v>4249</v>
      </c>
      <c r="X976" t="s">
        <v>3382</v>
      </c>
      <c r="Y976" t="s">
        <v>3382</v>
      </c>
      <c r="AA976" t="s">
        <v>4258</v>
      </c>
      <c r="AB976" t="s">
        <v>4261</v>
      </c>
      <c r="AC976">
        <v>0</v>
      </c>
      <c r="AD976">
        <v>1090</v>
      </c>
      <c r="AE976">
        <v>22.8</v>
      </c>
      <c r="AG976" t="s">
        <v>5205</v>
      </c>
      <c r="AI976" t="s">
        <v>6237</v>
      </c>
      <c r="AJ976">
        <v>0</v>
      </c>
      <c r="AK976" t="s">
        <v>6270</v>
      </c>
      <c r="AL976">
        <v>2</v>
      </c>
      <c r="AM976">
        <v>2</v>
      </c>
      <c r="AN976">
        <v>0</v>
      </c>
      <c r="AR976" t="s">
        <v>3391</v>
      </c>
      <c r="AS976" t="s">
        <v>6298</v>
      </c>
      <c r="AT976">
        <v>0</v>
      </c>
      <c r="AX976" t="s">
        <v>6454</v>
      </c>
      <c r="BA976" t="s">
        <v>6486</v>
      </c>
      <c r="BD976" t="s">
        <v>218</v>
      </c>
      <c r="BE976" t="s">
        <v>6702</v>
      </c>
    </row>
    <row r="977" spans="1:57">
      <c r="A977" s="1">
        <f>HYPERLINK("https://lsnyc.legalserver.org/matter/dynamic-profile/view/1893587","19-1893587")</f>
        <v>0</v>
      </c>
      <c r="B977" t="s">
        <v>61</v>
      </c>
      <c r="C977" t="s">
        <v>208</v>
      </c>
      <c r="D977" t="s">
        <v>214</v>
      </c>
      <c r="E977" t="s">
        <v>459</v>
      </c>
      <c r="G977" t="s">
        <v>1307</v>
      </c>
      <c r="H977" t="s">
        <v>2034</v>
      </c>
      <c r="J977" t="s">
        <v>2964</v>
      </c>
      <c r="K977" t="s">
        <v>3046</v>
      </c>
      <c r="L977" t="s">
        <v>3378</v>
      </c>
      <c r="M977" t="s">
        <v>3379</v>
      </c>
      <c r="N977">
        <v>10303</v>
      </c>
      <c r="O977" t="s">
        <v>3380</v>
      </c>
      <c r="P977" t="s">
        <v>3380</v>
      </c>
      <c r="Q977" t="s">
        <v>3384</v>
      </c>
      <c r="R977" t="s">
        <v>4174</v>
      </c>
      <c r="S977">
        <v>0</v>
      </c>
      <c r="T977" t="s">
        <v>4196</v>
      </c>
      <c r="U977" t="s">
        <v>4225</v>
      </c>
      <c r="W977" t="s">
        <v>4248</v>
      </c>
      <c r="X977" t="s">
        <v>3382</v>
      </c>
      <c r="AA977" t="s">
        <v>4256</v>
      </c>
      <c r="AB977" t="s">
        <v>4261</v>
      </c>
      <c r="AC977">
        <v>0</v>
      </c>
      <c r="AD977">
        <v>0</v>
      </c>
      <c r="AE977">
        <v>0</v>
      </c>
      <c r="AG977" t="s">
        <v>5206</v>
      </c>
      <c r="AI977" t="s">
        <v>6238</v>
      </c>
      <c r="AJ977">
        <v>0</v>
      </c>
      <c r="AL977">
        <v>1</v>
      </c>
      <c r="AM977">
        <v>0</v>
      </c>
      <c r="AN977">
        <v>244.93</v>
      </c>
      <c r="AQ977" t="s">
        <v>6287</v>
      </c>
      <c r="AS977" t="s">
        <v>6298</v>
      </c>
      <c r="AT977">
        <v>30591.6</v>
      </c>
      <c r="AX977" t="s">
        <v>6453</v>
      </c>
      <c r="BA977" t="s">
        <v>6477</v>
      </c>
    </row>
    <row r="978" spans="1:57">
      <c r="A978" s="1">
        <f>HYPERLINK("https://lsnyc.legalserver.org/matter/dynamic-profile/view/1854913","18-1854913")</f>
        <v>0</v>
      </c>
      <c r="B978" t="s">
        <v>61</v>
      </c>
      <c r="C978" t="s">
        <v>208</v>
      </c>
      <c r="D978" t="s">
        <v>214</v>
      </c>
      <c r="E978" t="s">
        <v>542</v>
      </c>
      <c r="G978" t="s">
        <v>1308</v>
      </c>
      <c r="H978" t="s">
        <v>1656</v>
      </c>
      <c r="J978" t="s">
        <v>2965</v>
      </c>
      <c r="K978" t="s">
        <v>3325</v>
      </c>
      <c r="L978" t="s">
        <v>3378</v>
      </c>
      <c r="M978" t="s">
        <v>3379</v>
      </c>
      <c r="N978">
        <v>10302</v>
      </c>
      <c r="O978" t="s">
        <v>3380</v>
      </c>
      <c r="P978" t="s">
        <v>3381</v>
      </c>
      <c r="Q978" t="s">
        <v>3386</v>
      </c>
      <c r="R978" t="s">
        <v>4175</v>
      </c>
      <c r="S978">
        <v>20</v>
      </c>
      <c r="T978" t="s">
        <v>4221</v>
      </c>
      <c r="U978" t="s">
        <v>4223</v>
      </c>
      <c r="W978" t="s">
        <v>4249</v>
      </c>
      <c r="X978" t="s">
        <v>3382</v>
      </c>
      <c r="Y978" t="s">
        <v>3382</v>
      </c>
      <c r="AA978" t="s">
        <v>4257</v>
      </c>
      <c r="AC978">
        <v>239</v>
      </c>
      <c r="AD978">
        <v>1274</v>
      </c>
      <c r="AE978">
        <v>8</v>
      </c>
      <c r="AG978" t="s">
        <v>5207</v>
      </c>
      <c r="AI978" t="s">
        <v>6239</v>
      </c>
      <c r="AJ978">
        <v>24</v>
      </c>
      <c r="AK978" t="s">
        <v>6267</v>
      </c>
      <c r="AL978">
        <v>1</v>
      </c>
      <c r="AM978">
        <v>0</v>
      </c>
      <c r="AN978">
        <v>78.20999999999999</v>
      </c>
      <c r="AQ978" t="s">
        <v>6287</v>
      </c>
      <c r="AR978" t="s">
        <v>6290</v>
      </c>
      <c r="AS978" t="s">
        <v>6298</v>
      </c>
      <c r="AT978">
        <v>9432</v>
      </c>
      <c r="AV978" t="s">
        <v>3380</v>
      </c>
      <c r="AX978" t="s">
        <v>6455</v>
      </c>
      <c r="BA978" t="s">
        <v>6482</v>
      </c>
      <c r="BD978" t="s">
        <v>6700</v>
      </c>
    </row>
    <row r="979" spans="1:57">
      <c r="A979" s="1">
        <f>HYPERLINK("https://lsnyc.legalserver.org/matter/dynamic-profile/view/1875990","18-1875990")</f>
        <v>0</v>
      </c>
      <c r="B979" t="s">
        <v>61</v>
      </c>
      <c r="C979" t="s">
        <v>209</v>
      </c>
      <c r="D979" t="s">
        <v>215</v>
      </c>
      <c r="E979" t="s">
        <v>568</v>
      </c>
      <c r="F979" t="s">
        <v>581</v>
      </c>
      <c r="G979" t="s">
        <v>1309</v>
      </c>
      <c r="H979" t="s">
        <v>2035</v>
      </c>
      <c r="J979" t="s">
        <v>2966</v>
      </c>
      <c r="L979" t="s">
        <v>3378</v>
      </c>
      <c r="M979" t="s">
        <v>3379</v>
      </c>
      <c r="N979">
        <v>10314</v>
      </c>
      <c r="O979" t="s">
        <v>3381</v>
      </c>
      <c r="P979" t="s">
        <v>3381</v>
      </c>
      <c r="Q979" t="s">
        <v>3388</v>
      </c>
      <c r="R979" t="s">
        <v>4176</v>
      </c>
      <c r="S979">
        <v>21</v>
      </c>
      <c r="T979" t="s">
        <v>4203</v>
      </c>
      <c r="U979" t="s">
        <v>4226</v>
      </c>
      <c r="V979" t="s">
        <v>4236</v>
      </c>
      <c r="W979" t="s">
        <v>4249</v>
      </c>
      <c r="X979" t="s">
        <v>3382</v>
      </c>
      <c r="Y979" t="s">
        <v>3382</v>
      </c>
      <c r="AA979" t="s">
        <v>4257</v>
      </c>
      <c r="AB979" t="s">
        <v>4261</v>
      </c>
      <c r="AC979">
        <v>0</v>
      </c>
      <c r="AD979">
        <v>0</v>
      </c>
      <c r="AE979">
        <v>1.5</v>
      </c>
      <c r="AF979" t="s">
        <v>4276</v>
      </c>
      <c r="AG979" t="s">
        <v>5208</v>
      </c>
      <c r="AI979" t="s">
        <v>6240</v>
      </c>
      <c r="AJ979">
        <v>1</v>
      </c>
      <c r="AK979" t="s">
        <v>6274</v>
      </c>
      <c r="AL979">
        <v>3</v>
      </c>
      <c r="AM979">
        <v>1</v>
      </c>
      <c r="AN979">
        <v>6.22</v>
      </c>
      <c r="AQ979" t="s">
        <v>6288</v>
      </c>
      <c r="AR979" t="s">
        <v>5312</v>
      </c>
      <c r="AS979" t="s">
        <v>6298</v>
      </c>
      <c r="AT979">
        <v>1560</v>
      </c>
      <c r="AX979" t="s">
        <v>6452</v>
      </c>
      <c r="BA979" t="s">
        <v>6477</v>
      </c>
      <c r="BD979" t="s">
        <v>6701</v>
      </c>
    </row>
    <row r="980" spans="1:57">
      <c r="A980" s="1">
        <f>HYPERLINK("https://lsnyc.legalserver.org/matter/dynamic-profile/view/0832898","17-0832898")</f>
        <v>0</v>
      </c>
      <c r="B980" t="s">
        <v>61</v>
      </c>
      <c r="C980" t="s">
        <v>209</v>
      </c>
      <c r="D980" t="s">
        <v>215</v>
      </c>
      <c r="E980" t="s">
        <v>569</v>
      </c>
      <c r="F980" t="s">
        <v>430</v>
      </c>
      <c r="G980" t="s">
        <v>638</v>
      </c>
      <c r="H980" t="s">
        <v>2036</v>
      </c>
      <c r="J980" t="s">
        <v>2967</v>
      </c>
      <c r="K980" t="s">
        <v>3007</v>
      </c>
      <c r="L980" t="s">
        <v>3378</v>
      </c>
      <c r="M980" t="s">
        <v>3379</v>
      </c>
      <c r="N980">
        <v>10314</v>
      </c>
      <c r="O980" t="s">
        <v>3381</v>
      </c>
      <c r="P980" t="s">
        <v>3381</v>
      </c>
      <c r="Q980" t="s">
        <v>3396</v>
      </c>
      <c r="R980" t="s">
        <v>4176</v>
      </c>
      <c r="S980">
        <v>34</v>
      </c>
      <c r="T980" t="s">
        <v>4214</v>
      </c>
      <c r="U980" t="s">
        <v>4225</v>
      </c>
      <c r="V980" t="s">
        <v>4230</v>
      </c>
      <c r="W980" t="s">
        <v>4249</v>
      </c>
      <c r="X980" t="s">
        <v>3382</v>
      </c>
      <c r="Y980" t="s">
        <v>3382</v>
      </c>
      <c r="AA980" t="s">
        <v>4258</v>
      </c>
      <c r="AC980">
        <v>0</v>
      </c>
      <c r="AD980">
        <v>0</v>
      </c>
      <c r="AE980">
        <v>0.7</v>
      </c>
      <c r="AF980" t="s">
        <v>4268</v>
      </c>
      <c r="AG980" t="s">
        <v>5209</v>
      </c>
      <c r="AI980" t="s">
        <v>6241</v>
      </c>
      <c r="AJ980">
        <v>0</v>
      </c>
      <c r="AK980" t="s">
        <v>6278</v>
      </c>
      <c r="AL980">
        <v>1</v>
      </c>
      <c r="AM980">
        <v>1</v>
      </c>
      <c r="AN980">
        <v>169.96</v>
      </c>
      <c r="AS980" t="s">
        <v>6298</v>
      </c>
      <c r="AT980">
        <v>27601.8</v>
      </c>
      <c r="AX980" t="s">
        <v>6456</v>
      </c>
      <c r="BA980" t="s">
        <v>6553</v>
      </c>
      <c r="BD980" t="s">
        <v>569</v>
      </c>
    </row>
    <row r="981" spans="1:57">
      <c r="A981" s="1">
        <f>HYPERLINK("https://lsnyc.legalserver.org/matter/dynamic-profile/view/1914049","19-1914049")</f>
        <v>0</v>
      </c>
      <c r="B981" t="s">
        <v>61</v>
      </c>
      <c r="C981" t="s">
        <v>210</v>
      </c>
      <c r="D981" t="s">
        <v>214</v>
      </c>
      <c r="E981" t="s">
        <v>219</v>
      </c>
      <c r="G981" t="s">
        <v>1310</v>
      </c>
      <c r="H981" t="s">
        <v>2037</v>
      </c>
      <c r="J981" t="s">
        <v>2968</v>
      </c>
      <c r="K981" t="s">
        <v>3069</v>
      </c>
      <c r="L981" t="s">
        <v>3378</v>
      </c>
      <c r="M981" t="s">
        <v>3379</v>
      </c>
      <c r="N981">
        <v>10310</v>
      </c>
      <c r="O981" t="s">
        <v>3380</v>
      </c>
      <c r="P981" t="s">
        <v>3381</v>
      </c>
      <c r="Q981" t="s">
        <v>3384</v>
      </c>
      <c r="R981" t="s">
        <v>4177</v>
      </c>
      <c r="S981">
        <v>10</v>
      </c>
      <c r="T981" t="s">
        <v>4196</v>
      </c>
      <c r="U981" t="s">
        <v>4223</v>
      </c>
      <c r="W981" t="s">
        <v>4248</v>
      </c>
      <c r="X981" t="s">
        <v>3382</v>
      </c>
      <c r="Y981" t="s">
        <v>3382</v>
      </c>
      <c r="AA981" t="s">
        <v>4256</v>
      </c>
      <c r="AB981" t="s">
        <v>4261</v>
      </c>
      <c r="AC981">
        <v>0</v>
      </c>
      <c r="AD981">
        <v>1050</v>
      </c>
      <c r="AE981">
        <v>1.3</v>
      </c>
      <c r="AG981" t="s">
        <v>5210</v>
      </c>
      <c r="AI981" t="s">
        <v>6242</v>
      </c>
      <c r="AJ981">
        <v>0</v>
      </c>
      <c r="AK981" t="s">
        <v>6267</v>
      </c>
      <c r="AL981">
        <v>1</v>
      </c>
      <c r="AM981">
        <v>2</v>
      </c>
      <c r="AN981">
        <v>172.11</v>
      </c>
      <c r="AS981" t="s">
        <v>6298</v>
      </c>
      <c r="AT981">
        <v>36710</v>
      </c>
      <c r="AX981" t="s">
        <v>6457</v>
      </c>
      <c r="BA981" t="s">
        <v>6474</v>
      </c>
      <c r="BD981" t="s">
        <v>231</v>
      </c>
    </row>
    <row r="982" spans="1:57">
      <c r="A982" s="1">
        <f>HYPERLINK("https://lsnyc.legalserver.org/matter/dynamic-profile/view/1903190","19-1903190")</f>
        <v>0</v>
      </c>
      <c r="B982" t="s">
        <v>61</v>
      </c>
      <c r="C982" t="s">
        <v>210</v>
      </c>
      <c r="D982" t="s">
        <v>215</v>
      </c>
      <c r="E982" t="s">
        <v>321</v>
      </c>
      <c r="F982" t="s">
        <v>403</v>
      </c>
      <c r="G982" t="s">
        <v>1311</v>
      </c>
      <c r="H982" t="s">
        <v>2038</v>
      </c>
      <c r="J982" t="s">
        <v>2969</v>
      </c>
      <c r="K982" t="s">
        <v>3011</v>
      </c>
      <c r="L982" t="s">
        <v>3378</v>
      </c>
      <c r="M982" t="s">
        <v>3379</v>
      </c>
      <c r="N982">
        <v>10310</v>
      </c>
      <c r="O982" t="s">
        <v>3380</v>
      </c>
      <c r="P982" t="s">
        <v>3381</v>
      </c>
      <c r="Q982" t="s">
        <v>3386</v>
      </c>
      <c r="R982" t="s">
        <v>4178</v>
      </c>
      <c r="S982">
        <v>11</v>
      </c>
      <c r="T982" t="s">
        <v>4214</v>
      </c>
      <c r="U982" t="s">
        <v>4225</v>
      </c>
      <c r="V982" t="s">
        <v>4230</v>
      </c>
      <c r="W982" t="s">
        <v>4249</v>
      </c>
      <c r="X982" t="s">
        <v>3382</v>
      </c>
      <c r="Y982" t="s">
        <v>3382</v>
      </c>
      <c r="AA982" t="s">
        <v>4258</v>
      </c>
      <c r="AB982" t="s">
        <v>4261</v>
      </c>
      <c r="AC982">
        <v>0</v>
      </c>
      <c r="AD982">
        <v>280</v>
      </c>
      <c r="AE982">
        <v>2.2</v>
      </c>
      <c r="AF982" t="s">
        <v>4268</v>
      </c>
      <c r="AG982" t="s">
        <v>5211</v>
      </c>
      <c r="AI982" t="s">
        <v>6243</v>
      </c>
      <c r="AJ982">
        <v>516</v>
      </c>
      <c r="AK982" t="s">
        <v>6273</v>
      </c>
      <c r="AL982">
        <v>1</v>
      </c>
      <c r="AM982">
        <v>0</v>
      </c>
      <c r="AN982">
        <v>8.74</v>
      </c>
      <c r="AR982" t="s">
        <v>5312</v>
      </c>
      <c r="AS982" t="s">
        <v>6298</v>
      </c>
      <c r="AT982">
        <v>1092</v>
      </c>
      <c r="AX982" t="s">
        <v>6450</v>
      </c>
      <c r="BA982" t="s">
        <v>6483</v>
      </c>
      <c r="BD982" t="s">
        <v>386</v>
      </c>
      <c r="BE982" t="s">
        <v>6702</v>
      </c>
    </row>
    <row r="983" spans="1:57">
      <c r="A983" s="1">
        <f>HYPERLINK("https://lsnyc.legalserver.org/matter/dynamic-profile/view/1898293","19-1898293")</f>
        <v>0</v>
      </c>
      <c r="B983" t="s">
        <v>61</v>
      </c>
      <c r="C983" t="s">
        <v>210</v>
      </c>
      <c r="D983" t="s">
        <v>215</v>
      </c>
      <c r="E983" t="s">
        <v>570</v>
      </c>
      <c r="F983" t="s">
        <v>403</v>
      </c>
      <c r="G983" t="s">
        <v>1312</v>
      </c>
      <c r="H983" t="s">
        <v>2039</v>
      </c>
      <c r="J983" t="s">
        <v>2970</v>
      </c>
      <c r="K983" t="s">
        <v>2995</v>
      </c>
      <c r="L983" t="s">
        <v>3378</v>
      </c>
      <c r="M983" t="s">
        <v>3379</v>
      </c>
      <c r="N983">
        <v>10306</v>
      </c>
      <c r="O983" t="s">
        <v>3380</v>
      </c>
      <c r="P983" t="s">
        <v>3381</v>
      </c>
      <c r="Q983" t="s">
        <v>3389</v>
      </c>
      <c r="R983" t="s">
        <v>4178</v>
      </c>
      <c r="S983">
        <v>13</v>
      </c>
      <c r="T983" t="s">
        <v>4201</v>
      </c>
      <c r="U983" t="s">
        <v>4225</v>
      </c>
      <c r="V983" t="s">
        <v>4230</v>
      </c>
      <c r="W983" t="s">
        <v>4249</v>
      </c>
      <c r="X983" t="s">
        <v>3382</v>
      </c>
      <c r="Y983" t="s">
        <v>3382</v>
      </c>
      <c r="AA983" t="s">
        <v>4258</v>
      </c>
      <c r="AB983" t="s">
        <v>4261</v>
      </c>
      <c r="AC983">
        <v>0</v>
      </c>
      <c r="AD983">
        <v>259.6</v>
      </c>
      <c r="AE983">
        <v>3.05</v>
      </c>
      <c r="AF983" t="s">
        <v>4268</v>
      </c>
      <c r="AG983" t="s">
        <v>5212</v>
      </c>
      <c r="AI983" t="s">
        <v>6244</v>
      </c>
      <c r="AJ983">
        <v>506</v>
      </c>
      <c r="AK983" t="s">
        <v>6270</v>
      </c>
      <c r="AL983">
        <v>2</v>
      </c>
      <c r="AM983">
        <v>0</v>
      </c>
      <c r="AN983">
        <v>62.59</v>
      </c>
      <c r="AR983" t="s">
        <v>5312</v>
      </c>
      <c r="AS983" t="s">
        <v>6298</v>
      </c>
      <c r="AT983">
        <v>10584</v>
      </c>
      <c r="AX983" t="s">
        <v>6450</v>
      </c>
      <c r="BA983" t="s">
        <v>6601</v>
      </c>
      <c r="BD983" t="s">
        <v>328</v>
      </c>
      <c r="BE983" t="s">
        <v>6702</v>
      </c>
    </row>
    <row r="984" spans="1:57">
      <c r="A984" s="1">
        <f>HYPERLINK("https://lsnyc.legalserver.org/matter/dynamic-profile/view/1908117","19-1908117")</f>
        <v>0</v>
      </c>
      <c r="B984" t="s">
        <v>61</v>
      </c>
      <c r="C984" t="s">
        <v>210</v>
      </c>
      <c r="D984" t="s">
        <v>214</v>
      </c>
      <c r="E984" t="s">
        <v>318</v>
      </c>
      <c r="G984" t="s">
        <v>1190</v>
      </c>
      <c r="H984" t="s">
        <v>2040</v>
      </c>
      <c r="J984" t="s">
        <v>2971</v>
      </c>
      <c r="K984" t="s">
        <v>3297</v>
      </c>
      <c r="L984" t="s">
        <v>3378</v>
      </c>
      <c r="M984" t="s">
        <v>3379</v>
      </c>
      <c r="N984">
        <v>10304</v>
      </c>
      <c r="O984" t="s">
        <v>3381</v>
      </c>
      <c r="P984" t="s">
        <v>3381</v>
      </c>
      <c r="Q984" t="s">
        <v>3386</v>
      </c>
      <c r="R984" t="s">
        <v>4179</v>
      </c>
      <c r="S984">
        <v>8</v>
      </c>
      <c r="T984" t="s">
        <v>4222</v>
      </c>
      <c r="W984" t="s">
        <v>4249</v>
      </c>
      <c r="X984" t="s">
        <v>3382</v>
      </c>
      <c r="Y984" t="s">
        <v>3382</v>
      </c>
      <c r="AA984" t="s">
        <v>4258</v>
      </c>
      <c r="AB984" t="s">
        <v>4261</v>
      </c>
      <c r="AC984">
        <v>0</v>
      </c>
      <c r="AD984">
        <v>430</v>
      </c>
      <c r="AE984">
        <v>5.8</v>
      </c>
      <c r="AG984" t="s">
        <v>5213</v>
      </c>
      <c r="AI984" t="s">
        <v>6245</v>
      </c>
      <c r="AJ984">
        <v>693</v>
      </c>
      <c r="AK984" t="s">
        <v>6273</v>
      </c>
      <c r="AL984">
        <v>1</v>
      </c>
      <c r="AM984">
        <v>0</v>
      </c>
      <c r="AN984">
        <v>138.16</v>
      </c>
      <c r="AR984" t="s">
        <v>6290</v>
      </c>
      <c r="AS984" t="s">
        <v>6298</v>
      </c>
      <c r="AT984">
        <v>17256</v>
      </c>
      <c r="AX984" t="s">
        <v>6450</v>
      </c>
      <c r="BA984" t="s">
        <v>6475</v>
      </c>
      <c r="BD984" t="s">
        <v>216</v>
      </c>
    </row>
    <row r="985" spans="1:57">
      <c r="A985" s="1">
        <f>HYPERLINK("https://lsnyc.legalserver.org/matter/dynamic-profile/view/1913713","19-1913713")</f>
        <v>0</v>
      </c>
      <c r="B985" t="s">
        <v>61</v>
      </c>
      <c r="C985" t="s">
        <v>210</v>
      </c>
      <c r="D985" t="s">
        <v>214</v>
      </c>
      <c r="E985" t="s">
        <v>219</v>
      </c>
      <c r="G985" t="s">
        <v>1075</v>
      </c>
      <c r="H985" t="s">
        <v>2041</v>
      </c>
      <c r="J985" t="s">
        <v>2972</v>
      </c>
      <c r="K985" t="s">
        <v>3069</v>
      </c>
      <c r="L985" t="s">
        <v>3378</v>
      </c>
      <c r="M985" t="s">
        <v>3379</v>
      </c>
      <c r="N985">
        <v>10303</v>
      </c>
      <c r="O985" t="s">
        <v>3381</v>
      </c>
      <c r="P985" t="s">
        <v>3381</v>
      </c>
      <c r="Q985" t="s">
        <v>3386</v>
      </c>
      <c r="R985" t="s">
        <v>4180</v>
      </c>
      <c r="S985">
        <v>16</v>
      </c>
      <c r="T985" t="s">
        <v>4197</v>
      </c>
      <c r="W985" t="s">
        <v>4248</v>
      </c>
      <c r="X985" t="s">
        <v>3382</v>
      </c>
      <c r="Y985" t="s">
        <v>3382</v>
      </c>
      <c r="AA985" t="s">
        <v>4258</v>
      </c>
      <c r="AB985" t="s">
        <v>4261</v>
      </c>
      <c r="AC985">
        <v>0</v>
      </c>
      <c r="AD985">
        <v>241.6</v>
      </c>
      <c r="AE985">
        <v>2.3</v>
      </c>
      <c r="AG985" t="s">
        <v>5214</v>
      </c>
      <c r="AI985" t="s">
        <v>6246</v>
      </c>
      <c r="AJ985">
        <v>0</v>
      </c>
      <c r="AK985" t="s">
        <v>6270</v>
      </c>
      <c r="AL985">
        <v>1</v>
      </c>
      <c r="AM985">
        <v>0</v>
      </c>
      <c r="AN985">
        <v>284.15</v>
      </c>
      <c r="AO985" t="s">
        <v>341</v>
      </c>
      <c r="AP985" t="s">
        <v>6283</v>
      </c>
      <c r="AR985" t="s">
        <v>5312</v>
      </c>
      <c r="AS985" t="s">
        <v>6298</v>
      </c>
      <c r="AT985">
        <v>35490</v>
      </c>
      <c r="AX985" t="s">
        <v>6450</v>
      </c>
      <c r="BA985" t="s">
        <v>6477</v>
      </c>
      <c r="BD985" t="s">
        <v>231</v>
      </c>
    </row>
    <row r="986" spans="1:57">
      <c r="A986" s="1">
        <f>HYPERLINK("https://lsnyc.legalserver.org/matter/dynamic-profile/view/1914095","19-1914095")</f>
        <v>0</v>
      </c>
      <c r="B986" t="s">
        <v>61</v>
      </c>
      <c r="C986" t="s">
        <v>210</v>
      </c>
      <c r="D986" t="s">
        <v>214</v>
      </c>
      <c r="E986" t="s">
        <v>219</v>
      </c>
      <c r="G986" t="s">
        <v>1313</v>
      </c>
      <c r="H986" t="s">
        <v>2042</v>
      </c>
      <c r="J986" t="s">
        <v>2973</v>
      </c>
      <c r="K986" t="s">
        <v>3038</v>
      </c>
      <c r="L986" t="s">
        <v>3378</v>
      </c>
      <c r="M986" t="s">
        <v>3379</v>
      </c>
      <c r="N986">
        <v>10303</v>
      </c>
      <c r="O986" t="s">
        <v>3380</v>
      </c>
      <c r="P986" t="s">
        <v>3381</v>
      </c>
      <c r="Q986" t="s">
        <v>3384</v>
      </c>
      <c r="R986" t="s">
        <v>4181</v>
      </c>
      <c r="S986">
        <v>7</v>
      </c>
      <c r="T986" t="s">
        <v>4196</v>
      </c>
      <c r="U986" t="s">
        <v>4223</v>
      </c>
      <c r="W986" t="s">
        <v>4248</v>
      </c>
      <c r="X986" t="s">
        <v>3382</v>
      </c>
      <c r="Y986" t="s">
        <v>3382</v>
      </c>
      <c r="AA986" t="s">
        <v>4258</v>
      </c>
      <c r="AB986" t="s">
        <v>4261</v>
      </c>
      <c r="AC986">
        <v>0</v>
      </c>
      <c r="AD986">
        <v>627</v>
      </c>
      <c r="AE986">
        <v>1.15</v>
      </c>
      <c r="AG986" t="s">
        <v>4315</v>
      </c>
      <c r="AI986" t="s">
        <v>6247</v>
      </c>
      <c r="AJ986">
        <v>0</v>
      </c>
      <c r="AK986" t="s">
        <v>6270</v>
      </c>
      <c r="AL986">
        <v>1</v>
      </c>
      <c r="AM986">
        <v>3</v>
      </c>
      <c r="AN986">
        <v>187.5</v>
      </c>
      <c r="AS986" t="s">
        <v>6298</v>
      </c>
      <c r="AT986">
        <v>48280</v>
      </c>
      <c r="AX986" t="s">
        <v>6457</v>
      </c>
      <c r="BA986" t="s">
        <v>6515</v>
      </c>
      <c r="BD986" t="s">
        <v>217</v>
      </c>
    </row>
    <row r="987" spans="1:57">
      <c r="A987" s="1">
        <f>HYPERLINK("https://lsnyc.legalserver.org/matter/dynamic-profile/view/1914189","19-1914189")</f>
        <v>0</v>
      </c>
      <c r="B987" t="s">
        <v>61</v>
      </c>
      <c r="C987" t="s">
        <v>210</v>
      </c>
      <c r="D987" t="s">
        <v>214</v>
      </c>
      <c r="E987" t="s">
        <v>341</v>
      </c>
      <c r="G987" t="s">
        <v>1138</v>
      </c>
      <c r="H987" t="s">
        <v>2043</v>
      </c>
      <c r="J987" t="s">
        <v>2974</v>
      </c>
      <c r="K987" t="s">
        <v>3023</v>
      </c>
      <c r="L987" t="s">
        <v>3378</v>
      </c>
      <c r="M987" t="s">
        <v>3379</v>
      </c>
      <c r="N987">
        <v>10301</v>
      </c>
      <c r="O987" t="s">
        <v>3381</v>
      </c>
      <c r="P987" t="s">
        <v>3381</v>
      </c>
      <c r="Q987" t="s">
        <v>3384</v>
      </c>
      <c r="R987" t="s">
        <v>4182</v>
      </c>
      <c r="S987">
        <v>-1</v>
      </c>
      <c r="T987" t="s">
        <v>4196</v>
      </c>
      <c r="W987" t="s">
        <v>4248</v>
      </c>
      <c r="X987" t="s">
        <v>3382</v>
      </c>
      <c r="Y987" t="s">
        <v>3382</v>
      </c>
      <c r="AA987" t="s">
        <v>4259</v>
      </c>
      <c r="AC987">
        <v>0</v>
      </c>
      <c r="AD987">
        <v>269</v>
      </c>
      <c r="AE987">
        <v>0</v>
      </c>
      <c r="AG987" t="s">
        <v>5215</v>
      </c>
      <c r="AI987" t="s">
        <v>6248</v>
      </c>
      <c r="AJ987">
        <v>0</v>
      </c>
      <c r="AK987" t="s">
        <v>6267</v>
      </c>
      <c r="AL987">
        <v>1</v>
      </c>
      <c r="AM987">
        <v>0</v>
      </c>
      <c r="AN987">
        <v>4</v>
      </c>
      <c r="AR987" t="s">
        <v>6290</v>
      </c>
      <c r="AS987" t="s">
        <v>6298</v>
      </c>
      <c r="AT987">
        <v>500</v>
      </c>
      <c r="AX987" t="s">
        <v>6450</v>
      </c>
      <c r="BA987" t="s">
        <v>6521</v>
      </c>
    </row>
    <row r="988" spans="1:57">
      <c r="A988" s="1">
        <f>HYPERLINK("https://lsnyc.legalserver.org/matter/dynamic-profile/view/1886930","19-1886930")</f>
        <v>0</v>
      </c>
      <c r="B988" t="s">
        <v>61</v>
      </c>
      <c r="C988" t="s">
        <v>211</v>
      </c>
      <c r="D988" t="s">
        <v>214</v>
      </c>
      <c r="E988" t="s">
        <v>404</v>
      </c>
      <c r="G988" t="s">
        <v>865</v>
      </c>
      <c r="H988" t="s">
        <v>1627</v>
      </c>
      <c r="J988" t="s">
        <v>2975</v>
      </c>
      <c r="K988">
        <v>141</v>
      </c>
      <c r="L988" t="s">
        <v>3378</v>
      </c>
      <c r="M988" t="s">
        <v>3379</v>
      </c>
      <c r="N988">
        <v>10305</v>
      </c>
      <c r="O988" t="s">
        <v>3381</v>
      </c>
      <c r="P988" t="s">
        <v>3381</v>
      </c>
      <c r="Q988" t="s">
        <v>3392</v>
      </c>
      <c r="R988" t="s">
        <v>4183</v>
      </c>
      <c r="S988">
        <v>3</v>
      </c>
      <c r="T988" t="s">
        <v>4196</v>
      </c>
      <c r="U988" t="s">
        <v>4223</v>
      </c>
      <c r="W988" t="s">
        <v>4248</v>
      </c>
      <c r="X988" t="s">
        <v>3382</v>
      </c>
      <c r="Y988" t="s">
        <v>3382</v>
      </c>
      <c r="AA988" t="s">
        <v>4256</v>
      </c>
      <c r="AB988" t="s">
        <v>4261</v>
      </c>
      <c r="AC988">
        <v>0</v>
      </c>
      <c r="AD988">
        <v>1150</v>
      </c>
      <c r="AE988">
        <v>6.3</v>
      </c>
      <c r="AG988" t="s">
        <v>5216</v>
      </c>
      <c r="AI988" t="s">
        <v>6249</v>
      </c>
      <c r="AJ988">
        <v>4</v>
      </c>
      <c r="AK988" t="s">
        <v>6274</v>
      </c>
      <c r="AL988">
        <v>3</v>
      </c>
      <c r="AM988">
        <v>0</v>
      </c>
      <c r="AN988">
        <v>92.29000000000001</v>
      </c>
      <c r="AQ988" t="s">
        <v>6287</v>
      </c>
      <c r="AR988" t="s">
        <v>5312</v>
      </c>
      <c r="AS988" t="s">
        <v>6298</v>
      </c>
      <c r="AT988">
        <v>19177.2</v>
      </c>
      <c r="AX988" t="s">
        <v>6458</v>
      </c>
      <c r="BA988" t="s">
        <v>6495</v>
      </c>
      <c r="BD988" t="s">
        <v>437</v>
      </c>
    </row>
    <row r="989" spans="1:57">
      <c r="A989" s="1">
        <f>HYPERLINK("https://lsnyc.legalserver.org/matter/dynamic-profile/view/1891265","19-1891265")</f>
        <v>0</v>
      </c>
      <c r="B989" t="s">
        <v>61</v>
      </c>
      <c r="C989" t="s">
        <v>211</v>
      </c>
      <c r="D989" t="s">
        <v>214</v>
      </c>
      <c r="E989" t="s">
        <v>382</v>
      </c>
      <c r="G989" t="s">
        <v>1314</v>
      </c>
      <c r="H989" t="s">
        <v>2044</v>
      </c>
      <c r="J989" t="s">
        <v>2976</v>
      </c>
      <c r="K989" t="s">
        <v>3007</v>
      </c>
      <c r="L989" t="s">
        <v>3378</v>
      </c>
      <c r="M989" t="s">
        <v>3379</v>
      </c>
      <c r="N989">
        <v>10303</v>
      </c>
      <c r="O989" t="s">
        <v>3380</v>
      </c>
      <c r="P989" t="s">
        <v>3380</v>
      </c>
      <c r="Q989" t="s">
        <v>3386</v>
      </c>
      <c r="R989" t="s">
        <v>4184</v>
      </c>
      <c r="S989">
        <v>3</v>
      </c>
      <c r="T989" t="s">
        <v>4201</v>
      </c>
      <c r="W989" t="s">
        <v>4249</v>
      </c>
      <c r="X989" t="s">
        <v>3382</v>
      </c>
      <c r="Y989" t="s">
        <v>3382</v>
      </c>
      <c r="AA989" t="s">
        <v>4258</v>
      </c>
      <c r="AB989" t="s">
        <v>4261</v>
      </c>
      <c r="AC989">
        <v>0</v>
      </c>
      <c r="AD989">
        <v>169</v>
      </c>
      <c r="AE989">
        <v>5</v>
      </c>
      <c r="AG989" t="s">
        <v>5217</v>
      </c>
      <c r="AJ989">
        <v>0</v>
      </c>
      <c r="AK989" t="s">
        <v>6270</v>
      </c>
      <c r="AL989">
        <v>1</v>
      </c>
      <c r="AM989">
        <v>2</v>
      </c>
      <c r="AN989">
        <v>16.88</v>
      </c>
      <c r="AQ989" t="s">
        <v>6286</v>
      </c>
      <c r="AR989" t="s">
        <v>6290</v>
      </c>
      <c r="AS989" t="s">
        <v>6299</v>
      </c>
      <c r="AT989">
        <v>3600</v>
      </c>
      <c r="AX989" t="s">
        <v>6453</v>
      </c>
      <c r="BA989" t="s">
        <v>6477</v>
      </c>
      <c r="BD989" t="s">
        <v>403</v>
      </c>
    </row>
    <row r="990" spans="1:57">
      <c r="A990" s="1">
        <f>HYPERLINK("https://lsnyc.legalserver.org/matter/dynamic-profile/view/1911572","19-1911572")</f>
        <v>0</v>
      </c>
      <c r="B990" t="s">
        <v>61</v>
      </c>
      <c r="C990" t="s">
        <v>212</v>
      </c>
      <c r="D990" t="s">
        <v>214</v>
      </c>
      <c r="E990" t="s">
        <v>248</v>
      </c>
      <c r="G990" t="s">
        <v>680</v>
      </c>
      <c r="H990" t="s">
        <v>2045</v>
      </c>
      <c r="J990" t="s">
        <v>2977</v>
      </c>
      <c r="K990" t="s">
        <v>3047</v>
      </c>
      <c r="L990" t="s">
        <v>3378</v>
      </c>
      <c r="M990" t="s">
        <v>3379</v>
      </c>
      <c r="N990">
        <v>10314</v>
      </c>
      <c r="O990" t="s">
        <v>3380</v>
      </c>
      <c r="P990" t="s">
        <v>3381</v>
      </c>
      <c r="Q990" t="s">
        <v>3384</v>
      </c>
      <c r="R990" t="s">
        <v>4185</v>
      </c>
      <c r="S990">
        <v>2</v>
      </c>
      <c r="T990" t="s">
        <v>4196</v>
      </c>
      <c r="U990" t="s">
        <v>4223</v>
      </c>
      <c r="W990" t="s">
        <v>4248</v>
      </c>
      <c r="X990" t="s">
        <v>3382</v>
      </c>
      <c r="Y990" t="s">
        <v>3382</v>
      </c>
      <c r="AA990" t="s">
        <v>4256</v>
      </c>
      <c r="AB990" t="s">
        <v>4261</v>
      </c>
      <c r="AC990">
        <v>0</v>
      </c>
      <c r="AD990">
        <v>2500</v>
      </c>
      <c r="AE990">
        <v>12.75</v>
      </c>
      <c r="AG990" t="s">
        <v>5218</v>
      </c>
      <c r="AI990" t="s">
        <v>6250</v>
      </c>
      <c r="AJ990">
        <v>2</v>
      </c>
      <c r="AL990">
        <v>2</v>
      </c>
      <c r="AM990">
        <v>3</v>
      </c>
      <c r="AN990">
        <v>152.23</v>
      </c>
      <c r="AS990" t="s">
        <v>6298</v>
      </c>
      <c r="AT990">
        <v>45928</v>
      </c>
      <c r="AX990" t="s">
        <v>6457</v>
      </c>
      <c r="BA990" t="s">
        <v>6524</v>
      </c>
      <c r="BD990" t="s">
        <v>217</v>
      </c>
    </row>
    <row r="991" spans="1:57">
      <c r="A991" s="1">
        <f>HYPERLINK("https://lsnyc.legalserver.org/matter/dynamic-profile/view/1912003","19-1912003")</f>
        <v>0</v>
      </c>
      <c r="B991" t="s">
        <v>61</v>
      </c>
      <c r="C991" t="s">
        <v>212</v>
      </c>
      <c r="D991" t="s">
        <v>214</v>
      </c>
      <c r="E991" t="s">
        <v>504</v>
      </c>
      <c r="G991" t="s">
        <v>685</v>
      </c>
      <c r="H991" t="s">
        <v>2046</v>
      </c>
      <c r="J991" t="s">
        <v>2978</v>
      </c>
      <c r="K991" t="s">
        <v>3030</v>
      </c>
      <c r="L991" t="s">
        <v>3378</v>
      </c>
      <c r="M991" t="s">
        <v>3379</v>
      </c>
      <c r="N991">
        <v>10314</v>
      </c>
      <c r="O991" t="s">
        <v>3381</v>
      </c>
      <c r="P991" t="s">
        <v>3381</v>
      </c>
      <c r="Q991" t="s">
        <v>3386</v>
      </c>
      <c r="R991" t="s">
        <v>4186</v>
      </c>
      <c r="S991">
        <v>6</v>
      </c>
      <c r="T991" t="s">
        <v>4196</v>
      </c>
      <c r="W991" t="s">
        <v>4249</v>
      </c>
      <c r="X991" t="s">
        <v>3382</v>
      </c>
      <c r="Y991" t="s">
        <v>3382</v>
      </c>
      <c r="AA991" t="s">
        <v>4258</v>
      </c>
      <c r="AB991" t="s">
        <v>4261</v>
      </c>
      <c r="AC991">
        <v>0</v>
      </c>
      <c r="AD991">
        <v>231</v>
      </c>
      <c r="AE991">
        <v>8</v>
      </c>
      <c r="AG991" t="s">
        <v>5219</v>
      </c>
      <c r="AI991" t="s">
        <v>6251</v>
      </c>
      <c r="AJ991">
        <v>504</v>
      </c>
      <c r="AK991" t="s">
        <v>6273</v>
      </c>
      <c r="AL991">
        <v>1</v>
      </c>
      <c r="AM991">
        <v>0</v>
      </c>
      <c r="AN991">
        <v>0</v>
      </c>
      <c r="AR991" t="s">
        <v>6290</v>
      </c>
      <c r="AS991" t="s">
        <v>6298</v>
      </c>
      <c r="AT991">
        <v>0</v>
      </c>
      <c r="AX991" t="s">
        <v>6450</v>
      </c>
      <c r="BA991" t="s">
        <v>6479</v>
      </c>
      <c r="BD991" t="s">
        <v>218</v>
      </c>
    </row>
    <row r="992" spans="1:57">
      <c r="A992" s="1">
        <f>HYPERLINK("https://lsnyc.legalserver.org/matter/dynamic-profile/view/1910288","19-1910288")</f>
        <v>0</v>
      </c>
      <c r="B992" t="s">
        <v>61</v>
      </c>
      <c r="C992" t="s">
        <v>212</v>
      </c>
      <c r="D992" t="s">
        <v>214</v>
      </c>
      <c r="E992" t="s">
        <v>253</v>
      </c>
      <c r="G992" t="s">
        <v>685</v>
      </c>
      <c r="H992" t="s">
        <v>2046</v>
      </c>
      <c r="J992" t="s">
        <v>2978</v>
      </c>
      <c r="K992" t="s">
        <v>3030</v>
      </c>
      <c r="L992" t="s">
        <v>3378</v>
      </c>
      <c r="M992" t="s">
        <v>3379</v>
      </c>
      <c r="N992">
        <v>10314</v>
      </c>
      <c r="O992" t="s">
        <v>3381</v>
      </c>
      <c r="P992" t="s">
        <v>3381</v>
      </c>
      <c r="Q992" t="s">
        <v>3393</v>
      </c>
      <c r="R992" t="s">
        <v>4187</v>
      </c>
      <c r="S992">
        <v>6</v>
      </c>
      <c r="T992" t="s">
        <v>4201</v>
      </c>
      <c r="W992" t="s">
        <v>4248</v>
      </c>
      <c r="X992" t="s">
        <v>3382</v>
      </c>
      <c r="Y992" t="s">
        <v>3382</v>
      </c>
      <c r="AA992" t="s">
        <v>4256</v>
      </c>
      <c r="AC992">
        <v>0</v>
      </c>
      <c r="AD992">
        <v>231</v>
      </c>
      <c r="AE992">
        <v>5.1</v>
      </c>
      <c r="AG992" t="s">
        <v>5219</v>
      </c>
      <c r="AI992" t="s">
        <v>6251</v>
      </c>
      <c r="AJ992">
        <v>504</v>
      </c>
      <c r="AK992" t="s">
        <v>6273</v>
      </c>
      <c r="AL992">
        <v>1</v>
      </c>
      <c r="AM992">
        <v>0</v>
      </c>
      <c r="AN992">
        <v>0</v>
      </c>
      <c r="AR992" t="s">
        <v>6290</v>
      </c>
      <c r="AS992" t="s">
        <v>6298</v>
      </c>
      <c r="AT992">
        <v>0</v>
      </c>
      <c r="AX992" t="s">
        <v>6450</v>
      </c>
      <c r="BA992" t="s">
        <v>6479</v>
      </c>
      <c r="BD992" t="s">
        <v>266</v>
      </c>
    </row>
    <row r="993" spans="1:56">
      <c r="A993" s="1">
        <f>HYPERLINK("https://lsnyc.legalserver.org/matter/dynamic-profile/view/1912741","19-1912741")</f>
        <v>0</v>
      </c>
      <c r="B993" t="s">
        <v>61</v>
      </c>
      <c r="C993" t="s">
        <v>212</v>
      </c>
      <c r="D993" t="s">
        <v>214</v>
      </c>
      <c r="E993" t="s">
        <v>222</v>
      </c>
      <c r="G993" t="s">
        <v>1315</v>
      </c>
      <c r="H993" t="s">
        <v>2047</v>
      </c>
      <c r="J993" t="s">
        <v>2979</v>
      </c>
      <c r="L993" t="s">
        <v>3378</v>
      </c>
      <c r="M993" t="s">
        <v>3379</v>
      </c>
      <c r="N993">
        <v>10312</v>
      </c>
      <c r="O993" t="s">
        <v>3381</v>
      </c>
      <c r="P993" t="s">
        <v>3381</v>
      </c>
      <c r="Q993" t="s">
        <v>3391</v>
      </c>
      <c r="R993" t="s">
        <v>4188</v>
      </c>
      <c r="S993">
        <v>1</v>
      </c>
      <c r="T993" t="s">
        <v>4197</v>
      </c>
      <c r="W993" t="s">
        <v>4249</v>
      </c>
      <c r="X993" t="s">
        <v>3382</v>
      </c>
      <c r="Y993" t="s">
        <v>3382</v>
      </c>
      <c r="AA993" t="s">
        <v>4256</v>
      </c>
      <c r="AB993" t="s">
        <v>4261</v>
      </c>
      <c r="AC993">
        <v>0</v>
      </c>
      <c r="AD993">
        <v>2000</v>
      </c>
      <c r="AE993">
        <v>4.7</v>
      </c>
      <c r="AG993" t="s">
        <v>5220</v>
      </c>
      <c r="AI993" t="s">
        <v>6252</v>
      </c>
      <c r="AJ993">
        <v>2</v>
      </c>
      <c r="AK993" t="s">
        <v>6274</v>
      </c>
      <c r="AL993">
        <v>2</v>
      </c>
      <c r="AM993">
        <v>0</v>
      </c>
      <c r="AN993">
        <v>109.99</v>
      </c>
      <c r="AR993" t="s">
        <v>5312</v>
      </c>
      <c r="AS993" t="s">
        <v>6298</v>
      </c>
      <c r="AT993">
        <v>18600</v>
      </c>
      <c r="AX993" t="s">
        <v>6450</v>
      </c>
      <c r="BA993" t="s">
        <v>6487</v>
      </c>
      <c r="BD993" t="s">
        <v>227</v>
      </c>
    </row>
    <row r="994" spans="1:56">
      <c r="A994" s="1">
        <f>HYPERLINK("https://lsnyc.legalserver.org/matter/dynamic-profile/view/1911370","19-1911370")</f>
        <v>0</v>
      </c>
      <c r="B994" t="s">
        <v>61</v>
      </c>
      <c r="C994" t="s">
        <v>212</v>
      </c>
      <c r="D994" t="s">
        <v>214</v>
      </c>
      <c r="E994" t="s">
        <v>253</v>
      </c>
      <c r="G994" t="s">
        <v>1316</v>
      </c>
      <c r="H994" t="s">
        <v>2048</v>
      </c>
      <c r="J994" t="s">
        <v>2969</v>
      </c>
      <c r="K994" t="s">
        <v>3326</v>
      </c>
      <c r="L994" t="s">
        <v>3378</v>
      </c>
      <c r="M994" t="s">
        <v>3379</v>
      </c>
      <c r="N994">
        <v>10310</v>
      </c>
      <c r="O994" t="s">
        <v>3381</v>
      </c>
      <c r="P994" t="s">
        <v>3381</v>
      </c>
      <c r="R994" t="s">
        <v>4189</v>
      </c>
      <c r="S994">
        <v>0</v>
      </c>
      <c r="W994" t="s">
        <v>4248</v>
      </c>
      <c r="X994" t="s">
        <v>3382</v>
      </c>
      <c r="AA994" t="s">
        <v>4258</v>
      </c>
      <c r="AC994">
        <v>0</v>
      </c>
      <c r="AD994">
        <v>0</v>
      </c>
      <c r="AE994">
        <v>31.4</v>
      </c>
      <c r="AG994" t="s">
        <v>5221</v>
      </c>
      <c r="AI994" t="s">
        <v>6253</v>
      </c>
      <c r="AJ994">
        <v>0</v>
      </c>
      <c r="AL994">
        <v>2</v>
      </c>
      <c r="AM994">
        <v>0</v>
      </c>
      <c r="AN994">
        <v>54.86</v>
      </c>
      <c r="AS994" t="s">
        <v>6299</v>
      </c>
      <c r="AT994">
        <v>9276</v>
      </c>
      <c r="AX994" t="s">
        <v>6454</v>
      </c>
      <c r="BA994" t="s">
        <v>6482</v>
      </c>
      <c r="BD994" t="s">
        <v>231</v>
      </c>
    </row>
    <row r="995" spans="1:56">
      <c r="A995" s="1">
        <f>HYPERLINK("https://lsnyc.legalserver.org/matter/dynamic-profile/view/1913721","19-1913721")</f>
        <v>0</v>
      </c>
      <c r="B995" t="s">
        <v>61</v>
      </c>
      <c r="C995" t="s">
        <v>212</v>
      </c>
      <c r="D995" t="s">
        <v>214</v>
      </c>
      <c r="E995" t="s">
        <v>230</v>
      </c>
      <c r="G995" t="s">
        <v>822</v>
      </c>
      <c r="H995" t="s">
        <v>2049</v>
      </c>
      <c r="J995" t="s">
        <v>2980</v>
      </c>
      <c r="L995" t="s">
        <v>3378</v>
      </c>
      <c r="M995" t="s">
        <v>3379</v>
      </c>
      <c r="N995">
        <v>10309</v>
      </c>
      <c r="O995" t="s">
        <v>3381</v>
      </c>
      <c r="P995" t="s">
        <v>3381</v>
      </c>
      <c r="Q995" t="s">
        <v>3384</v>
      </c>
      <c r="R995" t="s">
        <v>4190</v>
      </c>
      <c r="S995">
        <v>9</v>
      </c>
      <c r="T995" t="s">
        <v>4197</v>
      </c>
      <c r="W995" t="s">
        <v>4249</v>
      </c>
      <c r="X995" t="s">
        <v>3382</v>
      </c>
      <c r="Y995" t="s">
        <v>3382</v>
      </c>
      <c r="AA995" t="s">
        <v>4256</v>
      </c>
      <c r="AC995">
        <v>0</v>
      </c>
      <c r="AD995">
        <v>1700</v>
      </c>
      <c r="AE995">
        <v>4.6</v>
      </c>
      <c r="AG995" t="s">
        <v>5222</v>
      </c>
      <c r="AI995" t="s">
        <v>6254</v>
      </c>
      <c r="AJ995">
        <v>2</v>
      </c>
      <c r="AK995" t="s">
        <v>6274</v>
      </c>
      <c r="AL995">
        <v>2</v>
      </c>
      <c r="AM995">
        <v>1</v>
      </c>
      <c r="AN995">
        <v>78.76000000000001</v>
      </c>
      <c r="AS995" t="s">
        <v>6298</v>
      </c>
      <c r="AT995">
        <v>16800</v>
      </c>
      <c r="AX995" t="s">
        <v>6450</v>
      </c>
      <c r="BA995" t="s">
        <v>6491</v>
      </c>
      <c r="BD995" t="s">
        <v>217</v>
      </c>
    </row>
    <row r="996" spans="1:56">
      <c r="A996" s="1">
        <f>HYPERLINK("https://lsnyc.legalserver.org/matter/dynamic-profile/view/1914459","19-1914459")</f>
        <v>0</v>
      </c>
      <c r="B996" t="s">
        <v>61</v>
      </c>
      <c r="C996" t="s">
        <v>212</v>
      </c>
      <c r="D996" t="s">
        <v>214</v>
      </c>
      <c r="E996" t="s">
        <v>227</v>
      </c>
      <c r="G996" t="s">
        <v>930</v>
      </c>
      <c r="H996" t="s">
        <v>2050</v>
      </c>
      <c r="J996" t="s">
        <v>2981</v>
      </c>
      <c r="K996" t="s">
        <v>3327</v>
      </c>
      <c r="L996" t="s">
        <v>3378</v>
      </c>
      <c r="M996" t="s">
        <v>3379</v>
      </c>
      <c r="N996">
        <v>10306</v>
      </c>
      <c r="O996" t="s">
        <v>3381</v>
      </c>
      <c r="P996" t="s">
        <v>3381</v>
      </c>
      <c r="Q996" t="s">
        <v>3386</v>
      </c>
      <c r="S996">
        <v>-1</v>
      </c>
      <c r="T996" t="s">
        <v>4197</v>
      </c>
      <c r="W996" t="s">
        <v>4249</v>
      </c>
      <c r="X996" t="s">
        <v>3382</v>
      </c>
      <c r="Y996" t="s">
        <v>3382</v>
      </c>
      <c r="AA996" t="s">
        <v>4256</v>
      </c>
      <c r="AB996" t="s">
        <v>4261</v>
      </c>
      <c r="AC996">
        <v>0</v>
      </c>
      <c r="AD996">
        <v>1820</v>
      </c>
      <c r="AE996">
        <v>4.9</v>
      </c>
      <c r="AG996" t="s">
        <v>5223</v>
      </c>
      <c r="AI996" t="s">
        <v>6255</v>
      </c>
      <c r="AJ996">
        <v>3</v>
      </c>
      <c r="AK996" t="s">
        <v>6274</v>
      </c>
      <c r="AL996">
        <v>2</v>
      </c>
      <c r="AM996">
        <v>0</v>
      </c>
      <c r="AN996">
        <v>65.70999999999999</v>
      </c>
      <c r="AR996" t="s">
        <v>6290</v>
      </c>
      <c r="AS996" t="s">
        <v>6298</v>
      </c>
      <c r="AT996">
        <v>11112</v>
      </c>
      <c r="AX996" t="s">
        <v>6450</v>
      </c>
      <c r="BA996" t="s">
        <v>6511</v>
      </c>
      <c r="BD996" t="s">
        <v>231</v>
      </c>
    </row>
    <row r="997" spans="1:56">
      <c r="A997" s="1">
        <f>HYPERLINK("https://lsnyc.legalserver.org/matter/dynamic-profile/view/1912713","19-1912713")</f>
        <v>0</v>
      </c>
      <c r="B997" t="s">
        <v>61</v>
      </c>
      <c r="C997" t="s">
        <v>212</v>
      </c>
      <c r="D997" t="s">
        <v>214</v>
      </c>
      <c r="E997" t="s">
        <v>316</v>
      </c>
      <c r="G997" t="s">
        <v>614</v>
      </c>
      <c r="H997" t="s">
        <v>1974</v>
      </c>
      <c r="J997" t="s">
        <v>2982</v>
      </c>
      <c r="K997" t="s">
        <v>3047</v>
      </c>
      <c r="L997" t="s">
        <v>3378</v>
      </c>
      <c r="M997" t="s">
        <v>3379</v>
      </c>
      <c r="N997">
        <v>10305</v>
      </c>
      <c r="O997" t="s">
        <v>3381</v>
      </c>
      <c r="P997" t="s">
        <v>3381</v>
      </c>
      <c r="Q997" t="s">
        <v>3384</v>
      </c>
      <c r="R997" t="s">
        <v>4191</v>
      </c>
      <c r="S997">
        <v>-1</v>
      </c>
      <c r="T997" t="s">
        <v>4196</v>
      </c>
      <c r="W997" t="s">
        <v>4249</v>
      </c>
      <c r="X997" t="s">
        <v>3382</v>
      </c>
      <c r="Y997" t="s">
        <v>3382</v>
      </c>
      <c r="AA997" t="s">
        <v>4256</v>
      </c>
      <c r="AB997" t="s">
        <v>4261</v>
      </c>
      <c r="AC997">
        <v>0</v>
      </c>
      <c r="AD997">
        <v>1550</v>
      </c>
      <c r="AE997">
        <v>9.800000000000001</v>
      </c>
      <c r="AG997" t="s">
        <v>5224</v>
      </c>
      <c r="AI997" t="s">
        <v>6256</v>
      </c>
      <c r="AJ997">
        <v>2</v>
      </c>
      <c r="AK997" t="s">
        <v>6274</v>
      </c>
      <c r="AL997">
        <v>2</v>
      </c>
      <c r="AM997">
        <v>0</v>
      </c>
      <c r="AN997">
        <v>0</v>
      </c>
      <c r="AR997" t="s">
        <v>5312</v>
      </c>
      <c r="AS997" t="s">
        <v>6298</v>
      </c>
      <c r="AT997">
        <v>0</v>
      </c>
      <c r="AX997" t="s">
        <v>6450</v>
      </c>
      <c r="BA997" t="s">
        <v>6479</v>
      </c>
      <c r="BD997" t="s">
        <v>217</v>
      </c>
    </row>
    <row r="998" spans="1:56">
      <c r="A998" s="1">
        <f>HYPERLINK("https://lsnyc.legalserver.org/matter/dynamic-profile/view/1911541","19-1911541")</f>
        <v>0</v>
      </c>
      <c r="B998" t="s">
        <v>61</v>
      </c>
      <c r="C998" t="s">
        <v>212</v>
      </c>
      <c r="D998" t="s">
        <v>214</v>
      </c>
      <c r="E998" t="s">
        <v>269</v>
      </c>
      <c r="G998" t="s">
        <v>1317</v>
      </c>
      <c r="H998" t="s">
        <v>844</v>
      </c>
      <c r="J998" t="s">
        <v>2983</v>
      </c>
      <c r="K998" t="s">
        <v>3018</v>
      </c>
      <c r="L998" t="s">
        <v>3378</v>
      </c>
      <c r="M998" t="s">
        <v>3379</v>
      </c>
      <c r="N998">
        <v>10304</v>
      </c>
      <c r="O998" t="s">
        <v>3382</v>
      </c>
      <c r="P998" t="s">
        <v>3381</v>
      </c>
      <c r="Q998" t="s">
        <v>3384</v>
      </c>
      <c r="R998" t="s">
        <v>4192</v>
      </c>
      <c r="S998">
        <v>5</v>
      </c>
      <c r="T998" t="s">
        <v>4196</v>
      </c>
      <c r="U998" t="s">
        <v>4223</v>
      </c>
      <c r="W998" t="s">
        <v>4249</v>
      </c>
      <c r="X998" t="s">
        <v>3382</v>
      </c>
      <c r="Y998" t="s">
        <v>3382</v>
      </c>
      <c r="AA998" t="s">
        <v>4258</v>
      </c>
      <c r="AB998" t="s">
        <v>4261</v>
      </c>
      <c r="AC998">
        <v>0</v>
      </c>
      <c r="AD998">
        <v>207</v>
      </c>
      <c r="AE998">
        <v>6.9</v>
      </c>
      <c r="AG998" t="s">
        <v>5225</v>
      </c>
      <c r="AI998" t="s">
        <v>6257</v>
      </c>
      <c r="AJ998">
        <v>0</v>
      </c>
      <c r="AL998">
        <v>3</v>
      </c>
      <c r="AM998">
        <v>2</v>
      </c>
      <c r="AN998">
        <v>20.68</v>
      </c>
      <c r="AS998" t="s">
        <v>6298</v>
      </c>
      <c r="AT998">
        <v>6240</v>
      </c>
      <c r="AX998" t="s">
        <v>6457</v>
      </c>
      <c r="BA998" t="s">
        <v>6477</v>
      </c>
      <c r="BD998" t="s">
        <v>218</v>
      </c>
    </row>
    <row r="999" spans="1:56">
      <c r="A999" s="1">
        <f>HYPERLINK("https://lsnyc.legalserver.org/matter/dynamic-profile/view/1914029","19-1914029")</f>
        <v>0</v>
      </c>
      <c r="B999" t="s">
        <v>61</v>
      </c>
      <c r="C999" t="s">
        <v>213</v>
      </c>
      <c r="D999" t="s">
        <v>214</v>
      </c>
      <c r="E999" t="s">
        <v>571</v>
      </c>
      <c r="G999" t="s">
        <v>1318</v>
      </c>
      <c r="H999" t="s">
        <v>2051</v>
      </c>
      <c r="J999" t="s">
        <v>2984</v>
      </c>
      <c r="K999" t="s">
        <v>3036</v>
      </c>
      <c r="L999" t="s">
        <v>3378</v>
      </c>
      <c r="M999" t="s">
        <v>3379</v>
      </c>
      <c r="N999">
        <v>10314</v>
      </c>
      <c r="O999" t="s">
        <v>3381</v>
      </c>
      <c r="P999" t="s">
        <v>3381</v>
      </c>
      <c r="S999">
        <v>0</v>
      </c>
      <c r="U999" t="s">
        <v>4229</v>
      </c>
      <c r="W999" t="s">
        <v>4249</v>
      </c>
      <c r="X999" t="s">
        <v>3382</v>
      </c>
      <c r="AA999" t="s">
        <v>4258</v>
      </c>
      <c r="AC999">
        <v>0</v>
      </c>
      <c r="AD999">
        <v>0</v>
      </c>
      <c r="AE999">
        <v>1</v>
      </c>
      <c r="AG999" t="s">
        <v>5226</v>
      </c>
      <c r="AI999" t="s">
        <v>6258</v>
      </c>
      <c r="AJ999">
        <v>0</v>
      </c>
      <c r="AL999">
        <v>1</v>
      </c>
      <c r="AM999">
        <v>1</v>
      </c>
      <c r="AN999">
        <v>165.98</v>
      </c>
      <c r="AT999">
        <v>28068</v>
      </c>
      <c r="AX999" t="s">
        <v>213</v>
      </c>
      <c r="BA999" t="s">
        <v>6477</v>
      </c>
      <c r="BD999" t="s">
        <v>243</v>
      </c>
    </row>
    <row r="1000" spans="1:56">
      <c r="A1000" s="1">
        <f>HYPERLINK("https://lsnyc.legalserver.org/matter/dynamic-profile/view/1886093","18-1886093")</f>
        <v>0</v>
      </c>
      <c r="B1000" t="s">
        <v>61</v>
      </c>
      <c r="C1000" t="s">
        <v>213</v>
      </c>
      <c r="D1000" t="s">
        <v>214</v>
      </c>
      <c r="E1000" t="s">
        <v>572</v>
      </c>
      <c r="G1000" t="s">
        <v>1319</v>
      </c>
      <c r="H1000" t="s">
        <v>2052</v>
      </c>
      <c r="J1000" t="s">
        <v>2985</v>
      </c>
      <c r="K1000" t="s">
        <v>3021</v>
      </c>
      <c r="L1000" t="s">
        <v>3378</v>
      </c>
      <c r="M1000" t="s">
        <v>3379</v>
      </c>
      <c r="N1000">
        <v>10310</v>
      </c>
      <c r="O1000" t="s">
        <v>3381</v>
      </c>
      <c r="P1000" t="s">
        <v>3381</v>
      </c>
      <c r="Q1000" t="s">
        <v>3384</v>
      </c>
      <c r="R1000" t="s">
        <v>4193</v>
      </c>
      <c r="S1000">
        <v>8</v>
      </c>
      <c r="T1000" t="s">
        <v>4196</v>
      </c>
      <c r="U1000" t="s">
        <v>4224</v>
      </c>
      <c r="W1000" t="s">
        <v>4248</v>
      </c>
      <c r="X1000" t="s">
        <v>3382</v>
      </c>
      <c r="Y1000" t="s">
        <v>3382</v>
      </c>
      <c r="AA1000" t="s">
        <v>4259</v>
      </c>
      <c r="AB1000" t="s">
        <v>4261</v>
      </c>
      <c r="AC1000">
        <v>0</v>
      </c>
      <c r="AD1000">
        <v>1320</v>
      </c>
      <c r="AE1000">
        <v>15.1</v>
      </c>
      <c r="AG1000" t="s">
        <v>5227</v>
      </c>
      <c r="AI1000" t="s">
        <v>6259</v>
      </c>
      <c r="AJ1000">
        <v>0</v>
      </c>
      <c r="AK1000" t="s">
        <v>6273</v>
      </c>
      <c r="AL1000">
        <v>6</v>
      </c>
      <c r="AM1000">
        <v>0</v>
      </c>
      <c r="AN1000">
        <v>184.94</v>
      </c>
      <c r="AQ1000" t="s">
        <v>6287</v>
      </c>
      <c r="AR1000" t="s">
        <v>6290</v>
      </c>
      <c r="AS1000" t="s">
        <v>6298</v>
      </c>
      <c r="AT1000">
        <v>62400</v>
      </c>
      <c r="AX1000" t="s">
        <v>6458</v>
      </c>
      <c r="BA1000" t="s">
        <v>6477</v>
      </c>
      <c r="BD1000" t="s">
        <v>365</v>
      </c>
    </row>
    <row r="1001" spans="1:56">
      <c r="A1001" s="1">
        <f>HYPERLINK("https://lsnyc.legalserver.org/matter/dynamic-profile/view/1887812","19-1887812")</f>
        <v>0</v>
      </c>
      <c r="B1001" t="s">
        <v>61</v>
      </c>
      <c r="C1001" t="s">
        <v>213</v>
      </c>
      <c r="D1001" t="s">
        <v>214</v>
      </c>
      <c r="E1001" t="s">
        <v>485</v>
      </c>
      <c r="G1001" t="s">
        <v>1320</v>
      </c>
      <c r="H1001" t="s">
        <v>1490</v>
      </c>
      <c r="J1001" t="s">
        <v>2986</v>
      </c>
      <c r="K1001" t="s">
        <v>3328</v>
      </c>
      <c r="L1001" t="s">
        <v>3378</v>
      </c>
      <c r="M1001" t="s">
        <v>3379</v>
      </c>
      <c r="N1001">
        <v>10310</v>
      </c>
      <c r="O1001" t="s">
        <v>3381</v>
      </c>
      <c r="P1001" t="s">
        <v>3381</v>
      </c>
      <c r="S1001">
        <v>0</v>
      </c>
      <c r="W1001" t="s">
        <v>4249</v>
      </c>
      <c r="X1001" t="s">
        <v>3382</v>
      </c>
      <c r="AA1001" t="s">
        <v>4258</v>
      </c>
      <c r="AC1001">
        <v>0</v>
      </c>
      <c r="AD1001">
        <v>0</v>
      </c>
      <c r="AE1001">
        <v>19.9</v>
      </c>
      <c r="AG1001" t="s">
        <v>5228</v>
      </c>
      <c r="AI1001" t="s">
        <v>6260</v>
      </c>
      <c r="AJ1001">
        <v>0</v>
      </c>
      <c r="AL1001">
        <v>1</v>
      </c>
      <c r="AM1001">
        <v>2</v>
      </c>
      <c r="AN1001">
        <v>50.59</v>
      </c>
      <c r="AS1001" t="s">
        <v>6298</v>
      </c>
      <c r="AT1001">
        <v>10512</v>
      </c>
      <c r="AX1001" t="s">
        <v>6454</v>
      </c>
      <c r="BA1001" t="s">
        <v>6537</v>
      </c>
      <c r="BD1001" t="s">
        <v>339</v>
      </c>
    </row>
    <row r="1002" spans="1:56">
      <c r="A1002" s="1">
        <f>HYPERLINK("https://lsnyc.legalserver.org/matter/dynamic-profile/view/1913081","19-1913081")</f>
        <v>0</v>
      </c>
      <c r="B1002" t="s">
        <v>61</v>
      </c>
      <c r="C1002" t="s">
        <v>213</v>
      </c>
      <c r="D1002" t="s">
        <v>214</v>
      </c>
      <c r="E1002" t="s">
        <v>293</v>
      </c>
      <c r="G1002" t="s">
        <v>1321</v>
      </c>
      <c r="H1002" t="s">
        <v>1174</v>
      </c>
      <c r="J1002" t="s">
        <v>2987</v>
      </c>
      <c r="K1002" t="s">
        <v>3076</v>
      </c>
      <c r="L1002" t="s">
        <v>3378</v>
      </c>
      <c r="M1002" t="s">
        <v>3379</v>
      </c>
      <c r="N1002">
        <v>10310</v>
      </c>
      <c r="O1002" t="s">
        <v>3381</v>
      </c>
      <c r="P1002" t="s">
        <v>3381</v>
      </c>
      <c r="S1002">
        <v>0</v>
      </c>
      <c r="U1002" t="s">
        <v>4229</v>
      </c>
      <c r="W1002" t="s">
        <v>4249</v>
      </c>
      <c r="X1002" t="s">
        <v>3382</v>
      </c>
      <c r="AA1002" t="s">
        <v>4258</v>
      </c>
      <c r="AC1002">
        <v>0</v>
      </c>
      <c r="AD1002">
        <v>0</v>
      </c>
      <c r="AE1002">
        <v>1.4</v>
      </c>
      <c r="AG1002" t="s">
        <v>5229</v>
      </c>
      <c r="AI1002" t="s">
        <v>6261</v>
      </c>
      <c r="AJ1002">
        <v>0</v>
      </c>
      <c r="AL1002">
        <v>1</v>
      </c>
      <c r="AM1002">
        <v>1</v>
      </c>
      <c r="AN1002">
        <v>274.15</v>
      </c>
      <c r="AS1002" t="s">
        <v>6298</v>
      </c>
      <c r="AT1002">
        <v>46359</v>
      </c>
      <c r="AX1002" t="s">
        <v>213</v>
      </c>
      <c r="BA1002" t="s">
        <v>6477</v>
      </c>
      <c r="BD1002" t="s">
        <v>243</v>
      </c>
    </row>
    <row r="1003" spans="1:56">
      <c r="A1003" s="1">
        <f>HYPERLINK("https://lsnyc.legalserver.org/matter/dynamic-profile/view/1913555","19-1913555")</f>
        <v>0</v>
      </c>
      <c r="B1003" t="s">
        <v>61</v>
      </c>
      <c r="C1003" t="s">
        <v>213</v>
      </c>
      <c r="D1003" t="s">
        <v>214</v>
      </c>
      <c r="E1003" t="s">
        <v>341</v>
      </c>
      <c r="G1003" t="s">
        <v>1235</v>
      </c>
      <c r="H1003" t="s">
        <v>2053</v>
      </c>
      <c r="J1003" t="s">
        <v>2988</v>
      </c>
      <c r="K1003" t="s">
        <v>3287</v>
      </c>
      <c r="L1003" t="s">
        <v>3378</v>
      </c>
      <c r="M1003" t="s">
        <v>3379</v>
      </c>
      <c r="N1003">
        <v>10304</v>
      </c>
      <c r="O1003" t="s">
        <v>3381</v>
      </c>
      <c r="P1003" t="s">
        <v>3381</v>
      </c>
      <c r="R1003" t="s">
        <v>4194</v>
      </c>
      <c r="S1003">
        <v>1</v>
      </c>
      <c r="T1003" t="s">
        <v>4197</v>
      </c>
      <c r="W1003" t="s">
        <v>4249</v>
      </c>
      <c r="X1003" t="s">
        <v>3382</v>
      </c>
      <c r="Y1003" t="s">
        <v>3382</v>
      </c>
      <c r="AA1003" t="s">
        <v>4256</v>
      </c>
      <c r="AC1003">
        <v>0</v>
      </c>
      <c r="AD1003">
        <v>0</v>
      </c>
      <c r="AE1003">
        <v>7.8</v>
      </c>
      <c r="AG1003" t="s">
        <v>5230</v>
      </c>
      <c r="AI1003" t="s">
        <v>6262</v>
      </c>
      <c r="AJ1003">
        <v>2</v>
      </c>
      <c r="AK1003" t="s">
        <v>6274</v>
      </c>
      <c r="AL1003">
        <v>1</v>
      </c>
      <c r="AM1003">
        <v>7</v>
      </c>
      <c r="AN1003">
        <v>17.74</v>
      </c>
      <c r="AR1003" t="s">
        <v>6291</v>
      </c>
      <c r="AS1003" t="s">
        <v>6298</v>
      </c>
      <c r="AT1003">
        <v>7704</v>
      </c>
      <c r="AX1003" t="s">
        <v>6454</v>
      </c>
      <c r="BA1003" t="s">
        <v>6558</v>
      </c>
      <c r="BD1003" t="s">
        <v>217</v>
      </c>
    </row>
    <row r="1004" spans="1:56">
      <c r="A1004" s="1">
        <f>HYPERLINK("https://lsnyc.legalserver.org/matter/dynamic-profile/view/1912153","19-1912153")</f>
        <v>0</v>
      </c>
      <c r="B1004" t="s">
        <v>61</v>
      </c>
      <c r="C1004" t="s">
        <v>213</v>
      </c>
      <c r="D1004" t="s">
        <v>214</v>
      </c>
      <c r="E1004" t="s">
        <v>269</v>
      </c>
      <c r="G1004" t="s">
        <v>895</v>
      </c>
      <c r="H1004" t="s">
        <v>2054</v>
      </c>
      <c r="J1004" t="s">
        <v>2989</v>
      </c>
      <c r="L1004" t="s">
        <v>3378</v>
      </c>
      <c r="M1004" t="s">
        <v>3379</v>
      </c>
      <c r="N1004">
        <v>10303</v>
      </c>
      <c r="O1004" t="s">
        <v>3380</v>
      </c>
      <c r="P1004" t="s">
        <v>3381</v>
      </c>
      <c r="Q1004" t="s">
        <v>3384</v>
      </c>
      <c r="R1004" t="s">
        <v>4195</v>
      </c>
      <c r="S1004">
        <v>2</v>
      </c>
      <c r="T1004" t="s">
        <v>4197</v>
      </c>
      <c r="U1004" t="s">
        <v>4223</v>
      </c>
      <c r="W1004" t="s">
        <v>4248</v>
      </c>
      <c r="X1004" t="s">
        <v>3382</v>
      </c>
      <c r="Y1004" t="s">
        <v>3382</v>
      </c>
      <c r="AA1004" t="s">
        <v>4256</v>
      </c>
      <c r="AB1004" t="s">
        <v>4261</v>
      </c>
      <c r="AC1004">
        <v>0</v>
      </c>
      <c r="AD1004">
        <v>2250</v>
      </c>
      <c r="AE1004">
        <v>7.9</v>
      </c>
      <c r="AG1004" t="s">
        <v>4651</v>
      </c>
      <c r="AI1004" t="s">
        <v>6263</v>
      </c>
      <c r="AJ1004">
        <v>2</v>
      </c>
      <c r="AL1004">
        <v>2</v>
      </c>
      <c r="AM1004">
        <v>2</v>
      </c>
      <c r="AN1004">
        <v>252.43</v>
      </c>
      <c r="AS1004" t="s">
        <v>6298</v>
      </c>
      <c r="AT1004">
        <v>65000</v>
      </c>
      <c r="AX1004" t="s">
        <v>6457</v>
      </c>
      <c r="BA1004" t="s">
        <v>6477</v>
      </c>
      <c r="BD1004" t="s">
        <v>231</v>
      </c>
    </row>
    <row r="1005" spans="1:56">
      <c r="A1005" s="1">
        <f>HYPERLINK("https://lsnyc.legalserver.org/matter/dynamic-profile/view/1912995","19-1912995")</f>
        <v>0</v>
      </c>
      <c r="B1005" t="s">
        <v>61</v>
      </c>
      <c r="C1005" t="s">
        <v>213</v>
      </c>
      <c r="D1005" t="s">
        <v>214</v>
      </c>
      <c r="E1005" t="s">
        <v>573</v>
      </c>
      <c r="G1005" t="s">
        <v>1322</v>
      </c>
      <c r="H1005" t="s">
        <v>2055</v>
      </c>
      <c r="J1005" t="s">
        <v>2990</v>
      </c>
      <c r="K1005" t="s">
        <v>3007</v>
      </c>
      <c r="L1005" t="s">
        <v>3378</v>
      </c>
      <c r="M1005" t="s">
        <v>3379</v>
      </c>
      <c r="N1005">
        <v>10303</v>
      </c>
      <c r="O1005" t="s">
        <v>3381</v>
      </c>
      <c r="P1005" t="s">
        <v>3381</v>
      </c>
      <c r="S1005">
        <v>0</v>
      </c>
      <c r="W1005" t="s">
        <v>4249</v>
      </c>
      <c r="X1005" t="s">
        <v>3382</v>
      </c>
      <c r="AA1005" t="s">
        <v>4258</v>
      </c>
      <c r="AC1005">
        <v>0</v>
      </c>
      <c r="AD1005">
        <v>0</v>
      </c>
      <c r="AE1005">
        <v>2.5</v>
      </c>
      <c r="AG1005" t="s">
        <v>5231</v>
      </c>
      <c r="AI1005" t="s">
        <v>6264</v>
      </c>
      <c r="AJ1005">
        <v>0</v>
      </c>
      <c r="AL1005">
        <v>4</v>
      </c>
      <c r="AM1005">
        <v>1</v>
      </c>
      <c r="AN1005">
        <v>30.63</v>
      </c>
      <c r="AS1005" t="s">
        <v>6299</v>
      </c>
      <c r="AT1005">
        <v>9240</v>
      </c>
      <c r="AX1005" t="s">
        <v>213</v>
      </c>
      <c r="BA1005" t="s">
        <v>6511</v>
      </c>
      <c r="BD1005" t="s">
        <v>275</v>
      </c>
    </row>
    <row r="1006" spans="1:56">
      <c r="A1006" s="1">
        <f>HYPERLINK("https://lsnyc.legalserver.org/matter/dynamic-profile/view/1914500","19-1914500")</f>
        <v>0</v>
      </c>
      <c r="B1006" t="s">
        <v>61</v>
      </c>
      <c r="C1006" t="s">
        <v>213</v>
      </c>
      <c r="D1006" t="s">
        <v>214</v>
      </c>
      <c r="E1006" t="s">
        <v>227</v>
      </c>
      <c r="G1006" t="s">
        <v>1323</v>
      </c>
      <c r="H1006" t="s">
        <v>1425</v>
      </c>
      <c r="J1006" t="s">
        <v>2991</v>
      </c>
      <c r="K1006" t="s">
        <v>3017</v>
      </c>
      <c r="L1006" t="s">
        <v>3378</v>
      </c>
      <c r="M1006" t="s">
        <v>3379</v>
      </c>
      <c r="N1006">
        <v>10303</v>
      </c>
      <c r="O1006" t="s">
        <v>3381</v>
      </c>
      <c r="P1006" t="s">
        <v>3381</v>
      </c>
      <c r="S1006">
        <v>0</v>
      </c>
      <c r="W1006" t="s">
        <v>4249</v>
      </c>
      <c r="X1006" t="s">
        <v>3382</v>
      </c>
      <c r="AA1006" t="s">
        <v>4258</v>
      </c>
      <c r="AC1006">
        <v>0</v>
      </c>
      <c r="AD1006">
        <v>0</v>
      </c>
      <c r="AE1006">
        <v>4.3</v>
      </c>
      <c r="AG1006" t="s">
        <v>5232</v>
      </c>
      <c r="AI1006" t="s">
        <v>6265</v>
      </c>
      <c r="AJ1006">
        <v>0</v>
      </c>
      <c r="AL1006">
        <v>3</v>
      </c>
      <c r="AM1006">
        <v>2</v>
      </c>
      <c r="AN1006">
        <v>107.23</v>
      </c>
      <c r="AS1006" t="s">
        <v>6298</v>
      </c>
      <c r="AT1006">
        <v>32352</v>
      </c>
      <c r="AX1006" t="s">
        <v>213</v>
      </c>
      <c r="BA1006" t="s">
        <v>6474</v>
      </c>
      <c r="BD100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No Elig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2019-12-02T19:41:47Z</dcterms:created>
  <dcterms:modified xsi:type="dcterms:W3CDTF">2019-12-02T19:41:47Z</dcterms:modified>
</cp:coreProperties>
</file>