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<sst xmlns="http://schemas.openxmlformats.org/spreadsheetml/2006/main" count="7768" uniqueCount="1658">
  <si>
    <t>Hyperlinked Case #</t>
  </si>
  <si>
    <t>Assigned Branch/CC</t>
  </si>
  <si>
    <t>Primary Advocate</t>
  </si>
  <si>
    <t>Last Name</t>
  </si>
  <si>
    <t>First Name</t>
  </si>
  <si>
    <t>Date Opened</t>
  </si>
  <si>
    <t>Date Closed</t>
  </si>
  <si>
    <t>DAP Level Of Representation</t>
  </si>
  <si>
    <t>DAP Legal Problem</t>
  </si>
  <si>
    <t>Legal Problem Code</t>
  </si>
  <si>
    <t>Primary Funding Codes</t>
  </si>
  <si>
    <t>Secondary Funding Codes</t>
  </si>
  <si>
    <t>Close Reason</t>
  </si>
  <si>
    <t>Rep or Not?</t>
  </si>
  <si>
    <t>If Rep, Did We Win?</t>
  </si>
  <si>
    <t>DAP Outcome</t>
  </si>
  <si>
    <t>Avoid Monthly (Monthly Payment Avoided)</t>
  </si>
  <si>
    <t>Avoid (Lump Sum Avoid)</t>
  </si>
  <si>
    <t>Retro Recovery (Retroactive Award/Settlement)</t>
  </si>
  <si>
    <t>Recovered Monthly (Monthly Benefit)</t>
  </si>
  <si>
    <t>DAP Monthly Total</t>
  </si>
  <si>
    <t>DAP Recovery</t>
  </si>
  <si>
    <t>Retro Total</t>
  </si>
  <si>
    <t>Monthly Social Security</t>
  </si>
  <si>
    <t>Monthly Disability</t>
  </si>
  <si>
    <t>Interim Deduction</t>
  </si>
  <si>
    <t>Brooklyn Legal Services</t>
  </si>
  <si>
    <t>Queens Legal Services</t>
  </si>
  <si>
    <t>Manhattan Legal Services</t>
  </si>
  <si>
    <t>Bronx Legal Services</t>
  </si>
  <si>
    <t>Diaz, Jose</t>
  </si>
  <si>
    <t>Deluca, Sally</t>
  </si>
  <si>
    <t>Corcione, Emily</t>
  </si>
  <si>
    <t>Blackman, Valerie</t>
  </si>
  <si>
    <t>Kaplan, William</t>
  </si>
  <si>
    <t>Mar, Nelson</t>
  </si>
  <si>
    <t>Heaton, Betty</t>
  </si>
  <si>
    <t>Hanmer, Dorothy</t>
  </si>
  <si>
    <t>Leipziger, Amy</t>
  </si>
  <si>
    <t>Sun, Dao</t>
  </si>
  <si>
    <t>Mencher, Jessica</t>
  </si>
  <si>
    <t>Schryver, Erik</t>
  </si>
  <si>
    <t>Molnar, Shandanette</t>
  </si>
  <si>
    <t>Martinez, Ana</t>
  </si>
  <si>
    <t>Sanders, Melanie</t>
  </si>
  <si>
    <t>Bowman, Cathy</t>
  </si>
  <si>
    <t>Giles, Debra</t>
  </si>
  <si>
    <t>Cherenfant, Guilene</t>
  </si>
  <si>
    <t>Alvarado, Zuly</t>
  </si>
  <si>
    <t>Sandoval, Sandra</t>
  </si>
  <si>
    <t>Abrigo, Jose</t>
  </si>
  <si>
    <t>Medina Mendez, Lino</t>
  </si>
  <si>
    <t>Neff, Adrienne</t>
  </si>
  <si>
    <t>Bash, Rachel</t>
  </si>
  <si>
    <t>Oquendo, Joann</t>
  </si>
  <si>
    <t>Hernandez, Marisol</t>
  </si>
  <si>
    <t>Khan, Shafaq</t>
  </si>
  <si>
    <t>Carlier, Milton</t>
  </si>
  <si>
    <t>Alexis, Jennifer</t>
  </si>
  <si>
    <t>Ortiz, Andrew</t>
  </si>
  <si>
    <t>Paulino, Jayna</t>
  </si>
  <si>
    <t>Garcia</t>
  </si>
  <si>
    <t>Mejias</t>
  </si>
  <si>
    <t>Washington</t>
  </si>
  <si>
    <t>Torres</t>
  </si>
  <si>
    <t>Ingram</t>
  </si>
  <si>
    <t>Burton</t>
  </si>
  <si>
    <t>Espinal</t>
  </si>
  <si>
    <t>Castaneda Guitierrez</t>
  </si>
  <si>
    <t>Bankasingh</t>
  </si>
  <si>
    <t>Nieves</t>
  </si>
  <si>
    <t>Reid</t>
  </si>
  <si>
    <t>Lewis</t>
  </si>
  <si>
    <t>Andino</t>
  </si>
  <si>
    <t>Hinks</t>
  </si>
  <si>
    <t>Zuniga</t>
  </si>
  <si>
    <t>Blumenstein</t>
  </si>
  <si>
    <t>Logan</t>
  </si>
  <si>
    <t>DeSilva</t>
  </si>
  <si>
    <t>Woodson</t>
  </si>
  <si>
    <t>Kirkland</t>
  </si>
  <si>
    <t>Lopez</t>
  </si>
  <si>
    <t>Butler</t>
  </si>
  <si>
    <t>Jagbir</t>
  </si>
  <si>
    <t>Heyward</t>
  </si>
  <si>
    <t>Cazee</t>
  </si>
  <si>
    <t>Grant-Micah</t>
  </si>
  <si>
    <t>Ramos</t>
  </si>
  <si>
    <t>Delgado</t>
  </si>
  <si>
    <t>ROMAN</t>
  </si>
  <si>
    <t>Garces</t>
  </si>
  <si>
    <t>McDonald</t>
  </si>
  <si>
    <t>Deherrera</t>
  </si>
  <si>
    <t>Sorden</t>
  </si>
  <si>
    <t>Burgos</t>
  </si>
  <si>
    <t>Arroyo</t>
  </si>
  <si>
    <t>Gonzalez</t>
  </si>
  <si>
    <t>Lomax</t>
  </si>
  <si>
    <t>Alvarez</t>
  </si>
  <si>
    <t>Dessasure</t>
  </si>
  <si>
    <t>Cappa</t>
  </si>
  <si>
    <t>Smith</t>
  </si>
  <si>
    <t>Kimal</t>
  </si>
  <si>
    <t>Figueroa</t>
  </si>
  <si>
    <t>Hope</t>
  </si>
  <si>
    <t>Sow</t>
  </si>
  <si>
    <t>Robles</t>
  </si>
  <si>
    <t>Romano</t>
  </si>
  <si>
    <t>Baker</t>
  </si>
  <si>
    <t>Guy</t>
  </si>
  <si>
    <t>Greene</t>
  </si>
  <si>
    <t>Chambers</t>
  </si>
  <si>
    <t>Bello</t>
  </si>
  <si>
    <t>Calderon</t>
  </si>
  <si>
    <t>BROWN</t>
  </si>
  <si>
    <t>Vaughn</t>
  </si>
  <si>
    <t>Vazquez</t>
  </si>
  <si>
    <t>Wilson</t>
  </si>
  <si>
    <t>De Alwis</t>
  </si>
  <si>
    <t>Bailey</t>
  </si>
  <si>
    <t>Andux</t>
  </si>
  <si>
    <t>Byers</t>
  </si>
  <si>
    <t>Melville</t>
  </si>
  <si>
    <t>Edwards</t>
  </si>
  <si>
    <t>Sosa  Casiano</t>
  </si>
  <si>
    <t>Lalande</t>
  </si>
  <si>
    <t>Adon</t>
  </si>
  <si>
    <t>Ortiz</t>
  </si>
  <si>
    <t>Robertson</t>
  </si>
  <si>
    <t>Vega</t>
  </si>
  <si>
    <t>Cuiman</t>
  </si>
  <si>
    <t>Reyes</t>
  </si>
  <si>
    <t>AYALA</t>
  </si>
  <si>
    <t>Henry</t>
  </si>
  <si>
    <t>Herrera</t>
  </si>
  <si>
    <t>Diaz-Cortinas</t>
  </si>
  <si>
    <t>Williams</t>
  </si>
  <si>
    <t>Boone</t>
  </si>
  <si>
    <t>Ramirez</t>
  </si>
  <si>
    <t>Tavarez</t>
  </si>
  <si>
    <t>Davis</t>
  </si>
  <si>
    <t>Marcellus</t>
  </si>
  <si>
    <t>Leandry</t>
  </si>
  <si>
    <t>Jarrett</t>
  </si>
  <si>
    <t>Forrester</t>
  </si>
  <si>
    <t>Jimenez</t>
  </si>
  <si>
    <t>Stewart</t>
  </si>
  <si>
    <t>Cruz</t>
  </si>
  <si>
    <t>Jones</t>
  </si>
  <si>
    <t>Ortiz-Correa</t>
  </si>
  <si>
    <t>Arauz</t>
  </si>
  <si>
    <t>Chavez</t>
  </si>
  <si>
    <t>Drain</t>
  </si>
  <si>
    <t>Martinez Caceres</t>
  </si>
  <si>
    <t>Baez</t>
  </si>
  <si>
    <t>McLeod</t>
  </si>
  <si>
    <t>Glover</t>
  </si>
  <si>
    <t>Watson</t>
  </si>
  <si>
    <t>Davidson</t>
  </si>
  <si>
    <t>Acevedo</t>
  </si>
  <si>
    <t>Rodriguez</t>
  </si>
  <si>
    <t>Robinson</t>
  </si>
  <si>
    <t>Suarez</t>
  </si>
  <si>
    <t>Holmes</t>
  </si>
  <si>
    <t>CORA</t>
  </si>
  <si>
    <t>Quinones</t>
  </si>
  <si>
    <t>Sutton</t>
  </si>
  <si>
    <t>Medina</t>
  </si>
  <si>
    <t>Cullins</t>
  </si>
  <si>
    <t>Pryor</t>
  </si>
  <si>
    <t>Rolon</t>
  </si>
  <si>
    <t>Corporan</t>
  </si>
  <si>
    <t>Muniz</t>
  </si>
  <si>
    <t>Bueno</t>
  </si>
  <si>
    <t>Boissard</t>
  </si>
  <si>
    <t>Kaplan</t>
  </si>
  <si>
    <t>Litthcut</t>
  </si>
  <si>
    <t>Smalls</t>
  </si>
  <si>
    <t>Troncoso</t>
  </si>
  <si>
    <t>Ortega</t>
  </si>
  <si>
    <t>Joseph</t>
  </si>
  <si>
    <t>Padilla</t>
  </si>
  <si>
    <t>Husbands</t>
  </si>
  <si>
    <t>Rivera</t>
  </si>
  <si>
    <t>Seda Vicente</t>
  </si>
  <si>
    <t>Baque</t>
  </si>
  <si>
    <t>Mabry</t>
  </si>
  <si>
    <t>Hernandez Lopez</t>
  </si>
  <si>
    <t>Abreu</t>
  </si>
  <si>
    <t>Clarke</t>
  </si>
  <si>
    <t>Latif</t>
  </si>
  <si>
    <t>Inam</t>
  </si>
  <si>
    <t>Guzman</t>
  </si>
  <si>
    <t>Alverio</t>
  </si>
  <si>
    <t>Steenson</t>
  </si>
  <si>
    <t>Harrison</t>
  </si>
  <si>
    <t>Roach</t>
  </si>
  <si>
    <t>PERILLI</t>
  </si>
  <si>
    <t>Small</t>
  </si>
  <si>
    <t>High</t>
  </si>
  <si>
    <t>Putkaradze</t>
  </si>
  <si>
    <t>Roper</t>
  </si>
  <si>
    <t>Kravchenko</t>
  </si>
  <si>
    <t>Fox</t>
  </si>
  <si>
    <t>Mason</t>
  </si>
  <si>
    <t>Pettigrew</t>
  </si>
  <si>
    <t>Adams</t>
  </si>
  <si>
    <t>Grijalba</t>
  </si>
  <si>
    <t>Claybrooks</t>
  </si>
  <si>
    <t>Bernshteyn</t>
  </si>
  <si>
    <t>Bartley</t>
  </si>
  <si>
    <t>Scott</t>
  </si>
  <si>
    <t>Blue</t>
  </si>
  <si>
    <t>Anderson</t>
  </si>
  <si>
    <t>Dyse</t>
  </si>
  <si>
    <t>Mcdonald</t>
  </si>
  <si>
    <t>Castro</t>
  </si>
  <si>
    <t>Beard</t>
  </si>
  <si>
    <t>Salgado</t>
  </si>
  <si>
    <t>Gilmore</t>
  </si>
  <si>
    <t>PEREZ</t>
  </si>
  <si>
    <t>Johnson</t>
  </si>
  <si>
    <t>Fernandez</t>
  </si>
  <si>
    <t>Fatiama</t>
  </si>
  <si>
    <t>Morales</t>
  </si>
  <si>
    <t>Kairys</t>
  </si>
  <si>
    <t>Martin</t>
  </si>
  <si>
    <t>Jackson</t>
  </si>
  <si>
    <t>Brown</t>
  </si>
  <si>
    <t>Lilly</t>
  </si>
  <si>
    <t>Gough</t>
  </si>
  <si>
    <t>Bennett</t>
  </si>
  <si>
    <t>Bolden</t>
  </si>
  <si>
    <t>Reynolds</t>
  </si>
  <si>
    <t>Correa</t>
  </si>
  <si>
    <t>Dewar</t>
  </si>
  <si>
    <t>Tineo</t>
  </si>
  <si>
    <t>Quintana</t>
  </si>
  <si>
    <t>Hooper</t>
  </si>
  <si>
    <t>Capo</t>
  </si>
  <si>
    <t>Barnaby</t>
  </si>
  <si>
    <t>LaRocca</t>
  </si>
  <si>
    <t>Kelly</t>
  </si>
  <si>
    <t>BONNET</t>
  </si>
  <si>
    <t>Thompson</t>
  </si>
  <si>
    <t>Wilkerson</t>
  </si>
  <si>
    <t>Valdes</t>
  </si>
  <si>
    <t>Perez</t>
  </si>
  <si>
    <t>Lee</t>
  </si>
  <si>
    <t>Campos</t>
  </si>
  <si>
    <t>Steward</t>
  </si>
  <si>
    <t>Samaan</t>
  </si>
  <si>
    <t>Santiago</t>
  </si>
  <si>
    <t>Ahmed</t>
  </si>
  <si>
    <t>Lessington</t>
  </si>
  <si>
    <t>Jordan</t>
  </si>
  <si>
    <t>Tao</t>
  </si>
  <si>
    <t>Hill</t>
  </si>
  <si>
    <t>Martinez</t>
  </si>
  <si>
    <t>Snead</t>
  </si>
  <si>
    <t>Villavicencio</t>
  </si>
  <si>
    <t>Calcano</t>
  </si>
  <si>
    <t>Beltran</t>
  </si>
  <si>
    <t>Sok</t>
  </si>
  <si>
    <t>Mendoza</t>
  </si>
  <si>
    <t>Batista</t>
  </si>
  <si>
    <t>Caballero</t>
  </si>
  <si>
    <t>Felix</t>
  </si>
  <si>
    <t>Turner</t>
  </si>
  <si>
    <t>Knowlin</t>
  </si>
  <si>
    <t>Santos</t>
  </si>
  <si>
    <t>Vasquez</t>
  </si>
  <si>
    <t>Cardenas</t>
  </si>
  <si>
    <t>Lora</t>
  </si>
  <si>
    <t>Irizarry</t>
  </si>
  <si>
    <t>Padron</t>
  </si>
  <si>
    <t>Corniel</t>
  </si>
  <si>
    <t>Cruz Nunez</t>
  </si>
  <si>
    <t>Branch</t>
  </si>
  <si>
    <t>Linares</t>
  </si>
  <si>
    <t>Thomson</t>
  </si>
  <si>
    <t>Estime</t>
  </si>
  <si>
    <t>Flores</t>
  </si>
  <si>
    <t>Patterson</t>
  </si>
  <si>
    <t>Green Sr.</t>
  </si>
  <si>
    <t>Yu</t>
  </si>
  <si>
    <t>Horton</t>
  </si>
  <si>
    <t>Geronimo</t>
  </si>
  <si>
    <t>Bissondayal</t>
  </si>
  <si>
    <t>Franqui</t>
  </si>
  <si>
    <t>Desir</t>
  </si>
  <si>
    <t>Rosado</t>
  </si>
  <si>
    <t>Dargan</t>
  </si>
  <si>
    <t>Calvert</t>
  </si>
  <si>
    <t>Gonzalez De Leon</t>
  </si>
  <si>
    <t>Dozier</t>
  </si>
  <si>
    <t>Witcher</t>
  </si>
  <si>
    <t>Estrella</t>
  </si>
  <si>
    <t>Rosario</t>
  </si>
  <si>
    <t>Salas</t>
  </si>
  <si>
    <t>Moses</t>
  </si>
  <si>
    <t>Alston</t>
  </si>
  <si>
    <t>Puntiel</t>
  </si>
  <si>
    <t>Leshchenko</t>
  </si>
  <si>
    <t>Villeda</t>
  </si>
  <si>
    <t>Castleberry</t>
  </si>
  <si>
    <t>Barnett</t>
  </si>
  <si>
    <t>Wagstaffe</t>
  </si>
  <si>
    <t>Bermudez</t>
  </si>
  <si>
    <t>Garnes</t>
  </si>
  <si>
    <t>Chabriel</t>
  </si>
  <si>
    <t>Castillo</t>
  </si>
  <si>
    <t>Martinez Sierra</t>
  </si>
  <si>
    <t>Bah</t>
  </si>
  <si>
    <t>Harrigan</t>
  </si>
  <si>
    <t>Colon</t>
  </si>
  <si>
    <t>Feliciano</t>
  </si>
  <si>
    <t>Palazzolo</t>
  </si>
  <si>
    <t>Jack-MCrae</t>
  </si>
  <si>
    <t>Dummett</t>
  </si>
  <si>
    <t>Graham</t>
  </si>
  <si>
    <t>Dillon</t>
  </si>
  <si>
    <t>Urena</t>
  </si>
  <si>
    <t>Pye</t>
  </si>
  <si>
    <t>Carrasquillo</t>
  </si>
  <si>
    <t>Neptune</t>
  </si>
  <si>
    <t>Coleman</t>
  </si>
  <si>
    <t>Arias</t>
  </si>
  <si>
    <t>Harewood</t>
  </si>
  <si>
    <t>Thaler</t>
  </si>
  <si>
    <t>Collymore</t>
  </si>
  <si>
    <t>Sakho</t>
  </si>
  <si>
    <t>Marino</t>
  </si>
  <si>
    <t>Oneill</t>
  </si>
  <si>
    <t>Triolo</t>
  </si>
  <si>
    <t>Rios</t>
  </si>
  <si>
    <t>Arnette</t>
  </si>
  <si>
    <t>Adorno</t>
  </si>
  <si>
    <t>Juarez-Orellana</t>
  </si>
  <si>
    <t>Bascom-Davis</t>
  </si>
  <si>
    <t>Millard</t>
  </si>
  <si>
    <t>Vigoureux</t>
  </si>
  <si>
    <t>Monroe</t>
  </si>
  <si>
    <t>Caraballo Gonzalez</t>
  </si>
  <si>
    <t>Batts</t>
  </si>
  <si>
    <t>Benedetto</t>
  </si>
  <si>
    <t>Pagan</t>
  </si>
  <si>
    <t>Alleyne</t>
  </si>
  <si>
    <t>Wallace</t>
  </si>
  <si>
    <t>Villanueva</t>
  </si>
  <si>
    <t>Brantley</t>
  </si>
  <si>
    <t>Gibbs</t>
  </si>
  <si>
    <t>Reina</t>
  </si>
  <si>
    <t>Mack</t>
  </si>
  <si>
    <t>Correra</t>
  </si>
  <si>
    <t>Shulterbrandt</t>
  </si>
  <si>
    <t>Hart</t>
  </si>
  <si>
    <t>Zhang</t>
  </si>
  <si>
    <t>White</t>
  </si>
  <si>
    <t>Baptiste</t>
  </si>
  <si>
    <t>Lopez Arias</t>
  </si>
  <si>
    <t>Tolliver</t>
  </si>
  <si>
    <t>Speck-Gonzalez</t>
  </si>
  <si>
    <t>Borjas</t>
  </si>
  <si>
    <t>Guity</t>
  </si>
  <si>
    <t>Pena</t>
  </si>
  <si>
    <t>Chen</t>
  </si>
  <si>
    <t>Robledo</t>
  </si>
  <si>
    <t>Regis</t>
  </si>
  <si>
    <t>Taylor</t>
  </si>
  <si>
    <t>Santana</t>
  </si>
  <si>
    <t>Ventura</t>
  </si>
  <si>
    <t>Familia</t>
  </si>
  <si>
    <t>Carpenter</t>
  </si>
  <si>
    <t>Marrero</t>
  </si>
  <si>
    <t>Zewge</t>
  </si>
  <si>
    <t>Howard</t>
  </si>
  <si>
    <t>CORDOVA</t>
  </si>
  <si>
    <t>PARSONS</t>
  </si>
  <si>
    <t>Knapp</t>
  </si>
  <si>
    <t>Ayala</t>
  </si>
  <si>
    <t>Mosley</t>
  </si>
  <si>
    <t>Barnes</t>
  </si>
  <si>
    <t>Knight</t>
  </si>
  <si>
    <t>Paula Paulino</t>
  </si>
  <si>
    <t>Green</t>
  </si>
  <si>
    <t>Mcmenes</t>
  </si>
  <si>
    <t>Franco</t>
  </si>
  <si>
    <t>Umana</t>
  </si>
  <si>
    <t>Vanhorne</t>
  </si>
  <si>
    <t>Roque</t>
  </si>
  <si>
    <t>Guiracocha</t>
  </si>
  <si>
    <t>Beckles</t>
  </si>
  <si>
    <t>Alvey</t>
  </si>
  <si>
    <t>Aktar</t>
  </si>
  <si>
    <t>Khedim</t>
  </si>
  <si>
    <t>Casanova</t>
  </si>
  <si>
    <t>Vegas</t>
  </si>
  <si>
    <t>Woods</t>
  </si>
  <si>
    <t>Sanchez</t>
  </si>
  <si>
    <t>Silvagnoli</t>
  </si>
  <si>
    <t>Calderon Ordonez</t>
  </si>
  <si>
    <t>Gillyard</t>
  </si>
  <si>
    <t>Dey</t>
  </si>
  <si>
    <t>Bruno</t>
  </si>
  <si>
    <t>Echevarria</t>
  </si>
  <si>
    <t>Mendez</t>
  </si>
  <si>
    <t>King</t>
  </si>
  <si>
    <t>Frias-De De La Cruz</t>
  </si>
  <si>
    <t>Kim</t>
  </si>
  <si>
    <t>Hume</t>
  </si>
  <si>
    <t>Barrios</t>
  </si>
  <si>
    <t>Thomas</t>
  </si>
  <si>
    <t>Bender</t>
  </si>
  <si>
    <t>Forte</t>
  </si>
  <si>
    <t>Barcik</t>
  </si>
  <si>
    <t>Liyanage</t>
  </si>
  <si>
    <t>Daniel</t>
  </si>
  <si>
    <t>Brooks</t>
  </si>
  <si>
    <t>Karashah</t>
  </si>
  <si>
    <t>Montford</t>
  </si>
  <si>
    <t>Stuart</t>
  </si>
  <si>
    <t>Velazquez</t>
  </si>
  <si>
    <t>Barrera</t>
  </si>
  <si>
    <t>Pierre</t>
  </si>
  <si>
    <t>Paulino</t>
  </si>
  <si>
    <t>Gomez</t>
  </si>
  <si>
    <t>Olivencia</t>
  </si>
  <si>
    <t>Gritten</t>
  </si>
  <si>
    <t>Floril</t>
  </si>
  <si>
    <t>Salas-Howell</t>
  </si>
  <si>
    <t>Porter</t>
  </si>
  <si>
    <t>Wheeler</t>
  </si>
  <si>
    <t>Gordon</t>
  </si>
  <si>
    <t>Yuuki Brossaro</t>
  </si>
  <si>
    <t>Samo</t>
  </si>
  <si>
    <t>Harriott</t>
  </si>
  <si>
    <t>Melendez</t>
  </si>
  <si>
    <t>Uddin</t>
  </si>
  <si>
    <t>Som</t>
  </si>
  <si>
    <t>Estevez</t>
  </si>
  <si>
    <t>McCrimmon</t>
  </si>
  <si>
    <t>Peralta</t>
  </si>
  <si>
    <t>Almanzar</t>
  </si>
  <si>
    <t>Loper</t>
  </si>
  <si>
    <t>Gray</t>
  </si>
  <si>
    <t>Micntyre</t>
  </si>
  <si>
    <t>Mullon</t>
  </si>
  <si>
    <t>Neil</t>
  </si>
  <si>
    <t>Savery</t>
  </si>
  <si>
    <t>Daoud Adams</t>
  </si>
  <si>
    <t>Hernandez</t>
  </si>
  <si>
    <t>Dilone</t>
  </si>
  <si>
    <t>Rattigan</t>
  </si>
  <si>
    <t>Falu</t>
  </si>
  <si>
    <t>Franco-Guardado</t>
  </si>
  <si>
    <t>Karron</t>
  </si>
  <si>
    <t>Hewing</t>
  </si>
  <si>
    <t>Kimbrough</t>
  </si>
  <si>
    <t>Babekova</t>
  </si>
  <si>
    <t>Hedstrom</t>
  </si>
  <si>
    <t>Holt</t>
  </si>
  <si>
    <t>VALENTIN</t>
  </si>
  <si>
    <t>Hohn</t>
  </si>
  <si>
    <t>Shimla</t>
  </si>
  <si>
    <t>Cardona Smock</t>
  </si>
  <si>
    <t>Moreira</t>
  </si>
  <si>
    <t>Ejaz</t>
  </si>
  <si>
    <t>Devouse</t>
  </si>
  <si>
    <t>Gaskins</t>
  </si>
  <si>
    <t>Mellis</t>
  </si>
  <si>
    <t>Guillot</t>
  </si>
  <si>
    <t>Campbell</t>
  </si>
  <si>
    <t>Barry</t>
  </si>
  <si>
    <t>Henderson</t>
  </si>
  <si>
    <t>Wiggins</t>
  </si>
  <si>
    <t>Peguero</t>
  </si>
  <si>
    <t>Nunez</t>
  </si>
  <si>
    <t>Gonzalez Sanchez</t>
  </si>
  <si>
    <t>Najjarian</t>
  </si>
  <si>
    <t>Miller</t>
  </si>
  <si>
    <t>Bowers</t>
  </si>
  <si>
    <t>Haines</t>
  </si>
  <si>
    <t>Foster</t>
  </si>
  <si>
    <t>Canela</t>
  </si>
  <si>
    <t>Powell</t>
  </si>
  <si>
    <t>Viera</t>
  </si>
  <si>
    <t>McIntyre</t>
  </si>
  <si>
    <t>Figeroa</t>
  </si>
  <si>
    <t>Then</t>
  </si>
  <si>
    <t>Gardner</t>
  </si>
  <si>
    <t>Wilson-Hawkins</t>
  </si>
  <si>
    <t>Hagemann</t>
  </si>
  <si>
    <t>Han</t>
  </si>
  <si>
    <t>Malloy</t>
  </si>
  <si>
    <t>Blaize</t>
  </si>
  <si>
    <t>Bonner</t>
  </si>
  <si>
    <t>Manago</t>
  </si>
  <si>
    <t>Cohen</t>
  </si>
  <si>
    <t>Migdalia</t>
  </si>
  <si>
    <t>Brenda</t>
  </si>
  <si>
    <t>George</t>
  </si>
  <si>
    <t>Jesus</t>
  </si>
  <si>
    <t>Rickie</t>
  </si>
  <si>
    <t>Yvonne</t>
  </si>
  <si>
    <t>Jose</t>
  </si>
  <si>
    <t>Christian</t>
  </si>
  <si>
    <t>Faith</t>
  </si>
  <si>
    <t>Jessica</t>
  </si>
  <si>
    <t>Tyrone</t>
  </si>
  <si>
    <t>Natasha</t>
  </si>
  <si>
    <t>Johanna</t>
  </si>
  <si>
    <t>Randolph</t>
  </si>
  <si>
    <t>Juan</t>
  </si>
  <si>
    <t>Juliana</t>
  </si>
  <si>
    <t>Gary</t>
  </si>
  <si>
    <t>Omar</t>
  </si>
  <si>
    <t>Jace</t>
  </si>
  <si>
    <t>Marcus</t>
  </si>
  <si>
    <t>Sade</t>
  </si>
  <si>
    <t>Tony</t>
  </si>
  <si>
    <t>Michael</t>
  </si>
  <si>
    <t>Vidyanand</t>
  </si>
  <si>
    <t>Karmiah</t>
  </si>
  <si>
    <t>Chad</t>
  </si>
  <si>
    <t>Taryll</t>
  </si>
  <si>
    <t>Carmen</t>
  </si>
  <si>
    <t>Dominique</t>
  </si>
  <si>
    <t>HIRAM</t>
  </si>
  <si>
    <t>Kennia</t>
  </si>
  <si>
    <t>Devante</t>
  </si>
  <si>
    <t>Kathleen</t>
  </si>
  <si>
    <t>Isaac</t>
  </si>
  <si>
    <t>Mildred</t>
  </si>
  <si>
    <t>Orlando</t>
  </si>
  <si>
    <t>Antonio</t>
  </si>
  <si>
    <t>Helen</t>
  </si>
  <si>
    <t>Kevin</t>
  </si>
  <si>
    <t>Tyrina</t>
  </si>
  <si>
    <t>Jorge</t>
  </si>
  <si>
    <t>Ameerah</t>
  </si>
  <si>
    <t>Rupdai</t>
  </si>
  <si>
    <t>Mikaela</t>
  </si>
  <si>
    <t>Chesterfield</t>
  </si>
  <si>
    <t>Madiou</t>
  </si>
  <si>
    <t>Luis</t>
  </si>
  <si>
    <t>Andre</t>
  </si>
  <si>
    <t>Delores</t>
  </si>
  <si>
    <t>Tondalayo</t>
  </si>
  <si>
    <t>Nadia</t>
  </si>
  <si>
    <t>Wilmarie</t>
  </si>
  <si>
    <t>Nancy</t>
  </si>
  <si>
    <t>PAUL</t>
  </si>
  <si>
    <t>Tracina</t>
  </si>
  <si>
    <t>Maria</t>
  </si>
  <si>
    <t>Thisen</t>
  </si>
  <si>
    <t>Elizabeth</t>
  </si>
  <si>
    <t>Evelyn</t>
  </si>
  <si>
    <t>Pamela</t>
  </si>
  <si>
    <t>Jesse</t>
  </si>
  <si>
    <t>Lisa</t>
  </si>
  <si>
    <t>Felicia</t>
  </si>
  <si>
    <t>Lance</t>
  </si>
  <si>
    <t>Stephanie</t>
  </si>
  <si>
    <t>Edwin</t>
  </si>
  <si>
    <t>Dennis</t>
  </si>
  <si>
    <t>Martha</t>
  </si>
  <si>
    <t>Robert</t>
  </si>
  <si>
    <t>Zoraida</t>
  </si>
  <si>
    <t>ALVIN</t>
  </si>
  <si>
    <t>Calvin</t>
  </si>
  <si>
    <t>Frank</t>
  </si>
  <si>
    <t>Jenny</t>
  </si>
  <si>
    <t>Charles</t>
  </si>
  <si>
    <t>Anyia</t>
  </si>
  <si>
    <t>Vinicio</t>
  </si>
  <si>
    <t>Monica</t>
  </si>
  <si>
    <t>Brittney</t>
  </si>
  <si>
    <t>Georgy</t>
  </si>
  <si>
    <t>Hector</t>
  </si>
  <si>
    <t>Keith</t>
  </si>
  <si>
    <t>Maureen</t>
  </si>
  <si>
    <t>Fany</t>
  </si>
  <si>
    <t>Marvette</t>
  </si>
  <si>
    <t>William</t>
  </si>
  <si>
    <t>Harris</t>
  </si>
  <si>
    <t>Vilma</t>
  </si>
  <si>
    <t>Aracely</t>
  </si>
  <si>
    <t>Ertha</t>
  </si>
  <si>
    <t>Yaxian</t>
  </si>
  <si>
    <t>Aura</t>
  </si>
  <si>
    <t>Tracy</t>
  </si>
  <si>
    <t>Willie</t>
  </si>
  <si>
    <t>Ivette</t>
  </si>
  <si>
    <t>Darius</t>
  </si>
  <si>
    <t>Nelson</t>
  </si>
  <si>
    <t>Olga</t>
  </si>
  <si>
    <t>Starlett</t>
  </si>
  <si>
    <t>Iris</t>
  </si>
  <si>
    <t>Cynthia</t>
  </si>
  <si>
    <t>RAYMOND</t>
  </si>
  <si>
    <t>Earl</t>
  </si>
  <si>
    <t>Julio</t>
  </si>
  <si>
    <t>Elieser</t>
  </si>
  <si>
    <t>Jennifer</t>
  </si>
  <si>
    <t>Ernesto</t>
  </si>
  <si>
    <t>Grace</t>
  </si>
  <si>
    <t>Fatima</t>
  </si>
  <si>
    <t>Eric</t>
  </si>
  <si>
    <t>Mary</t>
  </si>
  <si>
    <t>Max</t>
  </si>
  <si>
    <t>Brendaly</t>
  </si>
  <si>
    <t>Irwin</t>
  </si>
  <si>
    <t>Angelica</t>
  </si>
  <si>
    <t>Carla</t>
  </si>
  <si>
    <t>Villard</t>
  </si>
  <si>
    <t>Eva</t>
  </si>
  <si>
    <t>Tashema</t>
  </si>
  <si>
    <t>Raquel</t>
  </si>
  <si>
    <t>Lizber</t>
  </si>
  <si>
    <t>Gisella</t>
  </si>
  <si>
    <t>Sharon</t>
  </si>
  <si>
    <t>Nazario</t>
  </si>
  <si>
    <t>Gregory</t>
  </si>
  <si>
    <t>Mohammed</t>
  </si>
  <si>
    <t>Khalil</t>
  </si>
  <si>
    <t>Miguel</t>
  </si>
  <si>
    <t>Carlos</t>
  </si>
  <si>
    <t>Kyle</t>
  </si>
  <si>
    <t>Lorraine</t>
  </si>
  <si>
    <t>Emily</t>
  </si>
  <si>
    <t>JOSEPH</t>
  </si>
  <si>
    <t>Dapri</t>
  </si>
  <si>
    <t>Naturelle</t>
  </si>
  <si>
    <t>David</t>
  </si>
  <si>
    <t>Wayne</t>
  </si>
  <si>
    <t>Natalia</t>
  </si>
  <si>
    <t>Evan</t>
  </si>
  <si>
    <t>Rechsell</t>
  </si>
  <si>
    <t>Eloise</t>
  </si>
  <si>
    <t>Clarence</t>
  </si>
  <si>
    <t>Edward</t>
  </si>
  <si>
    <t>Judith</t>
  </si>
  <si>
    <t>Zyair</t>
  </si>
  <si>
    <t>Semyon</t>
  </si>
  <si>
    <t>Tristanlilly</t>
  </si>
  <si>
    <t>Arlene</t>
  </si>
  <si>
    <t>Jalal</t>
  </si>
  <si>
    <t>Priscilla</t>
  </si>
  <si>
    <t>Barbara</t>
  </si>
  <si>
    <t>Turwanire</t>
  </si>
  <si>
    <t>Lavone</t>
  </si>
  <si>
    <t>Darwin</t>
  </si>
  <si>
    <t>Jamik</t>
  </si>
  <si>
    <t>Raymond</t>
  </si>
  <si>
    <t>Eugenia</t>
  </si>
  <si>
    <t>RAFAEL</t>
  </si>
  <si>
    <t>Shanyce</t>
  </si>
  <si>
    <t>Mathew</t>
  </si>
  <si>
    <t>Kaniz</t>
  </si>
  <si>
    <t>Melissa</t>
  </si>
  <si>
    <t>James</t>
  </si>
  <si>
    <t>Ruby</t>
  </si>
  <si>
    <t>Angela</t>
  </si>
  <si>
    <t>Phyllis</t>
  </si>
  <si>
    <t>Kayheem</t>
  </si>
  <si>
    <t>Devonnia</t>
  </si>
  <si>
    <t>Leroy</t>
  </si>
  <si>
    <t>Lillie</t>
  </si>
  <si>
    <t>Angel</t>
  </si>
  <si>
    <t>Matthew</t>
  </si>
  <si>
    <t>Angienady</t>
  </si>
  <si>
    <t>Saul</t>
  </si>
  <si>
    <t>Ada</t>
  </si>
  <si>
    <t>Darlene</t>
  </si>
  <si>
    <t>Accursio</t>
  </si>
  <si>
    <t>XIOMARA</t>
  </si>
  <si>
    <t>Frederick</t>
  </si>
  <si>
    <t>Taisha</t>
  </si>
  <si>
    <t>Rafael</t>
  </si>
  <si>
    <t>Denise</t>
  </si>
  <si>
    <t>Danielle</t>
  </si>
  <si>
    <t>Mona</t>
  </si>
  <si>
    <t>Anthony</t>
  </si>
  <si>
    <t>Sharif</t>
  </si>
  <si>
    <t>Vanessia</t>
  </si>
  <si>
    <t>Juline</t>
  </si>
  <si>
    <t>Destiny</t>
  </si>
  <si>
    <t>Julie</t>
  </si>
  <si>
    <t>tanya</t>
  </si>
  <si>
    <t>Kimberly</t>
  </si>
  <si>
    <t>Denzel</t>
  </si>
  <si>
    <t>Siomaris</t>
  </si>
  <si>
    <t>Edgar</t>
  </si>
  <si>
    <t>Mariceli</t>
  </si>
  <si>
    <t>Amy</t>
  </si>
  <si>
    <t>Christopher</t>
  </si>
  <si>
    <t>Guillermo</t>
  </si>
  <si>
    <t>Deydamia</t>
  </si>
  <si>
    <t>Criscentia</t>
  </si>
  <si>
    <t>Joyce</t>
  </si>
  <si>
    <t>Nanci</t>
  </si>
  <si>
    <t>Marielie</t>
  </si>
  <si>
    <t>Juliann</t>
  </si>
  <si>
    <t>Fernando</t>
  </si>
  <si>
    <t>Caridad</t>
  </si>
  <si>
    <t>Alejandra</t>
  </si>
  <si>
    <t>Jabari</t>
  </si>
  <si>
    <t>Kesean</t>
  </si>
  <si>
    <t>Jonathan</t>
  </si>
  <si>
    <t>Ashley</t>
  </si>
  <si>
    <t>Eustaquio</t>
  </si>
  <si>
    <t>Carl</t>
  </si>
  <si>
    <t>Ana</t>
  </si>
  <si>
    <t>Jack</t>
  </si>
  <si>
    <t>Nylah</t>
  </si>
  <si>
    <t>Alejandrina</t>
  </si>
  <si>
    <t>Chandi</t>
  </si>
  <si>
    <t>Yvette</t>
  </si>
  <si>
    <t>Marie</t>
  </si>
  <si>
    <t>Efrain</t>
  </si>
  <si>
    <t>Jimmy</t>
  </si>
  <si>
    <t>Yumedys</t>
  </si>
  <si>
    <t>Delane</t>
  </si>
  <si>
    <t>Dwayne</t>
  </si>
  <si>
    <t>Ralph</t>
  </si>
  <si>
    <t>Jael</t>
  </si>
  <si>
    <t>Ida</t>
  </si>
  <si>
    <t>Mildre</t>
  </si>
  <si>
    <t>Sherry</t>
  </si>
  <si>
    <t>Angelina</t>
  </si>
  <si>
    <t>Batseba</t>
  </si>
  <si>
    <t>Ramon</t>
  </si>
  <si>
    <t>Fedor</t>
  </si>
  <si>
    <t>Joshua</t>
  </si>
  <si>
    <t>Jacquelin</t>
  </si>
  <si>
    <t>Brian</t>
  </si>
  <si>
    <t>Lori</t>
  </si>
  <si>
    <t>Michelle</t>
  </si>
  <si>
    <t>Elsie</t>
  </si>
  <si>
    <t>Tyreesa</t>
  </si>
  <si>
    <t>Marcy</t>
  </si>
  <si>
    <t>Arturo</t>
  </si>
  <si>
    <t>Luis Andre</t>
  </si>
  <si>
    <t>Souleymane</t>
  </si>
  <si>
    <t>Katie</t>
  </si>
  <si>
    <t>Bryan</t>
  </si>
  <si>
    <t>Victor</t>
  </si>
  <si>
    <t>Mumbie</t>
  </si>
  <si>
    <t>Daleann</t>
  </si>
  <si>
    <t>Flor</t>
  </si>
  <si>
    <t>Raul</t>
  </si>
  <si>
    <t>Jacir</t>
  </si>
  <si>
    <t>Robin</t>
  </si>
  <si>
    <t>John</t>
  </si>
  <si>
    <t>Jeremiah</t>
  </si>
  <si>
    <t>Nicky</t>
  </si>
  <si>
    <t>Jean</t>
  </si>
  <si>
    <t>Andrew</t>
  </si>
  <si>
    <t>Cheryl</t>
  </si>
  <si>
    <t>Kvon</t>
  </si>
  <si>
    <t>Kalifa</t>
  </si>
  <si>
    <t>Jarmaine</t>
  </si>
  <si>
    <t>Leo</t>
  </si>
  <si>
    <t>Samantha</t>
  </si>
  <si>
    <t>Rosalind</t>
  </si>
  <si>
    <t>Malachi</t>
  </si>
  <si>
    <t>Elisa</t>
  </si>
  <si>
    <t>Crystal</t>
  </si>
  <si>
    <t>Pedro</t>
  </si>
  <si>
    <t>Hazeldine</t>
  </si>
  <si>
    <t>Nilton</t>
  </si>
  <si>
    <t>Jeannette</t>
  </si>
  <si>
    <t>Sheila</t>
  </si>
  <si>
    <t>Avelina</t>
  </si>
  <si>
    <t>Shannon</t>
  </si>
  <si>
    <t>Ruth</t>
  </si>
  <si>
    <t>Camille</t>
  </si>
  <si>
    <t>Alexis</t>
  </si>
  <si>
    <t>Stacy</t>
  </si>
  <si>
    <t>Trayvia</t>
  </si>
  <si>
    <t>Wynter</t>
  </si>
  <si>
    <t>Jahmael</t>
  </si>
  <si>
    <t>Wanda</t>
  </si>
  <si>
    <t>Rosa</t>
  </si>
  <si>
    <t>Genesis</t>
  </si>
  <si>
    <t>Christine</t>
  </si>
  <si>
    <t>Russell</t>
  </si>
  <si>
    <t>Nana</t>
  </si>
  <si>
    <t>Talmadge</t>
  </si>
  <si>
    <t>Reshad</t>
  </si>
  <si>
    <t>Izalma</t>
  </si>
  <si>
    <t>Rolando</t>
  </si>
  <si>
    <t>Elijah</t>
  </si>
  <si>
    <t>Conrado</t>
  </si>
  <si>
    <t>Puckie</t>
  </si>
  <si>
    <t>Wilmer</t>
  </si>
  <si>
    <t>Ercido</t>
  </si>
  <si>
    <t>Leticia</t>
  </si>
  <si>
    <t>Keguang</t>
  </si>
  <si>
    <t>Richard</t>
  </si>
  <si>
    <t>Alex</t>
  </si>
  <si>
    <t>Yamill</t>
  </si>
  <si>
    <t>Sinke</t>
  </si>
  <si>
    <t>Heliberta</t>
  </si>
  <si>
    <t>Rodney</t>
  </si>
  <si>
    <t>Victoria</t>
  </si>
  <si>
    <t>PEDRO</t>
  </si>
  <si>
    <t>VICTOR</t>
  </si>
  <si>
    <t>Tymere</t>
  </si>
  <si>
    <t>Lavinnia</t>
  </si>
  <si>
    <t>Peter</t>
  </si>
  <si>
    <t>Bobby</t>
  </si>
  <si>
    <t>Soraya</t>
  </si>
  <si>
    <t>Beauty</t>
  </si>
  <si>
    <t>Felipe</t>
  </si>
  <si>
    <t>Nicolas</t>
  </si>
  <si>
    <t>Phillip</t>
  </si>
  <si>
    <t>Arelis</t>
  </si>
  <si>
    <t>Mario</t>
  </si>
  <si>
    <t>Lianguang</t>
  </si>
  <si>
    <t>Donato</t>
  </si>
  <si>
    <t>Yolanda</t>
  </si>
  <si>
    <t>Tom</t>
  </si>
  <si>
    <t>Sherris</t>
  </si>
  <si>
    <t>Arianna</t>
  </si>
  <si>
    <t>Idanis</t>
  </si>
  <si>
    <t>Setzer</t>
  </si>
  <si>
    <t>Jermanni</t>
  </si>
  <si>
    <t>Edith</t>
  </si>
  <si>
    <t>Nafisa</t>
  </si>
  <si>
    <t>Sabrina</t>
  </si>
  <si>
    <t>Alfred</t>
  </si>
  <si>
    <t>Esther</t>
  </si>
  <si>
    <t>Asia</t>
  </si>
  <si>
    <t>Silvia</t>
  </si>
  <si>
    <t>Deshawn</t>
  </si>
  <si>
    <t>Mauro</t>
  </si>
  <si>
    <t>Collier</t>
  </si>
  <si>
    <t>Ranga</t>
  </si>
  <si>
    <t>Margarita</t>
  </si>
  <si>
    <t>Mansoo</t>
  </si>
  <si>
    <t>Jamira</t>
  </si>
  <si>
    <t>Toussant</t>
  </si>
  <si>
    <t>Celeste</t>
  </si>
  <si>
    <t>Douglas</t>
  </si>
  <si>
    <t>Metrice</t>
  </si>
  <si>
    <t>Shawn</t>
  </si>
  <si>
    <t>Willy</t>
  </si>
  <si>
    <t>Sieta</t>
  </si>
  <si>
    <t>Shanta</t>
  </si>
  <si>
    <t>Brendalynn</t>
  </si>
  <si>
    <t>Wilton</t>
  </si>
  <si>
    <t>Norma</t>
  </si>
  <si>
    <t>Franklin</t>
  </si>
  <si>
    <t>Edy</t>
  </si>
  <si>
    <t>Daquan</t>
  </si>
  <si>
    <t>Ravon</t>
  </si>
  <si>
    <t>Alexander</t>
  </si>
  <si>
    <t>Hikari</t>
  </si>
  <si>
    <t>Brandon</t>
  </si>
  <si>
    <t>Nurun</t>
  </si>
  <si>
    <t>Saroeun</t>
  </si>
  <si>
    <t>Mirella</t>
  </si>
  <si>
    <t>Jasmine</t>
  </si>
  <si>
    <t>Geobani</t>
  </si>
  <si>
    <t>Yoselin</t>
  </si>
  <si>
    <t>Tamar</t>
  </si>
  <si>
    <t>Gladys</t>
  </si>
  <si>
    <t>Lia</t>
  </si>
  <si>
    <t>Ebony</t>
  </si>
  <si>
    <t>Roger</t>
  </si>
  <si>
    <t>Duane</t>
  </si>
  <si>
    <t>Steven</t>
  </si>
  <si>
    <t>Rozel</t>
  </si>
  <si>
    <t>Amani</t>
  </si>
  <si>
    <t>Allan</t>
  </si>
  <si>
    <t>Tiffani</t>
  </si>
  <si>
    <t>Julian</t>
  </si>
  <si>
    <t>Maribel</t>
  </si>
  <si>
    <t>Israel</t>
  </si>
  <si>
    <t>Mariesely</t>
  </si>
  <si>
    <t>Danita</t>
  </si>
  <si>
    <t>Dianne</t>
  </si>
  <si>
    <t>Darryl</t>
  </si>
  <si>
    <t>Stella</t>
  </si>
  <si>
    <t>Emma</t>
  </si>
  <si>
    <t>Sarah</t>
  </si>
  <si>
    <t>Jeffrey</t>
  </si>
  <si>
    <t>Yeira</t>
  </si>
  <si>
    <t>JOSE</t>
  </si>
  <si>
    <t>Tiffiney</t>
  </si>
  <si>
    <t>Tunisha</t>
  </si>
  <si>
    <t>Mili</t>
  </si>
  <si>
    <t>Jayden</t>
  </si>
  <si>
    <t>Jerry</t>
  </si>
  <si>
    <t>Muhammad</t>
  </si>
  <si>
    <t>Mickle</t>
  </si>
  <si>
    <t>Anna</t>
  </si>
  <si>
    <t>Keila</t>
  </si>
  <si>
    <t>Nazir</t>
  </si>
  <si>
    <t>Rosbelly</t>
  </si>
  <si>
    <t>Boubacar</t>
  </si>
  <si>
    <t>Bennie</t>
  </si>
  <si>
    <t>Sacara</t>
  </si>
  <si>
    <t>Divina</t>
  </si>
  <si>
    <t>Gilberto</t>
  </si>
  <si>
    <t>Sareen</t>
  </si>
  <si>
    <t>Jermaine</t>
  </si>
  <si>
    <t>Guillermina</t>
  </si>
  <si>
    <t>Alice</t>
  </si>
  <si>
    <t>China</t>
  </si>
  <si>
    <t>Gloria</t>
  </si>
  <si>
    <t>Alaia</t>
  </si>
  <si>
    <t>Michel</t>
  </si>
  <si>
    <t>Valeria</t>
  </si>
  <si>
    <t>Athena</t>
  </si>
  <si>
    <t>Yaqui</t>
  </si>
  <si>
    <t>Heather</t>
  </si>
  <si>
    <t>Erica</t>
  </si>
  <si>
    <t>Elaine</t>
  </si>
  <si>
    <t>08/21/2013</t>
  </si>
  <si>
    <t>12/09/2013</t>
  </si>
  <si>
    <t>04/14/2014</t>
  </si>
  <si>
    <t>06/09/2014</t>
  </si>
  <si>
    <t>07/16/2014</t>
  </si>
  <si>
    <t>09/04/2014</t>
  </si>
  <si>
    <t>09/12/2014</t>
  </si>
  <si>
    <t>10/31/2014</t>
  </si>
  <si>
    <t>01/20/2015</t>
  </si>
  <si>
    <t>10/29/2014</t>
  </si>
  <si>
    <t>12/08/2014</t>
  </si>
  <si>
    <t>01/07/2015</t>
  </si>
  <si>
    <t>02/05/2015</t>
  </si>
  <si>
    <t>02/23/2015</t>
  </si>
  <si>
    <t>03/02/2015</t>
  </si>
  <si>
    <t>03/05/2015</t>
  </si>
  <si>
    <t>03/09/2015</t>
  </si>
  <si>
    <t>04/02/2015</t>
  </si>
  <si>
    <t>04/15/2015</t>
  </si>
  <si>
    <t>04/16/2015</t>
  </si>
  <si>
    <t>04/22/2015</t>
  </si>
  <si>
    <t>06/22/2015</t>
  </si>
  <si>
    <t>07/06/2015</t>
  </si>
  <si>
    <t>07/22/2015</t>
  </si>
  <si>
    <t>08/04/2015</t>
  </si>
  <si>
    <t>02/26/2016</t>
  </si>
  <si>
    <t>11/03/2015</t>
  </si>
  <si>
    <t>11/18/2015</t>
  </si>
  <si>
    <t>12/16/2015</t>
  </si>
  <si>
    <t>12/29/2015</t>
  </si>
  <si>
    <t>01/07/2016</t>
  </si>
  <si>
    <t>01/28/2016</t>
  </si>
  <si>
    <t>02/05/2016</t>
  </si>
  <si>
    <t>02/24/2016</t>
  </si>
  <si>
    <t>03/04/2016</t>
  </si>
  <si>
    <t>03/09/2016</t>
  </si>
  <si>
    <t>03/16/2016</t>
  </si>
  <si>
    <t>04/04/2016</t>
  </si>
  <si>
    <t>04/12/2016</t>
  </si>
  <si>
    <t>04/13/2016</t>
  </si>
  <si>
    <t>10/12/2016</t>
  </si>
  <si>
    <t>05/02/2016</t>
  </si>
  <si>
    <t>04/27/2016</t>
  </si>
  <si>
    <t>05/04/2016</t>
  </si>
  <si>
    <t>05/16/2016</t>
  </si>
  <si>
    <t>05/20/2016</t>
  </si>
  <si>
    <t>06/03/2016</t>
  </si>
  <si>
    <t>06/06/2016</t>
  </si>
  <si>
    <t>07/01/2016</t>
  </si>
  <si>
    <t>07/07/2016</t>
  </si>
  <si>
    <t>07/12/2016</t>
  </si>
  <si>
    <t>07/20/2016</t>
  </si>
  <si>
    <t>02/02/2017</t>
  </si>
  <si>
    <t>08/11/2016</t>
  </si>
  <si>
    <t>08/16/2016</t>
  </si>
  <si>
    <t>09/08/2016</t>
  </si>
  <si>
    <t>09/19/2016</t>
  </si>
  <si>
    <t>11/17/2016</t>
  </si>
  <si>
    <t>09/22/2016</t>
  </si>
  <si>
    <t>09/21/2016</t>
  </si>
  <si>
    <t>09/27/2016</t>
  </si>
  <si>
    <t>09/28/2016</t>
  </si>
  <si>
    <t>09/29/2016</t>
  </si>
  <si>
    <t>10/04/2016</t>
  </si>
  <si>
    <t>10/05/2016</t>
  </si>
  <si>
    <t>10/07/2016</t>
  </si>
  <si>
    <t>10/19/2016</t>
  </si>
  <si>
    <t>10/20/2016</t>
  </si>
  <si>
    <t>10/26/2016</t>
  </si>
  <si>
    <t>10/28/2016</t>
  </si>
  <si>
    <t>11/01/2016</t>
  </si>
  <si>
    <t>11/02/2016</t>
  </si>
  <si>
    <t>11/03/2016</t>
  </si>
  <si>
    <t>11/15/2016</t>
  </si>
  <si>
    <t>11/21/2016</t>
  </si>
  <si>
    <t>11/22/2016</t>
  </si>
  <si>
    <t>11/29/2016</t>
  </si>
  <si>
    <t>12/05/2016</t>
  </si>
  <si>
    <t>12/06/2016</t>
  </si>
  <si>
    <t>12/07/2016</t>
  </si>
  <si>
    <t>12/07/2017</t>
  </si>
  <si>
    <t>12/19/2016</t>
  </si>
  <si>
    <t>12/21/2016</t>
  </si>
  <si>
    <t>12/22/2016</t>
  </si>
  <si>
    <t>12/29/2016</t>
  </si>
  <si>
    <t>01/03/2017</t>
  </si>
  <si>
    <t>01/04/2017</t>
  </si>
  <si>
    <t>01/06/2017</t>
  </si>
  <si>
    <t>01/10/2017</t>
  </si>
  <si>
    <t>01/12/2017</t>
  </si>
  <si>
    <t>01/19/2017</t>
  </si>
  <si>
    <t>01/23/2017</t>
  </si>
  <si>
    <t>01/26/2017</t>
  </si>
  <si>
    <t>01/30/2017</t>
  </si>
  <si>
    <t>02/06/2017</t>
  </si>
  <si>
    <t>02/08/2017</t>
  </si>
  <si>
    <t>02/14/2017</t>
  </si>
  <si>
    <t>02/21/2017</t>
  </si>
  <si>
    <t>02/23/2017</t>
  </si>
  <si>
    <t>02/27/2017</t>
  </si>
  <si>
    <t>03/03/2017</t>
  </si>
  <si>
    <t>03/08/2017</t>
  </si>
  <si>
    <t>03/15/2017</t>
  </si>
  <si>
    <t>03/16/2017</t>
  </si>
  <si>
    <t>03/22/2017</t>
  </si>
  <si>
    <t>03/24/2017</t>
  </si>
  <si>
    <t>03/29/2017</t>
  </si>
  <si>
    <t>03/30/2017</t>
  </si>
  <si>
    <t>04/03/2017</t>
  </si>
  <si>
    <t>04/05/2017</t>
  </si>
  <si>
    <t>04/17/2017</t>
  </si>
  <si>
    <t>04/20/2017</t>
  </si>
  <si>
    <t>04/24/2017</t>
  </si>
  <si>
    <t>04/26/2017</t>
  </si>
  <si>
    <t>05/02/2017</t>
  </si>
  <si>
    <t>05/03/2017</t>
  </si>
  <si>
    <t>05/04/2017</t>
  </si>
  <si>
    <t>05/08/2017</t>
  </si>
  <si>
    <t>05/15/2017</t>
  </si>
  <si>
    <t>05/18/2017</t>
  </si>
  <si>
    <t>06/05/2017</t>
  </si>
  <si>
    <t>06/12/2017</t>
  </si>
  <si>
    <t>06/19/2017</t>
  </si>
  <si>
    <t>06/26/2017</t>
  </si>
  <si>
    <t>07/03/2017</t>
  </si>
  <si>
    <t>09/15/2017</t>
  </si>
  <si>
    <t>07/12/2017</t>
  </si>
  <si>
    <t>07/18/2017</t>
  </si>
  <si>
    <t>08/04/2017</t>
  </si>
  <si>
    <t>07/21/2017</t>
  </si>
  <si>
    <t>07/24/2017</t>
  </si>
  <si>
    <t>07/25/2017</t>
  </si>
  <si>
    <t>07/26/2017</t>
  </si>
  <si>
    <t>07/27/2017</t>
  </si>
  <si>
    <t>07/31/2017</t>
  </si>
  <si>
    <t>08/02/2017</t>
  </si>
  <si>
    <t>08/07/2017</t>
  </si>
  <si>
    <t>08/09/2017</t>
  </si>
  <si>
    <t>08/17/2017</t>
  </si>
  <si>
    <t>08/28/2017</t>
  </si>
  <si>
    <t>09/07/2017</t>
  </si>
  <si>
    <t>09/18/2017</t>
  </si>
  <si>
    <t>09/19/2017</t>
  </si>
  <si>
    <t>09/25/2017</t>
  </si>
  <si>
    <t>09/26/2017</t>
  </si>
  <si>
    <t>10/06/2017</t>
  </si>
  <si>
    <t>10/10/2017</t>
  </si>
  <si>
    <t>10/16/2017</t>
  </si>
  <si>
    <t>10/19/2017</t>
  </si>
  <si>
    <t>10/20/2017</t>
  </si>
  <si>
    <t>10/24/2017</t>
  </si>
  <si>
    <t>10/25/2017</t>
  </si>
  <si>
    <t>11/06/2017</t>
  </si>
  <si>
    <t>11/08/2017</t>
  </si>
  <si>
    <t>11/09/2017</t>
  </si>
  <si>
    <t>11/13/2017</t>
  </si>
  <si>
    <t>11/14/2017</t>
  </si>
  <si>
    <t>11/15/2017</t>
  </si>
  <si>
    <t>11/20/2017</t>
  </si>
  <si>
    <t>11/21/2017</t>
  </si>
  <si>
    <t>11/27/2017</t>
  </si>
  <si>
    <t>11/29/2017</t>
  </si>
  <si>
    <t>12/01/2017</t>
  </si>
  <si>
    <t>12/04/2017</t>
  </si>
  <si>
    <t>12/05/2017</t>
  </si>
  <si>
    <t>12/08/2017</t>
  </si>
  <si>
    <t>12/12/2017</t>
  </si>
  <si>
    <t>12/13/2017</t>
  </si>
  <si>
    <t>12/18/2017</t>
  </si>
  <si>
    <t>12/19/2017</t>
  </si>
  <si>
    <t>12/22/2017</t>
  </si>
  <si>
    <t>12/27/2017</t>
  </si>
  <si>
    <t>01/03/2018</t>
  </si>
  <si>
    <t>01/08/2018</t>
  </si>
  <si>
    <t>01/09/2018</t>
  </si>
  <si>
    <t>01/11/2018</t>
  </si>
  <si>
    <t>01/12/2018</t>
  </si>
  <si>
    <t>01/18/2018</t>
  </si>
  <si>
    <t>01/22/2018</t>
  </si>
  <si>
    <t>01/23/2018</t>
  </si>
  <si>
    <t>01/29/2018</t>
  </si>
  <si>
    <t>01/26/2018</t>
  </si>
  <si>
    <t>01/30/2018</t>
  </si>
  <si>
    <t>02/02/2018</t>
  </si>
  <si>
    <t>02/05/2018</t>
  </si>
  <si>
    <t>02/06/2018</t>
  </si>
  <si>
    <t>02/08/2018</t>
  </si>
  <si>
    <t>02/09/2018</t>
  </si>
  <si>
    <t>02/14/2018</t>
  </si>
  <si>
    <t>02/15/2018</t>
  </si>
  <si>
    <t>02/16/2018</t>
  </si>
  <si>
    <t>02/20/2018</t>
  </si>
  <si>
    <t>02/22/2018</t>
  </si>
  <si>
    <t>02/26/2018</t>
  </si>
  <si>
    <t>05/16/2018</t>
  </si>
  <si>
    <t>02/27/2018</t>
  </si>
  <si>
    <t>02/28/2018</t>
  </si>
  <si>
    <t>03/01/2018</t>
  </si>
  <si>
    <t>03/05/2018</t>
  </si>
  <si>
    <t>03/06/2018</t>
  </si>
  <si>
    <t>03/07/2018</t>
  </si>
  <si>
    <t>03/09/2018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</si>
  <si>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</si>
  <si>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</si>
  <si>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</si>
  <si>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</si>
  <si>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</si>
  <si>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</si>
  <si>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</si>
  <si>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</si>
  <si>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</si>
  <si>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</si>
  <si>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03/29/2018</t>
  </si>
  <si>
    <t>04/02/2018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</si>
  <si>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</si>
  <si>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</si>
  <si>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</si>
  <si>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</si>
  <si>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</si>
  <si>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</si>
  <si>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</si>
  <si>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</si>
  <si>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</si>
  <si>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</si>
  <si>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</si>
  <si>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</si>
  <si>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</si>
  <si>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</si>
  <si>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</si>
  <si>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</si>
  <si>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</si>
  <si>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05/01/2018</t>
  </si>
  <si>
    <t>04/30/2018</t>
  </si>
  <si>
    <t>05/02/2018</t>
  </si>
  <si>
    <t>05/07/2018</t>
  </si>
  <si>
    <t>05/08/2018</t>
  </si>
  <si>
    <t>05/10/2018</t>
  </si>
  <si>
    <t>05/11/2018</t>
  </si>
  <si>
    <t>05/14/2018</t>
  </si>
  <si>
    <t>05/17/2018</t>
  </si>
  <si>
    <t>05/18/2018</t>
  </si>
  <si>
    <t>07/09/2018</t>
  </si>
  <si>
    <t>05/21/2018</t>
  </si>
  <si>
    <t>05/23/2018</t>
  </si>
  <si>
    <t>05/24/2018</t>
  </si>
  <si>
    <t>05/29/2018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</si>
  <si>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</si>
  <si>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</si>
  <si>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</si>
  <si>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</si>
  <si>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</si>
  <si>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</si>
  <si>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</si>
  <si>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</si>
  <si>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</si>
  <si>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</si>
  <si>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</si>
  <si>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</si>
  <si>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06/19/2018</t>
  </si>
  <si>
    <t>06/20/2018</t>
  </si>
  <si>
    <t>06/21/2018</t>
  </si>
  <si>
    <t>06/27/2018</t>
  </si>
  <si>
    <t>06/25/2018</t>
  </si>
  <si>
    <t>06/26/2018</t>
  </si>
  <si>
    <t>06/28/2018</t>
  </si>
  <si>
    <t>07/02/2018</t>
  </si>
  <si>
    <t>07/05/2018</t>
  </si>
  <si>
    <t>07/12/2018</t>
  </si>
  <si>
    <t>07/16/2018</t>
  </si>
  <si>
    <t>07/17/2018</t>
  </si>
  <si>
    <t>07/18/2018</t>
  </si>
  <si>
    <t>07/19/2018</t>
  </si>
  <si>
    <t>07/23/2018</t>
  </si>
  <si>
    <t>07/24/2018</t>
  </si>
  <si>
    <t>07/25/2018</t>
  </si>
  <si>
    <t>07/30/2018</t>
  </si>
  <si>
    <t>07/31/2018</t>
  </si>
  <si>
    <t>08/01/2018</t>
  </si>
  <si>
    <t>08/02/2018</t>
  </si>
  <si>
    <t>08/06/2018</t>
  </si>
  <si>
    <t>08/07/2018</t>
  </si>
  <si>
    <t>08/09/2018</t>
  </si>
  <si>
    <t>08/10/2018</t>
  </si>
  <si>
    <t>08/13/2018</t>
  </si>
  <si>
    <t>08/14/2018</t>
  </si>
  <si>
    <t>08/15/2018</t>
  </si>
  <si>
    <t>08/08/2018</t>
  </si>
  <si>
    <t>08/16/2018</t>
  </si>
  <si>
    <t>08/20/2018</t>
  </si>
  <si>
    <t>08/21/2018</t>
  </si>
  <si>
    <t>08/22/2018</t>
  </si>
  <si>
    <t>08/27/2018</t>
  </si>
  <si>
    <t>08/28/2018</t>
  </si>
  <si>
    <t>08/29/2018</t>
  </si>
  <si>
    <t>09/04/2018</t>
  </si>
  <si>
    <t>09/05/2018</t>
  </si>
  <si>
    <t>09/10/2018</t>
  </si>
  <si>
    <t>09/11/2018</t>
  </si>
  <si>
    <t>09/28/2018</t>
  </si>
  <si>
    <t>09/18/2018</t>
  </si>
  <si>
    <t>09/19/2018</t>
  </si>
  <si>
    <t>09/20/2018</t>
  </si>
  <si>
    <t>09/21/2018</t>
  </si>
  <si>
    <t>09/24/2018</t>
  </si>
  <si>
    <t>09/25/2018</t>
  </si>
  <si>
    <t>10/01/2018</t>
  </si>
  <si>
    <t>10/02/2018</t>
  </si>
  <si>
    <t>10/10/2018</t>
  </si>
  <si>
    <t>10/11/2018</t>
  </si>
  <si>
    <t>10/12/2018</t>
  </si>
  <si>
    <t>10/15/2018</t>
  </si>
  <si>
    <t>10/17/2018</t>
  </si>
  <si>
    <t>10/18/2018</t>
  </si>
  <si>
    <t>10/19/2018</t>
  </si>
  <si>
    <t>10/23/2018</t>
  </si>
  <si>
    <t>10/30/2018</t>
  </si>
  <si>
    <t>11/04/2018</t>
  </si>
  <si>
    <t>11/05/2018</t>
  </si>
  <si>
    <t>11/07/2018</t>
  </si>
  <si>
    <t>11/08/2018</t>
  </si>
  <si>
    <t>11/09/2018</t>
  </si>
  <si>
    <t>11/13/2018</t>
  </si>
  <si>
    <t>11/14/2018</t>
  </si>
  <si>
    <t>11/15/2018</t>
  </si>
  <si>
    <t>11/16/2018</t>
  </si>
  <si>
    <t>11/20/2018</t>
  </si>
  <si>
    <t>11/21/2018</t>
  </si>
  <si>
    <t>11/27/2018</t>
  </si>
  <si>
    <t>11/28/2018</t>
  </si>
  <si>
    <t>11/29/2018</t>
  </si>
  <si>
    <t>11/30/2018</t>
  </si>
  <si>
    <t>12/03/2018</t>
  </si>
  <si>
    <t>01/04/2019</t>
  </si>
  <si>
    <t>12/06/2018</t>
  </si>
  <si>
    <t>12/07/2018</t>
  </si>
  <si>
    <t>12/10/2018</t>
  </si>
  <si>
    <t>12/17/2018</t>
  </si>
  <si>
    <t>12/19/2018</t>
  </si>
  <si>
    <t>12/20/2018</t>
  </si>
  <si>
    <t>12/21/2018</t>
  </si>
  <si>
    <t>12/26/2018</t>
  </si>
  <si>
    <t>12/27/2018</t>
  </si>
  <si>
    <t>12/28/2018</t>
  </si>
  <si>
    <t>01/03/2019</t>
  </si>
  <si>
    <t>01/07/2019</t>
  </si>
  <si>
    <t>01/08/2019</t>
  </si>
  <si>
    <t>01/09/2019</t>
  </si>
  <si>
    <t>01/17/2019</t>
  </si>
  <si>
    <t>01/22/2019</t>
  </si>
  <si>
    <t>01/30/2019</t>
  </si>
  <si>
    <t>02/14/2019</t>
  </si>
  <si>
    <t>03/08/2019</t>
  </si>
  <si>
    <t>03/14/2019</t>
  </si>
  <si>
    <t>03/15/2019</t>
  </si>
  <si>
    <t>03/18/2019</t>
  </si>
  <si>
    <t>03/27/2019</t>
  </si>
  <si>
    <t>03/28/2019</t>
  </si>
  <si>
    <t>04/03/2019</t>
  </si>
  <si>
    <t>04/05/2019</t>
  </si>
  <si>
    <t>04/08/2019</t>
  </si>
  <si>
    <t>04/10/2019</t>
  </si>
  <si>
    <t>04/16/2019</t>
  </si>
  <si>
    <t>04/17/2019</t>
  </si>
  <si>
    <t>04/30/2019</t>
  </si>
  <si>
    <t>05/02/2019</t>
  </si>
  <si>
    <t>05/08/2019</t>
  </si>
  <si>
    <t>05/22/2019</t>
  </si>
  <si>
    <t>04/01/2002</t>
  </si>
  <si>
    <t>04/15/2019</t>
  </si>
  <si>
    <t>01/16/2019</t>
  </si>
  <si>
    <t>04/12/2019</t>
  </si>
  <si>
    <t>12/31/2018</t>
  </si>
  <si>
    <t>12/13/2018</t>
  </si>
  <si>
    <t>09/17/2018</t>
  </si>
  <si>
    <t>01/14/2019</t>
  </si>
  <si>
    <t>09/14/2018</t>
  </si>
  <si>
    <t>04/04/2019</t>
  </si>
  <si>
    <t>12/12/2018</t>
  </si>
  <si>
    <t>10/04/2018</t>
  </si>
  <si>
    <t>10/31/2018</t>
  </si>
  <si>
    <t>08/24/2018</t>
  </si>
  <si>
    <t>09/26/2018</t>
  </si>
  <si>
    <t>10/16/2018</t>
  </si>
  <si>
    <t>12/18/2018</t>
  </si>
  <si>
    <t>12/14/2018</t>
  </si>
  <si>
    <t>03/01/2019</t>
  </si>
  <si>
    <t>05/16/2019</t>
  </si>
  <si>
    <t>11/01/2018</t>
  </si>
  <si>
    <t>11/06/2018</t>
  </si>
  <si>
    <t>05/23/2019</t>
  </si>
  <si>
    <t>01/18/2019</t>
  </si>
  <si>
    <t>12/11/2018</t>
  </si>
  <si>
    <t>07/26/2018</t>
  </si>
  <si>
    <t>02/15/2019</t>
  </si>
  <si>
    <t>02/21/2019</t>
  </si>
  <si>
    <t>05/01/2019</t>
  </si>
  <si>
    <t>07/10/2018</t>
  </si>
  <si>
    <t>10/14/2018</t>
  </si>
  <si>
    <t>11/02/2018</t>
  </si>
  <si>
    <t>07/27/2018</t>
  </si>
  <si>
    <t>03/12/2019</t>
  </si>
  <si>
    <t>04/22/2019</t>
  </si>
  <si>
    <t>01/15/2019</t>
  </si>
  <si>
    <t>05/13/2019</t>
  </si>
  <si>
    <t>02/20/2019</t>
  </si>
  <si>
    <t>02/07/2019</t>
  </si>
  <si>
    <t>03/04/2019</t>
  </si>
  <si>
    <t>11/24/2018</t>
  </si>
  <si>
    <t>04/11/2019</t>
  </si>
  <si>
    <t>09/12/2018</t>
  </si>
  <si>
    <t>09/13/2018</t>
  </si>
  <si>
    <t>04/18/2019</t>
  </si>
  <si>
    <t>12/04/2018</t>
  </si>
  <si>
    <t>10/05/2018</t>
  </si>
  <si>
    <t>08/03/2018</t>
  </si>
  <si>
    <t>05/15/2019</t>
  </si>
  <si>
    <t>02/08/2019</t>
  </si>
  <si>
    <t>02/13/2019</t>
  </si>
  <si>
    <t>04/09/2019</t>
  </si>
  <si>
    <t>11/19/2018</t>
  </si>
  <si>
    <t>10/03/2018</t>
  </si>
  <si>
    <t>01/10/2019</t>
  </si>
  <si>
    <t>12/24/2018</t>
  </si>
  <si>
    <t>05/31/2019</t>
  </si>
  <si>
    <t>03/13/2019</t>
  </si>
  <si>
    <t>01/11/2019</t>
  </si>
  <si>
    <t>04/19/2019</t>
  </si>
  <si>
    <t>08/31/2018</t>
  </si>
  <si>
    <t>02/22/2019</t>
  </si>
  <si>
    <t>11/25/2018</t>
  </si>
  <si>
    <t>07/13/2018</t>
  </si>
  <si>
    <t>05/29/2019</t>
  </si>
  <si>
    <t>04/29/2019</t>
  </si>
  <si>
    <t>03/29/2019</t>
  </si>
  <si>
    <t>05/30/2019</t>
  </si>
  <si>
    <t>02/01/2019</t>
  </si>
  <si>
    <t>12/02/2018</t>
  </si>
  <si>
    <t>01/23/2019</t>
  </si>
  <si>
    <t>12/30/2018</t>
  </si>
  <si>
    <t>11/26/2018</t>
  </si>
  <si>
    <t>03/20/2019</t>
  </si>
  <si>
    <t>02/27/2019</t>
  </si>
  <si>
    <t>05/17/2019</t>
  </si>
  <si>
    <t>05/09/2019</t>
  </si>
  <si>
    <t>02/19/2019</t>
  </si>
  <si>
    <t>05/06/2019</t>
  </si>
  <si>
    <t>03/06/2019</t>
  </si>
  <si>
    <t>04/26/2019</t>
  </si>
  <si>
    <t>05/21/2019</t>
  </si>
  <si>
    <t>04/02/2019</t>
  </si>
  <si>
    <t>02/26/2019</t>
  </si>
  <si>
    <t>05/24/2019</t>
  </si>
  <si>
    <t>05/10/2019</t>
  </si>
  <si>
    <t>05/28/2019</t>
  </si>
  <si>
    <t>ALJ Hearing</t>
  </si>
  <si>
    <t>District Court</t>
  </si>
  <si>
    <t>Appeals Council</t>
  </si>
  <si>
    <t>Other</t>
  </si>
  <si>
    <t>Claim Denial</t>
  </si>
  <si>
    <t>Termination</t>
  </si>
  <si>
    <t>No Problem</t>
  </si>
  <si>
    <t>75 SSI</t>
  </si>
  <si>
    <t>74 SSDI</t>
  </si>
  <si>
    <t>72 Social Security (Not SSDI)</t>
  </si>
  <si>
    <t>2065 DAP-Disability Advocacy</t>
  </si>
  <si>
    <t>3020 CLS-Civil Legal Services</t>
  </si>
  <si>
    <t>5227 RH VJP (Veterans Justice Project)</t>
  </si>
  <si>
    <t>5221 SSUSA-Single Stop USA</t>
  </si>
  <si>
    <t>A - Counsel and Advice</t>
  </si>
  <si>
    <t>H - Administrative Agency Decision</t>
  </si>
  <si>
    <t>B - Limited Action (Brief Service)</t>
  </si>
  <si>
    <t>IB - Contested Court Decision</t>
  </si>
  <si>
    <t>IC - Appeals</t>
  </si>
  <si>
    <t>L - Extensive Service (not resulting in Settlement of Court or Administrative Action)</t>
  </si>
  <si>
    <t>G - Negotiated Settlement with Litigation</t>
  </si>
  <si>
    <t>IA - Uncontested Court Decision</t>
  </si>
  <si>
    <t>Client did not receive / retain benefits</t>
  </si>
  <si>
    <t>Client won/ received  retained monthly benefits</t>
  </si>
  <si>
    <t>Client withdrew/failed to return</t>
  </si>
  <si>
    <t>Short or other services</t>
  </si>
  <si>
    <t>Client won/received only retroactive benefits</t>
  </si>
  <si>
    <t>Case Remanded</t>
  </si>
  <si>
    <t>Client won/did not receive any benefits</t>
  </si>
  <si>
    <t>$0.00</t>
  </si>
  <si>
    <t>$837.00</t>
  </si>
  <si>
    <t>$773.00</t>
  </si>
  <si>
    <t>$794.00</t>
  </si>
  <si>
    <t>$750.00</t>
  </si>
  <si>
    <t>$735.00</t>
  </si>
  <si>
    <t>$640.00</t>
  </si>
  <si>
    <t>$580.00</t>
  </si>
  <si>
    <t>$523.00</t>
  </si>
  <si>
    <t>$1,954.00</t>
  </si>
  <si>
    <t>$543.00</t>
  </si>
  <si>
    <t>$947.00</t>
  </si>
  <si>
    <t>$2,051.00</t>
  </si>
  <si>
    <t>$535.00</t>
  </si>
  <si>
    <t>$515.00</t>
  </si>
  <si>
    <t>$459.70</t>
  </si>
  <si>
    <t>$632.17</t>
  </si>
  <si>
    <t>$197.00</t>
  </si>
  <si>
    <t>$514.00</t>
  </si>
  <si>
    <t>$1,241.00</t>
  </si>
  <si>
    <t>$771.00</t>
  </si>
  <si>
    <t>$500.00</t>
  </si>
  <si>
    <t>$857.00</t>
  </si>
  <si>
    <t>$941.00</t>
  </si>
  <si>
    <t>$650.00</t>
  </si>
  <si>
    <t>$533.00</t>
  </si>
  <si>
    <t>$770.00</t>
  </si>
  <si>
    <t>$836.10</t>
  </si>
  <si>
    <t>$665.00</t>
  </si>
  <si>
    <t>$791.00</t>
  </si>
  <si>
    <t>$753.00</t>
  </si>
  <si>
    <t>$2,412.50</t>
  </si>
  <si>
    <t>$763.00</t>
  </si>
  <si>
    <t>$1,013.00</t>
  </si>
  <si>
    <t>$968.30</t>
  </si>
  <si>
    <t>$705.00</t>
  </si>
  <si>
    <t>$261.00</t>
  </si>
  <si>
    <t>$903.00</t>
  </si>
  <si>
    <t>$1,072.00</t>
  </si>
  <si>
    <t>$300.00</t>
  </si>
  <si>
    <t>$824.00</t>
  </si>
  <si>
    <t>$747.50</t>
  </si>
  <si>
    <t>$769.00</t>
  </si>
  <si>
    <t>$1,185.00</t>
  </si>
  <si>
    <t>$1,061.00</t>
  </si>
  <si>
    <t>$845.00</t>
  </si>
  <si>
    <t>$1,048.50</t>
  </si>
  <si>
    <t>$1,300.00</t>
  </si>
  <si>
    <t>$19,325.00</t>
  </si>
  <si>
    <t>$822.00</t>
  </si>
  <si>
    <t>$2,602.00</t>
  </si>
  <si>
    <t>$716.00</t>
  </si>
  <si>
    <t>$733.00</t>
  </si>
  <si>
    <t>$1,046.00</t>
  </si>
  <si>
    <t>$443.00</t>
  </si>
  <si>
    <t>$812.00</t>
  </si>
  <si>
    <t>$654.00</t>
  </si>
  <si>
    <t>$849.00</t>
  </si>
  <si>
    <t>$1,656.00</t>
  </si>
  <si>
    <t>$355.00</t>
  </si>
  <si>
    <t>$669.30</t>
  </si>
  <si>
    <t>$1,197.00</t>
  </si>
  <si>
    <t>$587.00</t>
  </si>
  <si>
    <t>$1,538.00</t>
  </si>
  <si>
    <t>$529.00</t>
  </si>
  <si>
    <t>$801.00</t>
  </si>
  <si>
    <t>$758.00</t>
  </si>
  <si>
    <t>$886.40</t>
  </si>
  <si>
    <t>$571.00</t>
  </si>
  <si>
    <t>$1,089.00</t>
  </si>
  <si>
    <t>$954.70</t>
  </si>
  <si>
    <t>$862.00</t>
  </si>
  <si>
    <t>$858.00</t>
  </si>
  <si>
    <t>$749.00</t>
  </si>
  <si>
    <t>$612.00</t>
  </si>
  <si>
    <t>$764.00</t>
  </si>
  <si>
    <t>$841.00</t>
  </si>
  <si>
    <t>$2,030.00</t>
  </si>
  <si>
    <t>$639.00</t>
  </si>
  <si>
    <t>$785.00</t>
  </si>
  <si>
    <t>$1,306.00</t>
  </si>
  <si>
    <t>$693.90</t>
  </si>
  <si>
    <t>$1,570.00</t>
  </si>
  <si>
    <t>$750.25</t>
  </si>
  <si>
    <t>$690.00</t>
  </si>
  <si>
    <t>$537.00</t>
  </si>
  <si>
    <t>$901.00</t>
  </si>
  <si>
    <t>$1,598.00</t>
  </si>
  <si>
    <t>$939.30</t>
  </si>
  <si>
    <t>$1,080.00</t>
  </si>
  <si>
    <t>$1,971.10</t>
  </si>
  <si>
    <t>$613.00</t>
  </si>
  <si>
    <t>$35,856.00</t>
  </si>
  <si>
    <t>$18,000.00</t>
  </si>
  <si>
    <t>$21,025.00</t>
  </si>
  <si>
    <t>$21,576.00</t>
  </si>
  <si>
    <t>$211,421.00</t>
  </si>
  <si>
    <t>$19,200.00</t>
  </si>
  <si>
    <t>$22,040.00</t>
  </si>
  <si>
    <t>$43,192.80</t>
  </si>
  <si>
    <t>$33,048.00</t>
  </si>
  <si>
    <t>$63,632.00</t>
  </si>
  <si>
    <t>$24,368.00</t>
  </si>
  <si>
    <t>$32,928.90</t>
  </si>
  <si>
    <t>$60,600.00</t>
  </si>
  <si>
    <t>$23,392.00</t>
  </si>
  <si>
    <t>$2,200.00</t>
  </si>
  <si>
    <t>$36,703.00</t>
  </si>
  <si>
    <t>$23,086.00</t>
  </si>
  <si>
    <t>$25,065.00</t>
  </si>
  <si>
    <t>$12,607.80</t>
  </si>
  <si>
    <t>$15,675.00</t>
  </si>
  <si>
    <t>$31,500.00</t>
  </si>
  <si>
    <t>$23,284.00</t>
  </si>
  <si>
    <t>$33,099.86</t>
  </si>
  <si>
    <t>$12,181.00</t>
  </si>
  <si>
    <t>$5,167.00</t>
  </si>
  <si>
    <t>$69,910.00</t>
  </si>
  <si>
    <t>$10,070.95</t>
  </si>
  <si>
    <t>$46,793.10</t>
  </si>
  <si>
    <t>$19,434.00</t>
  </si>
  <si>
    <t>$31,278.00</t>
  </si>
  <si>
    <t>$36,980.40</t>
  </si>
  <si>
    <t>$17,302.00</t>
  </si>
  <si>
    <t>$11,568.00</t>
  </si>
  <si>
    <t>$12,823.35</t>
  </si>
  <si>
    <t>$5,292.00</t>
  </si>
  <si>
    <t>$11,334.00</t>
  </si>
  <si>
    <t>$17,172.02</t>
  </si>
  <si>
    <t>$19,058.00</t>
  </si>
  <si>
    <t>$101,300.00</t>
  </si>
  <si>
    <t>$36,974.70</t>
  </si>
  <si>
    <t>$16,245.00</t>
  </si>
  <si>
    <t>$21,414.00</t>
  </si>
  <si>
    <t>$11,103.00</t>
  </si>
  <si>
    <t>$18,853.00</t>
  </si>
  <si>
    <t>$21,241.00</t>
  </si>
  <si>
    <t>$33,162.00</t>
  </si>
  <si>
    <t>$107,698.00</t>
  </si>
  <si>
    <t>$26,000.00</t>
  </si>
  <si>
    <t>$20,667.00</t>
  </si>
  <si>
    <t>$48,247.00</t>
  </si>
  <si>
    <t>$11,216.00</t>
  </si>
  <si>
    <t>$4,572.00</t>
  </si>
  <si>
    <t>$26,741.00</t>
  </si>
  <si>
    <t>$19,286.00</t>
  </si>
  <si>
    <t>$27,750.00</t>
  </si>
  <si>
    <t>$24,371.00</t>
  </si>
  <si>
    <t>$8,617.00</t>
  </si>
  <si>
    <t>$29,750.00</t>
  </si>
  <si>
    <t>$33,356.00</t>
  </si>
  <si>
    <t>$24,534.00</t>
  </si>
  <si>
    <t>$25,100.00</t>
  </si>
  <si>
    <t>$16,673.00</t>
  </si>
  <si>
    <t>$61,031.20</t>
  </si>
  <si>
    <t>$12,465.93</t>
  </si>
  <si>
    <t>$26,392.00</t>
  </si>
  <si>
    <t>$31,966.11</t>
  </si>
  <si>
    <t>$33,595.00</t>
  </si>
  <si>
    <t>$26,018.00</t>
  </si>
  <si>
    <t>$55,823.00</t>
  </si>
  <si>
    <t>$8,405.00</t>
  </si>
  <si>
    <t>$33,451.00</t>
  </si>
  <si>
    <t>$39,843.00</t>
  </si>
  <si>
    <t>$42,298.00</t>
  </si>
  <si>
    <t>$56,176.00</t>
  </si>
  <si>
    <t>$18,552.00</t>
  </si>
  <si>
    <t>$24,794.00</t>
  </si>
  <si>
    <t>$6,000.00</t>
  </si>
  <si>
    <t>$44,256.00</t>
  </si>
  <si>
    <t>$17,603.00</t>
  </si>
  <si>
    <t>$23,684.00</t>
  </si>
  <si>
    <t>$22,308.00</t>
  </si>
  <si>
    <t>$41,224.00</t>
  </si>
  <si>
    <t>$4,185.00</t>
  </si>
  <si>
    <t>$40,871.64</t>
  </si>
  <si>
    <t>$25,964.02</t>
  </si>
  <si>
    <t>$8,612.00</t>
  </si>
  <si>
    <t>$980.00</t>
  </si>
  <si>
    <t>$30,053.00</t>
  </si>
  <si>
    <t>$18,882.00</t>
  </si>
  <si>
    <t>$24,916.00</t>
  </si>
  <si>
    <t>$19,088.88</t>
  </si>
  <si>
    <t>$21,209.00</t>
  </si>
  <si>
    <t>$23,664.00</t>
  </si>
  <si>
    <t>$2,006.00</t>
  </si>
  <si>
    <t>$34,255.00</t>
  </si>
  <si>
    <t>$35,820.43</t>
  </si>
  <si>
    <t>$30,570.00</t>
  </si>
  <si>
    <t>$23,000.00</t>
  </si>
  <si>
    <t>$37,050.00</t>
  </si>
  <si>
    <t>$26,353.00</t>
  </si>
  <si>
    <t>$16,721.38</t>
  </si>
  <si>
    <t>$7,500.00</t>
  </si>
  <si>
    <t>$18,750.00</t>
  </si>
  <si>
    <t>$32,693.80</t>
  </si>
  <si>
    <t>$7,968.00</t>
  </si>
  <si>
    <t>$1,071.00</t>
  </si>
  <si>
    <t>$47,107.00</t>
  </si>
  <si>
    <t>$2,250.00</t>
  </si>
  <si>
    <t>$18,979.00</t>
  </si>
  <si>
    <t>$14,000.00</t>
  </si>
  <si>
    <t>$61,000.00</t>
  </si>
  <si>
    <t>$22,934.00</t>
  </si>
  <si>
    <t>$6,599.00</t>
  </si>
  <si>
    <t>$22,917.00</t>
  </si>
  <si>
    <t>$21,394.00</t>
  </si>
  <si>
    <t>$22,857.00</t>
  </si>
  <si>
    <t>$22,500.00</t>
  </si>
  <si>
    <t>$1,093.00</t>
  </si>
  <si>
    <t>$25,861.00</t>
  </si>
  <si>
    <t>$20,452.00</t>
  </si>
  <si>
    <t>$31,137.31</t>
  </si>
  <si>
    <t>$35,428.00</t>
  </si>
  <si>
    <t>$10,826.00</t>
  </si>
  <si>
    <t>$18,650.00</t>
  </si>
  <si>
    <t>$23,722.00</t>
  </si>
  <si>
    <t>$19,714.00</t>
  </si>
  <si>
    <t>$40,116.00</t>
  </si>
  <si>
    <t>$23,261.00</t>
  </si>
  <si>
    <t>$31,311.00</t>
  </si>
  <si>
    <t>$43,094.53</t>
  </si>
  <si>
    <t>$3,539.00</t>
  </si>
  <si>
    <t>$22,943.50</t>
  </si>
  <si>
    <t>$41,000.00</t>
  </si>
  <si>
    <t>$15,795.00</t>
  </si>
  <si>
    <t>$20,014.72</t>
  </si>
  <si>
    <t>$15,513.00</t>
  </si>
  <si>
    <t>$27,501.00</t>
  </si>
  <si>
    <t>$29,776.00</t>
  </si>
  <si>
    <t>$28,679.00</t>
  </si>
  <si>
    <t>$24,384.00</t>
  </si>
  <si>
    <t>$28,423.50</t>
  </si>
  <si>
    <t>$22,908.00</t>
  </si>
  <si>
    <t>$14,455.20</t>
  </si>
  <si>
    <t>$16,842.00</t>
  </si>
  <si>
    <t>$43,753.00</t>
  </si>
  <si>
    <t>$25,150.00</t>
  </si>
  <si>
    <t>$40,336.00</t>
  </si>
  <si>
    <t>$19,324.00</t>
  </si>
  <si>
    <t>$12,666.00</t>
  </si>
  <si>
    <t>$49,765.70</t>
  </si>
  <si>
    <t>$14,129.00</t>
  </si>
  <si>
    <t>$18,401.00</t>
  </si>
  <si>
    <t>$56,376.00</t>
  </si>
  <si>
    <t>$14,862.68</t>
  </si>
  <si>
    <t>$4,056.00</t>
  </si>
  <si>
    <t>$32,776.00</t>
  </si>
  <si>
    <t>$21,856.00</t>
  </si>
  <si>
    <t>$939.00</t>
  </si>
  <si>
    <t>$23,222.00</t>
  </si>
  <si>
    <t>$60,552.30</t>
  </si>
  <si>
    <t>$5,333.00</t>
  </si>
  <si>
    <t>$3,903.86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</si>
</sst>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56"/>
  <sheetViews>
    <sheetView tabSelected="1" workbookViewId="0"/>
  </sheetViews>
  <sheetFormatPr defaultRowHeight="15"/>
  <cols>
    <col min="1" max="1" width="20.7109375" style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>
        <f>HYPERLINK("https://cms.ls-nyc.org/matter/dynamic-profile/view/0739397","13-0739397")</f>
        <v>0</v>
      </c>
      <c r="B2" t="s">
        <v>26</v>
      </c>
      <c r="C2" t="s">
        <v>30</v>
      </c>
      <c r="D2" t="s">
        <v>61</v>
      </c>
      <c r="E2" t="s">
        <v>499</v>
      </c>
      <c r="F2" t="s">
        <v>921</v>
      </c>
      <c r="G2" t="s">
        <v>1289</v>
      </c>
      <c r="J2" t="s">
        <v>1382</v>
      </c>
      <c r="K2" t="s">
        <v>1385</v>
      </c>
      <c r="M2" t="s">
        <v>1389</v>
      </c>
      <c r="Q2">
        <v>0</v>
      </c>
      <c r="R2">
        <v>0</v>
      </c>
      <c r="S2">
        <v>0</v>
      </c>
      <c r="T2">
        <v>0</v>
      </c>
      <c r="U2" t="s">
        <v>1404</v>
      </c>
      <c r="V2" t="s">
        <v>1404</v>
      </c>
      <c r="W2">
        <v>0</v>
      </c>
      <c r="X2">
        <v>0</v>
      </c>
      <c r="Y2">
        <v>0</v>
      </c>
      <c r="Z2">
        <v>0</v>
      </c>
    </row>
    <row r="3" spans="1:26">
      <c r="A3" s="1">
        <f>HYPERLINK("https://cms.ls-nyc.org/matter/dynamic-profile/view/0739956","13-0739956")</f>
        <v>0</v>
      </c>
      <c r="B3" t="s">
        <v>26</v>
      </c>
      <c r="C3" t="s">
        <v>31</v>
      </c>
      <c r="D3" t="s">
        <v>62</v>
      </c>
      <c r="E3" t="s">
        <v>500</v>
      </c>
      <c r="F3" t="s">
        <v>922</v>
      </c>
      <c r="G3" t="s">
        <v>1290</v>
      </c>
      <c r="H3" t="s">
        <v>1375</v>
      </c>
      <c r="I3" t="s">
        <v>1379</v>
      </c>
      <c r="J3" t="s">
        <v>1382</v>
      </c>
      <c r="K3" t="s">
        <v>1385</v>
      </c>
      <c r="M3" t="s">
        <v>1390</v>
      </c>
      <c r="P3" t="s">
        <v>1397</v>
      </c>
      <c r="Q3">
        <v>0</v>
      </c>
      <c r="R3">
        <v>0</v>
      </c>
      <c r="S3">
        <v>0</v>
      </c>
      <c r="T3">
        <v>0</v>
      </c>
      <c r="U3" t="s">
        <v>1404</v>
      </c>
      <c r="V3" t="s">
        <v>1404</v>
      </c>
      <c r="W3">
        <v>0</v>
      </c>
      <c r="X3">
        <v>0</v>
      </c>
      <c r="Y3">
        <v>0</v>
      </c>
      <c r="Z3">
        <v>0</v>
      </c>
    </row>
    <row r="4" spans="1:26">
      <c r="A4" s="1">
        <f>HYPERLINK("https://cms.ls-nyc.org/matter/dynamic-profile/view/0753159","14-0753159")</f>
        <v>0</v>
      </c>
      <c r="B4" t="s">
        <v>27</v>
      </c>
      <c r="C4" t="s">
        <v>32</v>
      </c>
      <c r="D4" t="s">
        <v>63</v>
      </c>
      <c r="E4" t="s">
        <v>501</v>
      </c>
      <c r="F4" t="s">
        <v>923</v>
      </c>
      <c r="G4" t="s">
        <v>1291</v>
      </c>
      <c r="H4" t="s">
        <v>1376</v>
      </c>
      <c r="I4" t="s">
        <v>1379</v>
      </c>
      <c r="J4" t="s">
        <v>1382</v>
      </c>
      <c r="K4" t="s">
        <v>1385</v>
      </c>
      <c r="M4" t="s">
        <v>1390</v>
      </c>
      <c r="P4" t="s">
        <v>1398</v>
      </c>
      <c r="Q4">
        <v>0</v>
      </c>
      <c r="R4">
        <v>0</v>
      </c>
      <c r="S4">
        <v>0</v>
      </c>
      <c r="T4">
        <v>0</v>
      </c>
      <c r="U4" t="s">
        <v>1405</v>
      </c>
      <c r="V4" t="s">
        <v>1404</v>
      </c>
      <c r="W4">
        <v>0</v>
      </c>
      <c r="X4">
        <v>837</v>
      </c>
      <c r="Y4">
        <v>0</v>
      </c>
      <c r="Z4">
        <v>0</v>
      </c>
    </row>
    <row r="5" spans="1:26">
      <c r="A5" s="1">
        <f>HYPERLINK("https://cms.ls-nyc.org/matter/dynamic-profile/view/0756072","14-0756072")</f>
        <v>0</v>
      </c>
      <c r="B5" t="s">
        <v>27</v>
      </c>
      <c r="C5" t="s">
        <v>33</v>
      </c>
      <c r="D5" t="s">
        <v>64</v>
      </c>
      <c r="E5" t="s">
        <v>502</v>
      </c>
      <c r="F5" t="s">
        <v>924</v>
      </c>
      <c r="G5" t="s">
        <v>1186</v>
      </c>
      <c r="H5" t="s">
        <v>1375</v>
      </c>
      <c r="I5" t="s">
        <v>1379</v>
      </c>
      <c r="J5" t="s">
        <v>1382</v>
      </c>
      <c r="K5" t="s">
        <v>1385</v>
      </c>
      <c r="M5" t="s">
        <v>1390</v>
      </c>
      <c r="P5" t="s">
        <v>1397</v>
      </c>
      <c r="Q5">
        <v>0</v>
      </c>
      <c r="R5">
        <v>0</v>
      </c>
      <c r="S5">
        <v>0</v>
      </c>
      <c r="T5">
        <v>0</v>
      </c>
      <c r="U5" t="s">
        <v>1404</v>
      </c>
      <c r="V5" t="s">
        <v>1404</v>
      </c>
      <c r="W5">
        <v>0</v>
      </c>
      <c r="X5">
        <v>0</v>
      </c>
      <c r="Y5">
        <v>0</v>
      </c>
      <c r="Z5">
        <v>0</v>
      </c>
    </row>
    <row r="6" spans="1:26">
      <c r="A6" s="1">
        <f>HYPERLINK("https://cms.ls-nyc.org/matter/dynamic-profile/view/0758331","14-0758331")</f>
        <v>0</v>
      </c>
      <c r="B6" t="s">
        <v>26</v>
      </c>
      <c r="C6" t="s">
        <v>30</v>
      </c>
      <c r="D6" t="s">
        <v>65</v>
      </c>
      <c r="E6" t="s">
        <v>503</v>
      </c>
      <c r="F6" t="s">
        <v>925</v>
      </c>
      <c r="G6" t="s">
        <v>1289</v>
      </c>
      <c r="J6" t="s">
        <v>1382</v>
      </c>
      <c r="K6" t="s">
        <v>1385</v>
      </c>
      <c r="M6" t="s">
        <v>1391</v>
      </c>
      <c r="Q6">
        <v>0</v>
      </c>
      <c r="R6">
        <v>0</v>
      </c>
      <c r="S6">
        <v>0</v>
      </c>
      <c r="T6">
        <v>0</v>
      </c>
      <c r="U6" t="s">
        <v>1404</v>
      </c>
      <c r="V6" t="s">
        <v>1404</v>
      </c>
      <c r="W6">
        <v>0</v>
      </c>
      <c r="X6">
        <v>0</v>
      </c>
      <c r="Y6">
        <v>0</v>
      </c>
      <c r="Z6">
        <v>0</v>
      </c>
    </row>
    <row r="7" spans="1:26">
      <c r="A7" s="1">
        <f>HYPERLINK("https://cms.ls-nyc.org/matter/dynamic-profile/view/0761260","14-0761260")</f>
        <v>0</v>
      </c>
      <c r="B7" t="s">
        <v>28</v>
      </c>
      <c r="C7" t="s">
        <v>34</v>
      </c>
      <c r="D7" t="s">
        <v>66</v>
      </c>
      <c r="E7" t="s">
        <v>504</v>
      </c>
      <c r="F7" t="s">
        <v>926</v>
      </c>
      <c r="G7" t="s">
        <v>1292</v>
      </c>
      <c r="H7" t="s">
        <v>1377</v>
      </c>
      <c r="I7" t="s">
        <v>1379</v>
      </c>
      <c r="J7" t="s">
        <v>1383</v>
      </c>
      <c r="K7" t="s">
        <v>1385</v>
      </c>
      <c r="M7" t="s">
        <v>1391</v>
      </c>
      <c r="P7" t="s">
        <v>1397</v>
      </c>
      <c r="Q7">
        <v>0</v>
      </c>
      <c r="R7">
        <v>0</v>
      </c>
      <c r="S7">
        <v>0</v>
      </c>
      <c r="T7">
        <v>0</v>
      </c>
      <c r="U7" t="s">
        <v>1404</v>
      </c>
      <c r="V7" t="s">
        <v>1404</v>
      </c>
      <c r="W7">
        <v>0</v>
      </c>
      <c r="X7">
        <v>0</v>
      </c>
      <c r="Y7">
        <v>0</v>
      </c>
      <c r="Z7">
        <v>0</v>
      </c>
    </row>
    <row r="8" spans="1:26">
      <c r="A8" s="1">
        <f>HYPERLINK("https://cms.ls-nyc.org/matter/dynamic-profile/view/0761937","14-0761937")</f>
        <v>0</v>
      </c>
      <c r="B8" t="s">
        <v>26</v>
      </c>
      <c r="C8" t="s">
        <v>30</v>
      </c>
      <c r="D8" t="s">
        <v>67</v>
      </c>
      <c r="E8" t="s">
        <v>505</v>
      </c>
      <c r="F8" t="s">
        <v>927</v>
      </c>
      <c r="G8" t="s">
        <v>1293</v>
      </c>
      <c r="H8" t="s">
        <v>1378</v>
      </c>
      <c r="I8" t="s">
        <v>1379</v>
      </c>
      <c r="J8" t="s">
        <v>1382</v>
      </c>
      <c r="K8" t="s">
        <v>1385</v>
      </c>
      <c r="M8" t="s">
        <v>1391</v>
      </c>
      <c r="P8" t="s">
        <v>1399</v>
      </c>
      <c r="Q8">
        <v>0</v>
      </c>
      <c r="R8">
        <v>0</v>
      </c>
      <c r="S8">
        <v>0</v>
      </c>
      <c r="T8">
        <v>0</v>
      </c>
      <c r="U8" t="s">
        <v>1404</v>
      </c>
      <c r="V8" t="s">
        <v>1404</v>
      </c>
      <c r="W8">
        <v>0</v>
      </c>
      <c r="X8">
        <v>0</v>
      </c>
      <c r="Y8">
        <v>0</v>
      </c>
      <c r="Z8">
        <v>0</v>
      </c>
    </row>
    <row r="9" spans="1:26">
      <c r="A9" s="1">
        <f>HYPERLINK("https://cms.ls-nyc.org/matter/dynamic-profile/view/0763830","14-0763830")</f>
        <v>0</v>
      </c>
      <c r="B9" t="s">
        <v>29</v>
      </c>
      <c r="C9" t="s">
        <v>35</v>
      </c>
      <c r="D9" t="s">
        <v>68</v>
      </c>
      <c r="E9" t="s">
        <v>506</v>
      </c>
      <c r="F9" t="s">
        <v>928</v>
      </c>
      <c r="G9" t="s">
        <v>1292</v>
      </c>
      <c r="H9" t="s">
        <v>1375</v>
      </c>
      <c r="I9" t="s">
        <v>1379</v>
      </c>
      <c r="J9" t="s">
        <v>1382</v>
      </c>
      <c r="K9" t="s">
        <v>1385</v>
      </c>
      <c r="M9" t="s">
        <v>1389</v>
      </c>
      <c r="P9" t="s">
        <v>1400</v>
      </c>
      <c r="Q9">
        <v>0</v>
      </c>
      <c r="R9">
        <v>0</v>
      </c>
      <c r="S9">
        <v>0</v>
      </c>
      <c r="T9">
        <v>0</v>
      </c>
      <c r="U9" t="s">
        <v>1404</v>
      </c>
      <c r="V9" t="s">
        <v>1404</v>
      </c>
      <c r="W9">
        <v>0</v>
      </c>
      <c r="X9">
        <v>0</v>
      </c>
      <c r="Y9">
        <v>0</v>
      </c>
      <c r="Z9">
        <v>0</v>
      </c>
    </row>
    <row r="10" spans="1:26">
      <c r="A10" s="1">
        <f>HYPERLINK("https://cms.ls-nyc.org/matter/dynamic-profile/view/0764751","14-0764751")</f>
        <v>0</v>
      </c>
      <c r="B10" t="s">
        <v>29</v>
      </c>
      <c r="C10" t="s">
        <v>35</v>
      </c>
      <c r="D10" t="s">
        <v>69</v>
      </c>
      <c r="E10" t="s">
        <v>507</v>
      </c>
      <c r="F10" t="s">
        <v>929</v>
      </c>
      <c r="G10" t="s">
        <v>1292</v>
      </c>
      <c r="H10" t="s">
        <v>1375</v>
      </c>
      <c r="I10" t="s">
        <v>1379</v>
      </c>
      <c r="J10" t="s">
        <v>1382</v>
      </c>
      <c r="K10" t="s">
        <v>1385</v>
      </c>
      <c r="M10" t="s">
        <v>1389</v>
      </c>
      <c r="P10" t="s">
        <v>1400</v>
      </c>
      <c r="Q10">
        <v>0</v>
      </c>
      <c r="R10">
        <v>0</v>
      </c>
      <c r="S10">
        <v>0</v>
      </c>
      <c r="T10">
        <v>0</v>
      </c>
      <c r="U10" t="s">
        <v>1404</v>
      </c>
      <c r="V10" t="s">
        <v>1404</v>
      </c>
      <c r="W10">
        <v>0</v>
      </c>
      <c r="X10">
        <v>0</v>
      </c>
      <c r="Y10">
        <v>0</v>
      </c>
      <c r="Z10">
        <v>0</v>
      </c>
    </row>
    <row r="11" spans="1:26">
      <c r="A11" s="1">
        <f>HYPERLINK("https://cms.ls-nyc.org/matter/dynamic-profile/view/0765187","14-0765187")</f>
        <v>0</v>
      </c>
      <c r="B11" t="s">
        <v>26</v>
      </c>
      <c r="C11" t="s">
        <v>31</v>
      </c>
      <c r="D11" t="s">
        <v>70</v>
      </c>
      <c r="E11" t="s">
        <v>508</v>
      </c>
      <c r="F11" t="s">
        <v>930</v>
      </c>
      <c r="G11" t="s">
        <v>1294</v>
      </c>
      <c r="H11" t="s">
        <v>1376</v>
      </c>
      <c r="I11" t="s">
        <v>1379</v>
      </c>
      <c r="J11" t="s">
        <v>1382</v>
      </c>
      <c r="K11" t="s">
        <v>1385</v>
      </c>
      <c r="M11" t="s">
        <v>1392</v>
      </c>
      <c r="P11" t="s">
        <v>1398</v>
      </c>
      <c r="Q11">
        <v>0</v>
      </c>
      <c r="R11">
        <v>0</v>
      </c>
      <c r="S11">
        <v>32219.74</v>
      </c>
      <c r="T11">
        <v>773</v>
      </c>
      <c r="U11" t="s">
        <v>1406</v>
      </c>
      <c r="V11" t="s">
        <v>1496</v>
      </c>
      <c r="W11">
        <v>32219.74</v>
      </c>
      <c r="X11">
        <v>773</v>
      </c>
      <c r="Y11">
        <v>0</v>
      </c>
      <c r="Z11">
        <v>3636.26</v>
      </c>
    </row>
    <row r="12" spans="1:26">
      <c r="A12" s="1">
        <f>HYPERLINK("https://cms.ls-nyc.org/matter/dynamic-profile/view/0767367","14-0767367")</f>
        <v>0</v>
      </c>
      <c r="B12" t="s">
        <v>26</v>
      </c>
      <c r="C12" t="s">
        <v>30</v>
      </c>
      <c r="D12" t="s">
        <v>71</v>
      </c>
      <c r="E12" t="s">
        <v>509</v>
      </c>
      <c r="F12" t="s">
        <v>931</v>
      </c>
      <c r="G12" t="s">
        <v>1289</v>
      </c>
      <c r="J12" t="s">
        <v>1382</v>
      </c>
      <c r="K12" t="s">
        <v>1385</v>
      </c>
      <c r="M12" t="s">
        <v>1389</v>
      </c>
      <c r="Q12">
        <v>0</v>
      </c>
      <c r="R12">
        <v>0</v>
      </c>
      <c r="S12">
        <v>0</v>
      </c>
      <c r="T12">
        <v>0</v>
      </c>
      <c r="U12" t="s">
        <v>1404</v>
      </c>
      <c r="V12" t="s">
        <v>1404</v>
      </c>
      <c r="W12">
        <v>0</v>
      </c>
      <c r="X12">
        <v>0</v>
      </c>
      <c r="Y12">
        <v>0</v>
      </c>
      <c r="Z12">
        <v>0</v>
      </c>
    </row>
    <row r="13" spans="1:26">
      <c r="A13" s="1">
        <f>HYPERLINK("https://cms.ls-nyc.org/matter/dynamic-profile/view/0768981","15-0768981")</f>
        <v>0</v>
      </c>
      <c r="B13" t="s">
        <v>26</v>
      </c>
      <c r="C13" t="s">
        <v>30</v>
      </c>
      <c r="D13" t="s">
        <v>72</v>
      </c>
      <c r="E13" t="s">
        <v>510</v>
      </c>
      <c r="F13" t="s">
        <v>932</v>
      </c>
      <c r="G13" t="s">
        <v>1293</v>
      </c>
      <c r="H13" t="s">
        <v>1375</v>
      </c>
      <c r="I13" t="s">
        <v>1379</v>
      </c>
      <c r="J13" t="s">
        <v>1383</v>
      </c>
      <c r="K13" t="s">
        <v>1385</v>
      </c>
      <c r="M13" t="s">
        <v>1391</v>
      </c>
      <c r="P13" t="s">
        <v>1400</v>
      </c>
      <c r="Q13">
        <v>0</v>
      </c>
      <c r="R13">
        <v>0</v>
      </c>
      <c r="S13">
        <v>0</v>
      </c>
      <c r="T13">
        <v>0</v>
      </c>
      <c r="U13" t="s">
        <v>1404</v>
      </c>
      <c r="V13" t="s">
        <v>1404</v>
      </c>
      <c r="W13">
        <v>0</v>
      </c>
      <c r="X13">
        <v>0</v>
      </c>
      <c r="Y13">
        <v>0</v>
      </c>
      <c r="Z13">
        <v>0</v>
      </c>
    </row>
    <row r="14" spans="1:26">
      <c r="A14" s="1">
        <f>HYPERLINK("https://cms.ls-nyc.org/matter/dynamic-profile/view/0770629","15-0770629")</f>
        <v>0</v>
      </c>
      <c r="B14" t="s">
        <v>27</v>
      </c>
      <c r="C14" t="s">
        <v>33</v>
      </c>
      <c r="D14" t="s">
        <v>73</v>
      </c>
      <c r="E14" t="s">
        <v>511</v>
      </c>
      <c r="F14" t="s">
        <v>933</v>
      </c>
      <c r="G14" t="s">
        <v>1295</v>
      </c>
      <c r="H14" t="s">
        <v>1378</v>
      </c>
      <c r="I14" t="s">
        <v>1379</v>
      </c>
      <c r="J14" t="s">
        <v>1383</v>
      </c>
      <c r="K14" t="s">
        <v>1385</v>
      </c>
      <c r="M14" t="s">
        <v>1391</v>
      </c>
      <c r="P14" t="s">
        <v>1399</v>
      </c>
      <c r="Q14">
        <v>0</v>
      </c>
      <c r="R14">
        <v>0</v>
      </c>
      <c r="S14">
        <v>0</v>
      </c>
      <c r="T14">
        <v>0</v>
      </c>
      <c r="U14" t="s">
        <v>1404</v>
      </c>
      <c r="V14" t="s">
        <v>1404</v>
      </c>
      <c r="W14">
        <v>0</v>
      </c>
      <c r="X14">
        <v>0</v>
      </c>
      <c r="Y14">
        <v>0</v>
      </c>
      <c r="Z14">
        <v>0</v>
      </c>
    </row>
    <row r="15" spans="1:26">
      <c r="A15" s="1">
        <f>HYPERLINK("https://cms.ls-nyc.org/matter/dynamic-profile/view/0771635","15-0771635")</f>
        <v>0</v>
      </c>
      <c r="B15" t="s">
        <v>28</v>
      </c>
      <c r="C15" t="s">
        <v>36</v>
      </c>
      <c r="D15" t="s">
        <v>74</v>
      </c>
      <c r="E15" t="s">
        <v>512</v>
      </c>
      <c r="F15" t="s">
        <v>934</v>
      </c>
      <c r="G15" t="s">
        <v>1296</v>
      </c>
      <c r="H15" t="s">
        <v>1378</v>
      </c>
      <c r="I15" t="s">
        <v>1379</v>
      </c>
      <c r="J15" t="s">
        <v>1383</v>
      </c>
      <c r="K15" t="s">
        <v>1385</v>
      </c>
      <c r="M15" t="s">
        <v>1391</v>
      </c>
      <c r="P15" t="s">
        <v>1400</v>
      </c>
      <c r="Q15">
        <v>0</v>
      </c>
      <c r="R15">
        <v>0</v>
      </c>
      <c r="S15">
        <v>0</v>
      </c>
      <c r="T15">
        <v>0</v>
      </c>
      <c r="U15" t="s">
        <v>1404</v>
      </c>
      <c r="V15" t="s">
        <v>1404</v>
      </c>
      <c r="W15">
        <v>0</v>
      </c>
      <c r="X15">
        <v>0</v>
      </c>
      <c r="Y15">
        <v>0</v>
      </c>
      <c r="Z15">
        <v>0</v>
      </c>
    </row>
    <row r="16" spans="1:26">
      <c r="A16" s="1">
        <f>HYPERLINK("https://cms.ls-nyc.org/matter/dynamic-profile/view/0772221","15-0772221")</f>
        <v>0</v>
      </c>
      <c r="B16" t="s">
        <v>27</v>
      </c>
      <c r="C16" t="s">
        <v>37</v>
      </c>
      <c r="D16" t="s">
        <v>61</v>
      </c>
      <c r="E16" t="s">
        <v>513</v>
      </c>
      <c r="F16" t="s">
        <v>935</v>
      </c>
      <c r="G16" t="s">
        <v>1297</v>
      </c>
      <c r="H16" t="s">
        <v>1377</v>
      </c>
      <c r="I16" t="s">
        <v>1379</v>
      </c>
      <c r="J16" t="s">
        <v>1382</v>
      </c>
      <c r="K16" t="s">
        <v>1385</v>
      </c>
      <c r="M16" t="s">
        <v>1390</v>
      </c>
      <c r="P16" t="s">
        <v>1397</v>
      </c>
      <c r="Q16">
        <v>0</v>
      </c>
      <c r="R16">
        <v>0</v>
      </c>
      <c r="S16">
        <v>0</v>
      </c>
      <c r="T16">
        <v>0</v>
      </c>
      <c r="U16" t="s">
        <v>1404</v>
      </c>
      <c r="V16" t="s">
        <v>1404</v>
      </c>
      <c r="W16">
        <v>0</v>
      </c>
      <c r="X16">
        <v>0</v>
      </c>
      <c r="Y16">
        <v>0</v>
      </c>
      <c r="Z16">
        <v>0</v>
      </c>
    </row>
    <row r="17" spans="1:26">
      <c r="A17" s="1">
        <f>HYPERLINK("https://cms.ls-nyc.org/matter/dynamic-profile/view/0772567","15-0772567")</f>
        <v>0</v>
      </c>
      <c r="B17" t="s">
        <v>26</v>
      </c>
      <c r="C17" t="s">
        <v>30</v>
      </c>
      <c r="D17" t="s">
        <v>75</v>
      </c>
      <c r="E17" t="s">
        <v>514</v>
      </c>
      <c r="F17" t="s">
        <v>936</v>
      </c>
      <c r="G17" t="s">
        <v>1298</v>
      </c>
      <c r="H17" t="s">
        <v>1378</v>
      </c>
      <c r="I17" t="s">
        <v>1379</v>
      </c>
      <c r="J17" t="s">
        <v>1382</v>
      </c>
      <c r="K17" t="s">
        <v>1385</v>
      </c>
      <c r="M17" t="s">
        <v>1389</v>
      </c>
      <c r="P17" t="s">
        <v>1400</v>
      </c>
      <c r="Q17">
        <v>0</v>
      </c>
      <c r="R17">
        <v>0</v>
      </c>
      <c r="S17">
        <v>0</v>
      </c>
      <c r="T17">
        <v>0</v>
      </c>
      <c r="U17" t="s">
        <v>1404</v>
      </c>
      <c r="V17" t="s">
        <v>1404</v>
      </c>
      <c r="W17">
        <v>0</v>
      </c>
      <c r="X17">
        <v>0</v>
      </c>
      <c r="Y17">
        <v>0</v>
      </c>
      <c r="Z17">
        <v>0</v>
      </c>
    </row>
    <row r="18" spans="1:26">
      <c r="A18" s="1">
        <f>HYPERLINK("https://cms.ls-nyc.org/matter/dynamic-profile/view/0772815","15-0772815")</f>
        <v>0</v>
      </c>
      <c r="B18" t="s">
        <v>28</v>
      </c>
      <c r="C18" t="s">
        <v>36</v>
      </c>
      <c r="D18" t="s">
        <v>76</v>
      </c>
      <c r="E18" t="s">
        <v>515</v>
      </c>
      <c r="F18" t="s">
        <v>937</v>
      </c>
      <c r="G18" t="s">
        <v>1296</v>
      </c>
      <c r="H18" t="s">
        <v>1378</v>
      </c>
      <c r="I18" t="s">
        <v>1379</v>
      </c>
      <c r="J18" t="s">
        <v>1382</v>
      </c>
      <c r="K18" t="s">
        <v>1385</v>
      </c>
      <c r="M18" t="s">
        <v>1391</v>
      </c>
      <c r="P18" t="s">
        <v>1400</v>
      </c>
      <c r="Q18">
        <v>0</v>
      </c>
      <c r="R18">
        <v>0</v>
      </c>
      <c r="S18">
        <v>0</v>
      </c>
      <c r="T18">
        <v>0</v>
      </c>
      <c r="U18" t="s">
        <v>1404</v>
      </c>
      <c r="V18" t="s">
        <v>1404</v>
      </c>
      <c r="W18">
        <v>0</v>
      </c>
      <c r="X18">
        <v>0</v>
      </c>
      <c r="Y18">
        <v>0</v>
      </c>
      <c r="Z18">
        <v>0</v>
      </c>
    </row>
    <row r="19" spans="1:26">
      <c r="A19" s="1">
        <f>HYPERLINK("https://cms.ls-nyc.org/matter/dynamic-profile/view/0772873","15-0772873")</f>
        <v>0</v>
      </c>
      <c r="B19" t="s">
        <v>26</v>
      </c>
      <c r="C19" t="s">
        <v>30</v>
      </c>
      <c r="D19" t="s">
        <v>77</v>
      </c>
      <c r="E19" t="s">
        <v>516</v>
      </c>
      <c r="F19" t="s">
        <v>937</v>
      </c>
      <c r="G19" t="s">
        <v>1293</v>
      </c>
      <c r="H19" t="s">
        <v>1375</v>
      </c>
      <c r="I19" t="s">
        <v>1379</v>
      </c>
      <c r="J19" t="s">
        <v>1382</v>
      </c>
      <c r="K19" t="s">
        <v>1385</v>
      </c>
      <c r="M19" t="s">
        <v>1391</v>
      </c>
      <c r="P19" t="s">
        <v>1400</v>
      </c>
      <c r="Q19">
        <v>0</v>
      </c>
      <c r="R19">
        <v>0</v>
      </c>
      <c r="S19">
        <v>0</v>
      </c>
      <c r="T19">
        <v>0</v>
      </c>
      <c r="U19" t="s">
        <v>1404</v>
      </c>
      <c r="V19" t="s">
        <v>1404</v>
      </c>
      <c r="W19">
        <v>0</v>
      </c>
      <c r="X19">
        <v>0</v>
      </c>
      <c r="Y19">
        <v>0</v>
      </c>
      <c r="Z19">
        <v>0</v>
      </c>
    </row>
    <row r="20" spans="1:26">
      <c r="A20" s="1">
        <f>HYPERLINK("https://cms.ls-nyc.org/matter/dynamic-profile/view/0775088","15-0775088")</f>
        <v>0</v>
      </c>
      <c r="B20" t="s">
        <v>28</v>
      </c>
      <c r="C20" t="s">
        <v>36</v>
      </c>
      <c r="D20" t="s">
        <v>78</v>
      </c>
      <c r="E20" t="s">
        <v>517</v>
      </c>
      <c r="F20" t="s">
        <v>938</v>
      </c>
      <c r="G20" t="s">
        <v>1296</v>
      </c>
      <c r="H20" t="s">
        <v>1378</v>
      </c>
      <c r="I20" t="s">
        <v>1380</v>
      </c>
      <c r="J20" t="s">
        <v>1382</v>
      </c>
      <c r="K20" t="s">
        <v>1385</v>
      </c>
      <c r="M20" t="s">
        <v>1391</v>
      </c>
      <c r="P20" t="s">
        <v>1400</v>
      </c>
      <c r="Q20">
        <v>0</v>
      </c>
      <c r="R20">
        <v>0</v>
      </c>
      <c r="S20">
        <v>0</v>
      </c>
      <c r="T20">
        <v>0</v>
      </c>
      <c r="U20" t="s">
        <v>1404</v>
      </c>
      <c r="V20" t="s">
        <v>1404</v>
      </c>
      <c r="W20">
        <v>0</v>
      </c>
      <c r="X20">
        <v>0</v>
      </c>
      <c r="Y20">
        <v>0</v>
      </c>
      <c r="Z20">
        <v>0</v>
      </c>
    </row>
    <row r="21" spans="1:26">
      <c r="A21" s="1">
        <f>HYPERLINK("https://cms.ls-nyc.org/matter/dynamic-profile/view/0776010","15-0776010")</f>
        <v>0</v>
      </c>
      <c r="B21" t="s">
        <v>27</v>
      </c>
      <c r="C21" t="s">
        <v>38</v>
      </c>
      <c r="D21" t="s">
        <v>79</v>
      </c>
      <c r="E21" t="s">
        <v>518</v>
      </c>
      <c r="F21" t="s">
        <v>939</v>
      </c>
      <c r="G21" t="s">
        <v>1292</v>
      </c>
      <c r="H21" t="s">
        <v>1375</v>
      </c>
      <c r="I21" t="s">
        <v>1379</v>
      </c>
      <c r="J21" t="s">
        <v>1382</v>
      </c>
      <c r="K21" t="s">
        <v>1385</v>
      </c>
      <c r="M21" t="s">
        <v>1390</v>
      </c>
      <c r="P21" t="s">
        <v>1398</v>
      </c>
      <c r="Q21">
        <v>0</v>
      </c>
      <c r="R21">
        <v>0</v>
      </c>
      <c r="S21">
        <v>18000</v>
      </c>
      <c r="T21">
        <v>0</v>
      </c>
      <c r="U21" t="s">
        <v>1407</v>
      </c>
      <c r="V21" t="s">
        <v>1497</v>
      </c>
      <c r="W21">
        <v>18000</v>
      </c>
      <c r="X21">
        <v>794</v>
      </c>
      <c r="Y21">
        <v>0</v>
      </c>
      <c r="Z21">
        <v>0</v>
      </c>
    </row>
    <row r="22" spans="1:26">
      <c r="A22" s="1">
        <f>HYPERLINK("https://cms.ls-nyc.org/matter/dynamic-profile/view/0776220","15-0776220")</f>
        <v>0</v>
      </c>
      <c r="B22" t="s">
        <v>26</v>
      </c>
      <c r="C22" t="s">
        <v>30</v>
      </c>
      <c r="D22" t="s">
        <v>80</v>
      </c>
      <c r="E22" t="s">
        <v>519</v>
      </c>
      <c r="F22" t="s">
        <v>940</v>
      </c>
      <c r="G22" t="s">
        <v>1289</v>
      </c>
      <c r="J22" t="s">
        <v>1382</v>
      </c>
      <c r="K22" t="s">
        <v>1385</v>
      </c>
      <c r="M22" t="s">
        <v>1391</v>
      </c>
      <c r="Q22">
        <v>0</v>
      </c>
      <c r="R22">
        <v>0</v>
      </c>
      <c r="S22">
        <v>0</v>
      </c>
      <c r="T22">
        <v>0</v>
      </c>
      <c r="U22" t="s">
        <v>1404</v>
      </c>
      <c r="V22" t="s">
        <v>1404</v>
      </c>
      <c r="W22">
        <v>0</v>
      </c>
      <c r="X22">
        <v>0</v>
      </c>
      <c r="Y22">
        <v>0</v>
      </c>
      <c r="Z22">
        <v>0</v>
      </c>
    </row>
    <row r="23" spans="1:26">
      <c r="A23" s="1">
        <f>HYPERLINK("https://cms.ls-nyc.org/matter/dynamic-profile/view/0776633","15-0776633")</f>
        <v>0</v>
      </c>
      <c r="B23" t="s">
        <v>26</v>
      </c>
      <c r="C23" t="s">
        <v>30</v>
      </c>
      <c r="D23" t="s">
        <v>81</v>
      </c>
      <c r="E23" t="s">
        <v>520</v>
      </c>
      <c r="F23" t="s">
        <v>941</v>
      </c>
      <c r="G23" t="s">
        <v>1289</v>
      </c>
      <c r="J23" t="s">
        <v>1383</v>
      </c>
      <c r="K23" t="s">
        <v>1385</v>
      </c>
      <c r="M23" t="s">
        <v>1389</v>
      </c>
      <c r="Q23">
        <v>0</v>
      </c>
      <c r="R23">
        <v>0</v>
      </c>
      <c r="S23">
        <v>0</v>
      </c>
      <c r="T23">
        <v>0</v>
      </c>
      <c r="U23" t="s">
        <v>1404</v>
      </c>
      <c r="V23" t="s">
        <v>1404</v>
      </c>
      <c r="W23">
        <v>0</v>
      </c>
      <c r="X23">
        <v>0</v>
      </c>
      <c r="Y23">
        <v>0</v>
      </c>
      <c r="Z23">
        <v>0</v>
      </c>
    </row>
    <row r="24" spans="1:26">
      <c r="A24" s="1">
        <f>HYPERLINK("https://cms.ls-nyc.org/matter/dynamic-profile/view/0781490","15-0781490")</f>
        <v>0</v>
      </c>
      <c r="B24" t="s">
        <v>27</v>
      </c>
      <c r="C24" t="s">
        <v>33</v>
      </c>
      <c r="D24" t="s">
        <v>82</v>
      </c>
      <c r="E24" t="s">
        <v>521</v>
      </c>
      <c r="F24" t="s">
        <v>942</v>
      </c>
      <c r="G24" t="s">
        <v>1281</v>
      </c>
      <c r="H24" t="s">
        <v>1375</v>
      </c>
      <c r="I24" t="s">
        <v>1379</v>
      </c>
      <c r="J24" t="s">
        <v>1382</v>
      </c>
      <c r="K24" t="s">
        <v>1385</v>
      </c>
      <c r="M24" t="s">
        <v>1390</v>
      </c>
      <c r="P24" t="s">
        <v>1398</v>
      </c>
      <c r="Q24">
        <v>0</v>
      </c>
      <c r="R24">
        <v>0</v>
      </c>
      <c r="S24">
        <v>0</v>
      </c>
      <c r="T24">
        <v>750</v>
      </c>
      <c r="U24" t="s">
        <v>1408</v>
      </c>
      <c r="V24" t="s">
        <v>1404</v>
      </c>
      <c r="W24">
        <v>0</v>
      </c>
      <c r="X24">
        <v>750</v>
      </c>
      <c r="Y24">
        <v>0</v>
      </c>
      <c r="Z24">
        <v>0</v>
      </c>
    </row>
    <row r="25" spans="1:26">
      <c r="A25" s="1">
        <f>HYPERLINK("https://cms.ls-nyc.org/matter/dynamic-profile/view/0782564","15-0782564")</f>
        <v>0</v>
      </c>
      <c r="B25" t="s">
        <v>27</v>
      </c>
      <c r="C25" t="s">
        <v>37</v>
      </c>
      <c r="D25" t="s">
        <v>83</v>
      </c>
      <c r="E25" t="s">
        <v>522</v>
      </c>
      <c r="F25" t="s">
        <v>943</v>
      </c>
      <c r="G25" t="s">
        <v>1186</v>
      </c>
      <c r="H25" t="s">
        <v>1375</v>
      </c>
      <c r="I25" t="s">
        <v>1379</v>
      </c>
      <c r="J25" t="s">
        <v>1383</v>
      </c>
      <c r="K25" t="s">
        <v>1385</v>
      </c>
      <c r="M25" t="s">
        <v>1391</v>
      </c>
      <c r="P25" t="s">
        <v>1400</v>
      </c>
      <c r="Q25">
        <v>0</v>
      </c>
      <c r="R25">
        <v>0</v>
      </c>
      <c r="S25">
        <v>0</v>
      </c>
      <c r="T25">
        <v>0</v>
      </c>
      <c r="U25" t="s">
        <v>1404</v>
      </c>
      <c r="V25" t="s">
        <v>1404</v>
      </c>
      <c r="W25">
        <v>0</v>
      </c>
      <c r="X25">
        <v>0</v>
      </c>
      <c r="Y25">
        <v>0</v>
      </c>
      <c r="Z25">
        <v>0</v>
      </c>
    </row>
    <row r="26" spans="1:26">
      <c r="A26" s="1">
        <f>HYPERLINK("https://cms.ls-nyc.org/matter/dynamic-profile/view/0783878","15-0783878")</f>
        <v>0</v>
      </c>
      <c r="B26" t="s">
        <v>28</v>
      </c>
      <c r="C26" t="s">
        <v>34</v>
      </c>
      <c r="D26" t="s">
        <v>84</v>
      </c>
      <c r="E26" t="s">
        <v>523</v>
      </c>
      <c r="F26" t="s">
        <v>944</v>
      </c>
      <c r="G26" t="s">
        <v>1227</v>
      </c>
      <c r="H26" t="s">
        <v>1375</v>
      </c>
      <c r="I26" t="s">
        <v>1380</v>
      </c>
      <c r="J26" t="s">
        <v>1382</v>
      </c>
      <c r="K26" t="s">
        <v>1385</v>
      </c>
      <c r="M26" t="s">
        <v>1390</v>
      </c>
      <c r="P26" t="s">
        <v>1401</v>
      </c>
      <c r="Q26">
        <v>0</v>
      </c>
      <c r="R26">
        <v>0</v>
      </c>
      <c r="S26">
        <v>21025</v>
      </c>
      <c r="T26">
        <v>0</v>
      </c>
      <c r="U26" t="s">
        <v>1404</v>
      </c>
      <c r="V26" t="s">
        <v>1498</v>
      </c>
      <c r="W26">
        <v>21025</v>
      </c>
      <c r="X26">
        <v>0</v>
      </c>
      <c r="Y26">
        <v>0</v>
      </c>
      <c r="Z26">
        <v>0</v>
      </c>
    </row>
    <row r="27" spans="1:26">
      <c r="A27" s="1">
        <f>HYPERLINK("https://cms.ls-nyc.org/matter/dynamic-profile/view/0784841","15-0784841")</f>
        <v>0</v>
      </c>
      <c r="B27" t="s">
        <v>28</v>
      </c>
      <c r="C27" t="s">
        <v>39</v>
      </c>
      <c r="D27" t="s">
        <v>85</v>
      </c>
      <c r="E27" t="s">
        <v>524</v>
      </c>
      <c r="F27" t="s">
        <v>945</v>
      </c>
      <c r="G27" t="s">
        <v>1296</v>
      </c>
      <c r="H27" t="s">
        <v>1378</v>
      </c>
      <c r="I27" t="s">
        <v>1379</v>
      </c>
      <c r="J27" t="s">
        <v>1383</v>
      </c>
      <c r="K27" t="s">
        <v>1385</v>
      </c>
      <c r="M27" t="s">
        <v>1391</v>
      </c>
      <c r="P27" t="s">
        <v>1400</v>
      </c>
      <c r="Q27">
        <v>0</v>
      </c>
      <c r="R27">
        <v>0</v>
      </c>
      <c r="S27">
        <v>0</v>
      </c>
      <c r="T27">
        <v>0</v>
      </c>
      <c r="U27" t="s">
        <v>1404</v>
      </c>
      <c r="V27" t="s">
        <v>1404</v>
      </c>
      <c r="W27">
        <v>0</v>
      </c>
      <c r="X27">
        <v>0</v>
      </c>
      <c r="Y27">
        <v>0</v>
      </c>
      <c r="Z27">
        <v>0</v>
      </c>
    </row>
    <row r="28" spans="1:26">
      <c r="A28" s="1">
        <f>HYPERLINK("https://cms.ls-nyc.org/matter/dynamic-profile/view/0786498","15-0786498")</f>
        <v>0</v>
      </c>
      <c r="B28" t="s">
        <v>29</v>
      </c>
      <c r="C28" t="s">
        <v>35</v>
      </c>
      <c r="D28" t="s">
        <v>86</v>
      </c>
      <c r="E28" t="s">
        <v>525</v>
      </c>
      <c r="F28" t="s">
        <v>946</v>
      </c>
      <c r="G28" t="s">
        <v>1299</v>
      </c>
      <c r="H28" t="s">
        <v>1375</v>
      </c>
      <c r="I28" t="s">
        <v>1380</v>
      </c>
      <c r="J28" t="s">
        <v>1382</v>
      </c>
      <c r="K28" t="s">
        <v>1385</v>
      </c>
      <c r="M28" t="s">
        <v>1390</v>
      </c>
      <c r="P28" t="s">
        <v>1398</v>
      </c>
      <c r="Q28">
        <v>0</v>
      </c>
      <c r="R28">
        <v>0</v>
      </c>
      <c r="S28">
        <v>0</v>
      </c>
      <c r="T28">
        <v>0</v>
      </c>
      <c r="U28" t="s">
        <v>1408</v>
      </c>
      <c r="V28" t="s">
        <v>1404</v>
      </c>
      <c r="W28">
        <v>0</v>
      </c>
      <c r="X28">
        <v>750</v>
      </c>
      <c r="Y28">
        <v>0</v>
      </c>
      <c r="Z28">
        <v>0</v>
      </c>
    </row>
    <row r="29" spans="1:26">
      <c r="A29" s="1">
        <f>HYPERLINK("https://cms.ls-nyc.org/matter/dynamic-profile/view/0788450","15-0788450")</f>
        <v>0</v>
      </c>
      <c r="B29" t="s">
        <v>29</v>
      </c>
      <c r="C29" t="s">
        <v>35</v>
      </c>
      <c r="D29" t="s">
        <v>87</v>
      </c>
      <c r="E29" t="s">
        <v>526</v>
      </c>
      <c r="F29" t="s">
        <v>947</v>
      </c>
      <c r="G29" t="s">
        <v>1260</v>
      </c>
      <c r="H29" t="s">
        <v>1377</v>
      </c>
      <c r="I29" t="s">
        <v>1379</v>
      </c>
      <c r="J29" t="s">
        <v>1382</v>
      </c>
      <c r="K29" t="s">
        <v>1385</v>
      </c>
      <c r="M29" t="s">
        <v>1393</v>
      </c>
      <c r="P29" t="s">
        <v>1397</v>
      </c>
      <c r="Q29">
        <v>0</v>
      </c>
      <c r="R29">
        <v>0</v>
      </c>
      <c r="S29">
        <v>0</v>
      </c>
      <c r="T29">
        <v>0</v>
      </c>
      <c r="U29" t="s">
        <v>1404</v>
      </c>
      <c r="V29" t="s">
        <v>1404</v>
      </c>
      <c r="W29">
        <v>0</v>
      </c>
      <c r="X29">
        <v>0</v>
      </c>
      <c r="Y29">
        <v>0</v>
      </c>
      <c r="Z29">
        <v>0</v>
      </c>
    </row>
    <row r="30" spans="1:26">
      <c r="A30" s="1">
        <f>HYPERLINK("https://cms.ls-nyc.org/matter/dynamic-profile/view/0790573","15-0790573")</f>
        <v>0</v>
      </c>
      <c r="B30" t="s">
        <v>29</v>
      </c>
      <c r="C30" t="s">
        <v>40</v>
      </c>
      <c r="D30" t="s">
        <v>88</v>
      </c>
      <c r="E30" t="s">
        <v>527</v>
      </c>
      <c r="F30" t="s">
        <v>946</v>
      </c>
      <c r="G30" t="s">
        <v>1232</v>
      </c>
      <c r="H30" t="s">
        <v>1375</v>
      </c>
      <c r="I30" t="s">
        <v>1379</v>
      </c>
      <c r="J30" t="s">
        <v>1382</v>
      </c>
      <c r="K30" t="s">
        <v>1385</v>
      </c>
      <c r="M30" t="s">
        <v>1389</v>
      </c>
      <c r="P30" t="s">
        <v>1400</v>
      </c>
      <c r="Q30">
        <v>0</v>
      </c>
      <c r="R30">
        <v>0</v>
      </c>
      <c r="S30">
        <v>0</v>
      </c>
      <c r="T30">
        <v>0</v>
      </c>
      <c r="U30" t="s">
        <v>1404</v>
      </c>
      <c r="V30" t="s">
        <v>1404</v>
      </c>
      <c r="W30">
        <v>0</v>
      </c>
      <c r="X30">
        <v>0</v>
      </c>
      <c r="Y30">
        <v>0</v>
      </c>
      <c r="Z30">
        <v>0</v>
      </c>
    </row>
    <row r="31" spans="1:26">
      <c r="A31" s="1">
        <f>HYPERLINK("https://cms.ls-nyc.org/matter/dynamic-profile/view/0792559","15-0792559")</f>
        <v>0</v>
      </c>
      <c r="B31" t="s">
        <v>27</v>
      </c>
      <c r="C31" t="s">
        <v>37</v>
      </c>
      <c r="D31" t="s">
        <v>89</v>
      </c>
      <c r="E31" t="s">
        <v>528</v>
      </c>
      <c r="F31" t="s">
        <v>948</v>
      </c>
      <c r="G31" t="s">
        <v>1186</v>
      </c>
      <c r="H31" t="s">
        <v>1375</v>
      </c>
      <c r="I31" t="s">
        <v>1379</v>
      </c>
      <c r="J31" t="s">
        <v>1382</v>
      </c>
      <c r="K31" t="s">
        <v>1385</v>
      </c>
      <c r="L31" t="s">
        <v>1388</v>
      </c>
      <c r="M31" t="s">
        <v>1390</v>
      </c>
      <c r="P31" t="s">
        <v>1398</v>
      </c>
      <c r="Q31">
        <v>0</v>
      </c>
      <c r="R31">
        <v>0</v>
      </c>
      <c r="S31">
        <v>21576</v>
      </c>
      <c r="T31">
        <v>750</v>
      </c>
      <c r="U31" t="s">
        <v>1408</v>
      </c>
      <c r="V31" t="s">
        <v>1499</v>
      </c>
      <c r="W31">
        <v>17586</v>
      </c>
      <c r="X31">
        <v>750</v>
      </c>
      <c r="Y31">
        <v>0</v>
      </c>
      <c r="Z31">
        <v>3990</v>
      </c>
    </row>
    <row r="32" spans="1:26">
      <c r="A32" s="1">
        <f>HYPERLINK("https://cms.ls-nyc.org/matter/dynamic-profile/view/0793846","15-0793846")</f>
        <v>0</v>
      </c>
      <c r="B32" t="s">
        <v>29</v>
      </c>
      <c r="C32" t="s">
        <v>41</v>
      </c>
      <c r="D32" t="s">
        <v>90</v>
      </c>
      <c r="E32" t="s">
        <v>529</v>
      </c>
      <c r="F32" t="s">
        <v>946</v>
      </c>
      <c r="G32" t="s">
        <v>1249</v>
      </c>
      <c r="H32" t="s">
        <v>1375</v>
      </c>
      <c r="I32" t="s">
        <v>1379</v>
      </c>
      <c r="J32" t="s">
        <v>1383</v>
      </c>
      <c r="K32" t="s">
        <v>1385</v>
      </c>
      <c r="M32" t="s">
        <v>1390</v>
      </c>
      <c r="P32" t="s">
        <v>1397</v>
      </c>
      <c r="Q32">
        <v>0</v>
      </c>
      <c r="R32">
        <v>0</v>
      </c>
      <c r="S32">
        <v>0</v>
      </c>
      <c r="T32">
        <v>0</v>
      </c>
      <c r="U32" t="s">
        <v>1404</v>
      </c>
      <c r="V32" t="s">
        <v>1404</v>
      </c>
      <c r="W32">
        <v>0</v>
      </c>
      <c r="X32">
        <v>0</v>
      </c>
      <c r="Y32">
        <v>0</v>
      </c>
      <c r="Z32">
        <v>0</v>
      </c>
    </row>
    <row r="33" spans="1:26">
      <c r="A33" s="1">
        <f>HYPERLINK("https://cms.ls-nyc.org/matter/dynamic-profile/view/0794390","15-0794390")</f>
        <v>0</v>
      </c>
      <c r="B33" t="s">
        <v>27</v>
      </c>
      <c r="C33" t="s">
        <v>38</v>
      </c>
      <c r="D33" t="s">
        <v>91</v>
      </c>
      <c r="E33" t="s">
        <v>530</v>
      </c>
      <c r="F33" t="s">
        <v>949</v>
      </c>
      <c r="G33" t="s">
        <v>1292</v>
      </c>
      <c r="H33" t="s">
        <v>1375</v>
      </c>
      <c r="I33" t="s">
        <v>1379</v>
      </c>
      <c r="J33" t="s">
        <v>1383</v>
      </c>
      <c r="K33" t="s">
        <v>1385</v>
      </c>
      <c r="M33" t="s">
        <v>1390</v>
      </c>
      <c r="P33" t="s">
        <v>1398</v>
      </c>
      <c r="Q33">
        <v>0</v>
      </c>
      <c r="R33">
        <v>0</v>
      </c>
      <c r="S33">
        <v>0</v>
      </c>
      <c r="T33">
        <v>735</v>
      </c>
      <c r="U33" t="s">
        <v>1409</v>
      </c>
      <c r="V33" t="s">
        <v>1404</v>
      </c>
      <c r="W33">
        <v>0</v>
      </c>
      <c r="X33">
        <v>735</v>
      </c>
      <c r="Y33">
        <v>0</v>
      </c>
      <c r="Z33">
        <v>0</v>
      </c>
    </row>
    <row r="34" spans="1:26">
      <c r="A34" s="1">
        <f>HYPERLINK("https://cms.ls-nyc.org/matter/dynamic-profile/view/0795099","15-0795099")</f>
        <v>0</v>
      </c>
      <c r="B34" t="s">
        <v>29</v>
      </c>
      <c r="C34" t="s">
        <v>41</v>
      </c>
      <c r="D34" t="s">
        <v>92</v>
      </c>
      <c r="E34" t="s">
        <v>531</v>
      </c>
      <c r="F34" t="s">
        <v>950</v>
      </c>
      <c r="G34" t="s">
        <v>1228</v>
      </c>
      <c r="H34" t="s">
        <v>1375</v>
      </c>
      <c r="I34" t="s">
        <v>1379</v>
      </c>
      <c r="J34" t="s">
        <v>1383</v>
      </c>
      <c r="K34" t="s">
        <v>1385</v>
      </c>
      <c r="M34" t="s">
        <v>1390</v>
      </c>
      <c r="P34" t="s">
        <v>1397</v>
      </c>
      <c r="Q34">
        <v>0</v>
      </c>
      <c r="R34">
        <v>0</v>
      </c>
      <c r="S34">
        <v>0</v>
      </c>
      <c r="T34">
        <v>0</v>
      </c>
      <c r="U34" t="s">
        <v>1404</v>
      </c>
      <c r="V34" t="s">
        <v>1404</v>
      </c>
      <c r="W34">
        <v>0</v>
      </c>
      <c r="X34">
        <v>0</v>
      </c>
      <c r="Y34">
        <v>0</v>
      </c>
      <c r="Z34">
        <v>0</v>
      </c>
    </row>
    <row r="35" spans="1:26">
      <c r="A35" s="1">
        <f>HYPERLINK("https://cms.ls-nyc.org/matter/dynamic-profile/view/0795737","16-0795737")</f>
        <v>0</v>
      </c>
      <c r="B35" t="s">
        <v>28</v>
      </c>
      <c r="C35" t="s">
        <v>36</v>
      </c>
      <c r="D35" t="s">
        <v>93</v>
      </c>
      <c r="E35" t="s">
        <v>532</v>
      </c>
      <c r="F35" t="s">
        <v>951</v>
      </c>
      <c r="G35" t="s">
        <v>1296</v>
      </c>
      <c r="H35" t="s">
        <v>1378</v>
      </c>
      <c r="I35" t="s">
        <v>1379</v>
      </c>
      <c r="J35" t="s">
        <v>1382</v>
      </c>
      <c r="K35" t="s">
        <v>1385</v>
      </c>
      <c r="M35" t="s">
        <v>1391</v>
      </c>
      <c r="P35" t="s">
        <v>1400</v>
      </c>
      <c r="Q35">
        <v>0</v>
      </c>
      <c r="R35">
        <v>0</v>
      </c>
      <c r="S35">
        <v>0</v>
      </c>
      <c r="T35">
        <v>0</v>
      </c>
      <c r="U35" t="s">
        <v>1404</v>
      </c>
      <c r="V35" t="s">
        <v>1404</v>
      </c>
      <c r="W35">
        <v>0</v>
      </c>
      <c r="X35">
        <v>0</v>
      </c>
      <c r="Y35">
        <v>0</v>
      </c>
      <c r="Z35">
        <v>0</v>
      </c>
    </row>
    <row r="36" spans="1:26">
      <c r="A36" s="1">
        <f>HYPERLINK("https://cms.ls-nyc.org/matter/dynamic-profile/view/0795866","16-0795866")</f>
        <v>0</v>
      </c>
      <c r="B36" t="s">
        <v>29</v>
      </c>
      <c r="C36" t="s">
        <v>40</v>
      </c>
      <c r="D36" t="s">
        <v>94</v>
      </c>
      <c r="E36" t="s">
        <v>533</v>
      </c>
      <c r="F36" t="s">
        <v>946</v>
      </c>
      <c r="G36" t="s">
        <v>1232</v>
      </c>
      <c r="H36" t="s">
        <v>1375</v>
      </c>
      <c r="I36" t="s">
        <v>1379</v>
      </c>
      <c r="J36" t="s">
        <v>1383</v>
      </c>
      <c r="K36" t="s">
        <v>1385</v>
      </c>
      <c r="M36" t="s">
        <v>1389</v>
      </c>
      <c r="P36" t="s">
        <v>1400</v>
      </c>
      <c r="Q36">
        <v>0</v>
      </c>
      <c r="R36">
        <v>0</v>
      </c>
      <c r="S36">
        <v>0</v>
      </c>
      <c r="T36">
        <v>0</v>
      </c>
      <c r="U36" t="s">
        <v>1404</v>
      </c>
      <c r="V36" t="s">
        <v>1404</v>
      </c>
      <c r="W36">
        <v>0</v>
      </c>
      <c r="X36">
        <v>0</v>
      </c>
      <c r="Y36">
        <v>0</v>
      </c>
      <c r="Z36">
        <v>0</v>
      </c>
    </row>
    <row r="37" spans="1:26">
      <c r="A37" s="1">
        <f>HYPERLINK("https://cms.ls-nyc.org/matter/dynamic-profile/view/0796308","16-0796308")</f>
        <v>0</v>
      </c>
      <c r="B37" t="s">
        <v>29</v>
      </c>
      <c r="C37" t="s">
        <v>41</v>
      </c>
      <c r="D37" t="s">
        <v>95</v>
      </c>
      <c r="E37" t="s">
        <v>534</v>
      </c>
      <c r="F37" t="s">
        <v>946</v>
      </c>
      <c r="G37" t="s">
        <v>1224</v>
      </c>
      <c r="H37" t="s">
        <v>1375</v>
      </c>
      <c r="I37" t="s">
        <v>1379</v>
      </c>
      <c r="J37" t="s">
        <v>1382</v>
      </c>
      <c r="K37" t="s">
        <v>1385</v>
      </c>
      <c r="M37" t="s">
        <v>1390</v>
      </c>
      <c r="P37" t="s">
        <v>1398</v>
      </c>
      <c r="Q37">
        <v>0</v>
      </c>
      <c r="R37">
        <v>0</v>
      </c>
      <c r="S37">
        <v>36257</v>
      </c>
      <c r="T37">
        <v>837</v>
      </c>
      <c r="U37" t="s">
        <v>1405</v>
      </c>
      <c r="V37" t="s">
        <v>1500</v>
      </c>
      <c r="W37">
        <v>36257</v>
      </c>
      <c r="X37">
        <v>837</v>
      </c>
      <c r="Y37">
        <v>0</v>
      </c>
      <c r="Z37">
        <v>175164</v>
      </c>
    </row>
    <row r="38" spans="1:26">
      <c r="A38" s="1">
        <f>HYPERLINK("https://cms.ls-nyc.org/matter/dynamic-profile/view/0796943","16-0796943")</f>
        <v>0</v>
      </c>
      <c r="B38" t="s">
        <v>29</v>
      </c>
      <c r="C38" t="s">
        <v>42</v>
      </c>
      <c r="D38" t="s">
        <v>96</v>
      </c>
      <c r="E38" t="s">
        <v>535</v>
      </c>
      <c r="F38" t="s">
        <v>946</v>
      </c>
      <c r="G38" t="s">
        <v>1300</v>
      </c>
      <c r="H38" t="s">
        <v>1375</v>
      </c>
      <c r="I38" t="s">
        <v>1379</v>
      </c>
      <c r="J38" t="s">
        <v>1382</v>
      </c>
      <c r="K38" t="s">
        <v>1385</v>
      </c>
      <c r="M38" t="s">
        <v>1390</v>
      </c>
      <c r="P38" t="s">
        <v>1397</v>
      </c>
      <c r="Q38">
        <v>0</v>
      </c>
      <c r="R38">
        <v>0</v>
      </c>
      <c r="S38">
        <v>0</v>
      </c>
      <c r="T38">
        <v>0</v>
      </c>
      <c r="U38" t="s">
        <v>1404</v>
      </c>
      <c r="V38" t="s">
        <v>1404</v>
      </c>
      <c r="W38">
        <v>0</v>
      </c>
      <c r="X38">
        <v>0</v>
      </c>
      <c r="Y38">
        <v>0</v>
      </c>
      <c r="Z38">
        <v>0</v>
      </c>
    </row>
    <row r="39" spans="1:26">
      <c r="A39" s="1">
        <f>HYPERLINK("https://cms.ls-nyc.org/matter/dynamic-profile/view/0797097","16-0797097")</f>
        <v>0</v>
      </c>
      <c r="B39" t="s">
        <v>27</v>
      </c>
      <c r="C39" t="s">
        <v>33</v>
      </c>
      <c r="D39" t="s">
        <v>97</v>
      </c>
      <c r="E39" t="s">
        <v>536</v>
      </c>
      <c r="F39" t="s">
        <v>952</v>
      </c>
      <c r="G39" t="s">
        <v>1186</v>
      </c>
      <c r="H39" t="s">
        <v>1375</v>
      </c>
      <c r="I39" t="s">
        <v>1379</v>
      </c>
      <c r="J39" t="s">
        <v>1382</v>
      </c>
      <c r="K39" t="s">
        <v>1385</v>
      </c>
      <c r="M39" t="s">
        <v>1390</v>
      </c>
      <c r="P39" t="s">
        <v>1398</v>
      </c>
      <c r="Q39">
        <v>0</v>
      </c>
      <c r="R39">
        <v>0</v>
      </c>
      <c r="S39">
        <v>19200</v>
      </c>
      <c r="T39">
        <v>11940</v>
      </c>
      <c r="U39" t="s">
        <v>1410</v>
      </c>
      <c r="V39" t="s">
        <v>1501</v>
      </c>
      <c r="W39">
        <v>7260</v>
      </c>
      <c r="X39">
        <v>640</v>
      </c>
      <c r="Y39">
        <v>0</v>
      </c>
      <c r="Z39">
        <v>11940</v>
      </c>
    </row>
    <row r="40" spans="1:26">
      <c r="A40" s="1">
        <f>HYPERLINK("https://cms.ls-nyc.org/matter/dynamic-profile/view/0797812","16-0797812")</f>
        <v>0</v>
      </c>
      <c r="B40" t="s">
        <v>27</v>
      </c>
      <c r="C40" t="s">
        <v>43</v>
      </c>
      <c r="D40" t="s">
        <v>98</v>
      </c>
      <c r="E40" t="s">
        <v>537</v>
      </c>
      <c r="F40" t="s">
        <v>953</v>
      </c>
      <c r="G40" t="s">
        <v>1194</v>
      </c>
      <c r="H40" t="s">
        <v>1375</v>
      </c>
      <c r="I40" t="s">
        <v>1379</v>
      </c>
      <c r="J40" t="s">
        <v>1382</v>
      </c>
      <c r="K40" t="s">
        <v>1385</v>
      </c>
      <c r="M40" t="s">
        <v>1390</v>
      </c>
      <c r="P40" t="s">
        <v>1398</v>
      </c>
      <c r="Q40">
        <v>0</v>
      </c>
      <c r="R40">
        <v>0</v>
      </c>
      <c r="S40">
        <v>22040</v>
      </c>
      <c r="T40">
        <v>580</v>
      </c>
      <c r="U40" t="s">
        <v>1411</v>
      </c>
      <c r="V40" t="s">
        <v>1502</v>
      </c>
      <c r="W40">
        <v>22040</v>
      </c>
      <c r="X40">
        <v>0</v>
      </c>
      <c r="Y40">
        <v>580</v>
      </c>
      <c r="Z40">
        <v>0</v>
      </c>
    </row>
    <row r="41" spans="1:26">
      <c r="A41" s="1">
        <f>HYPERLINK("https://cms.ls-nyc.org/matter/dynamic-profile/view/0799118","16-0799118")</f>
        <v>0</v>
      </c>
      <c r="B41" t="s">
        <v>29</v>
      </c>
      <c r="C41" t="s">
        <v>44</v>
      </c>
      <c r="D41" t="s">
        <v>99</v>
      </c>
      <c r="E41" t="s">
        <v>538</v>
      </c>
      <c r="F41" t="s">
        <v>946</v>
      </c>
      <c r="G41" t="s">
        <v>1301</v>
      </c>
      <c r="H41" t="s">
        <v>1375</v>
      </c>
      <c r="I41" t="s">
        <v>1380</v>
      </c>
      <c r="J41" t="s">
        <v>1382</v>
      </c>
      <c r="K41" t="s">
        <v>1385</v>
      </c>
      <c r="M41" t="s">
        <v>1389</v>
      </c>
      <c r="P41" t="s">
        <v>1400</v>
      </c>
      <c r="Q41">
        <v>0</v>
      </c>
      <c r="R41">
        <v>0</v>
      </c>
      <c r="S41">
        <v>0</v>
      </c>
      <c r="T41">
        <v>0</v>
      </c>
      <c r="U41" t="s">
        <v>1404</v>
      </c>
      <c r="V41" t="s">
        <v>1404</v>
      </c>
      <c r="W41">
        <v>0</v>
      </c>
      <c r="X41">
        <v>0</v>
      </c>
      <c r="Y41">
        <v>0</v>
      </c>
      <c r="Z41">
        <v>0</v>
      </c>
    </row>
    <row r="42" spans="1:26">
      <c r="A42" s="1">
        <f>HYPERLINK("https://cms.ls-nyc.org/matter/dynamic-profile/view/0799119","16-0799119")</f>
        <v>0</v>
      </c>
      <c r="B42" t="s">
        <v>29</v>
      </c>
      <c r="C42" t="s">
        <v>41</v>
      </c>
      <c r="D42" t="s">
        <v>70</v>
      </c>
      <c r="E42" t="s">
        <v>526</v>
      </c>
      <c r="F42" t="s">
        <v>946</v>
      </c>
      <c r="G42" t="s">
        <v>1250</v>
      </c>
      <c r="H42" t="s">
        <v>1375</v>
      </c>
      <c r="I42" t="s">
        <v>1379</v>
      </c>
      <c r="J42" t="s">
        <v>1382</v>
      </c>
      <c r="K42" t="s">
        <v>1385</v>
      </c>
      <c r="M42" t="s">
        <v>1390</v>
      </c>
      <c r="P42" t="s">
        <v>1398</v>
      </c>
      <c r="Q42">
        <v>0</v>
      </c>
      <c r="R42">
        <v>0</v>
      </c>
      <c r="S42">
        <v>28065</v>
      </c>
      <c r="T42">
        <v>15127.8</v>
      </c>
      <c r="U42" t="s">
        <v>1408</v>
      </c>
      <c r="V42" t="s">
        <v>1503</v>
      </c>
      <c r="W42">
        <v>28065</v>
      </c>
      <c r="X42">
        <v>750</v>
      </c>
      <c r="Y42">
        <v>0</v>
      </c>
      <c r="Z42">
        <v>15127.8</v>
      </c>
    </row>
    <row r="43" spans="1:26">
      <c r="A43" s="1">
        <f>HYPERLINK("https://cms.ls-nyc.org/matter/dynamic-profile/view/0799190","16-0799190")</f>
        <v>0</v>
      </c>
      <c r="B43" t="s">
        <v>29</v>
      </c>
      <c r="C43" t="s">
        <v>44</v>
      </c>
      <c r="D43" t="s">
        <v>100</v>
      </c>
      <c r="E43" t="s">
        <v>539</v>
      </c>
      <c r="F43" t="s">
        <v>954</v>
      </c>
      <c r="G43" t="s">
        <v>1211</v>
      </c>
      <c r="H43" t="s">
        <v>1375</v>
      </c>
      <c r="I43" t="s">
        <v>1379</v>
      </c>
      <c r="J43" t="s">
        <v>1382</v>
      </c>
      <c r="K43" t="s">
        <v>1385</v>
      </c>
      <c r="M43" t="s">
        <v>1389</v>
      </c>
      <c r="P43" t="s">
        <v>1400</v>
      </c>
      <c r="Q43">
        <v>0</v>
      </c>
      <c r="R43">
        <v>0</v>
      </c>
      <c r="S43">
        <v>0</v>
      </c>
      <c r="T43">
        <v>0</v>
      </c>
      <c r="U43" t="s">
        <v>1404</v>
      </c>
      <c r="V43" t="s">
        <v>1404</v>
      </c>
      <c r="W43">
        <v>0</v>
      </c>
      <c r="X43">
        <v>0</v>
      </c>
      <c r="Y43">
        <v>0</v>
      </c>
      <c r="Z43">
        <v>0</v>
      </c>
    </row>
    <row r="44" spans="1:26">
      <c r="A44" s="1">
        <f>HYPERLINK("https://cms.ls-nyc.org/matter/dynamic-profile/view/0799426","16-0799426")</f>
        <v>0</v>
      </c>
      <c r="B44" t="s">
        <v>27</v>
      </c>
      <c r="C44" t="s">
        <v>33</v>
      </c>
      <c r="D44" t="s">
        <v>101</v>
      </c>
      <c r="E44" t="s">
        <v>540</v>
      </c>
      <c r="F44" t="s">
        <v>946</v>
      </c>
      <c r="G44" t="s">
        <v>1292</v>
      </c>
      <c r="H44" t="s">
        <v>1375</v>
      </c>
      <c r="I44" t="s">
        <v>1379</v>
      </c>
      <c r="J44" t="s">
        <v>1383</v>
      </c>
      <c r="K44" t="s">
        <v>1385</v>
      </c>
      <c r="M44" t="s">
        <v>1390</v>
      </c>
      <c r="P44" t="s">
        <v>1397</v>
      </c>
      <c r="Q44">
        <v>0</v>
      </c>
      <c r="R44">
        <v>0</v>
      </c>
      <c r="S44">
        <v>0</v>
      </c>
      <c r="T44">
        <v>0</v>
      </c>
      <c r="U44" t="s">
        <v>1404</v>
      </c>
      <c r="V44" t="s">
        <v>1404</v>
      </c>
      <c r="W44">
        <v>0</v>
      </c>
      <c r="X44">
        <v>0</v>
      </c>
      <c r="Y44">
        <v>0</v>
      </c>
      <c r="Z44">
        <v>0</v>
      </c>
    </row>
    <row r="45" spans="1:26">
      <c r="A45" s="1">
        <f>HYPERLINK("https://cms.ls-nyc.org/matter/dynamic-profile/view/0799996","16-0799996")</f>
        <v>0</v>
      </c>
      <c r="B45" t="s">
        <v>27</v>
      </c>
      <c r="C45" t="s">
        <v>33</v>
      </c>
      <c r="D45" t="s">
        <v>102</v>
      </c>
      <c r="E45" t="s">
        <v>541</v>
      </c>
      <c r="F45" t="s">
        <v>955</v>
      </c>
      <c r="G45" t="s">
        <v>1297</v>
      </c>
      <c r="H45" t="s">
        <v>1377</v>
      </c>
      <c r="I45" t="s">
        <v>1379</v>
      </c>
      <c r="J45" t="s">
        <v>1382</v>
      </c>
      <c r="K45" t="s">
        <v>1385</v>
      </c>
      <c r="M45" t="s">
        <v>1390</v>
      </c>
      <c r="P45" t="s">
        <v>1397</v>
      </c>
      <c r="Q45">
        <v>0</v>
      </c>
      <c r="R45">
        <v>0</v>
      </c>
      <c r="S45">
        <v>0</v>
      </c>
      <c r="T45">
        <v>0</v>
      </c>
      <c r="U45" t="s">
        <v>1404</v>
      </c>
      <c r="V45" t="s">
        <v>1404</v>
      </c>
      <c r="W45">
        <v>0</v>
      </c>
      <c r="X45">
        <v>0</v>
      </c>
      <c r="Y45">
        <v>0</v>
      </c>
      <c r="Z45">
        <v>0</v>
      </c>
    </row>
    <row r="46" spans="1:26">
      <c r="A46" s="1">
        <f>HYPERLINK("https://cms.ls-nyc.org/matter/dynamic-profile/view/0800351","16-0800351")</f>
        <v>0</v>
      </c>
      <c r="B46" t="s">
        <v>29</v>
      </c>
      <c r="C46" t="s">
        <v>40</v>
      </c>
      <c r="D46" t="s">
        <v>103</v>
      </c>
      <c r="E46" t="s">
        <v>542</v>
      </c>
      <c r="F46" t="s">
        <v>956</v>
      </c>
      <c r="G46" t="s">
        <v>1292</v>
      </c>
      <c r="H46" t="s">
        <v>1375</v>
      </c>
      <c r="I46" t="s">
        <v>1379</v>
      </c>
      <c r="J46" t="s">
        <v>1382</v>
      </c>
      <c r="K46" t="s">
        <v>1385</v>
      </c>
      <c r="M46" t="s">
        <v>1391</v>
      </c>
      <c r="P46" t="s">
        <v>1400</v>
      </c>
      <c r="Q46">
        <v>0</v>
      </c>
      <c r="R46">
        <v>0</v>
      </c>
      <c r="S46">
        <v>0</v>
      </c>
      <c r="T46">
        <v>0</v>
      </c>
      <c r="U46" t="s">
        <v>1404</v>
      </c>
      <c r="V46" t="s">
        <v>1404</v>
      </c>
      <c r="W46">
        <v>0</v>
      </c>
      <c r="X46">
        <v>0</v>
      </c>
      <c r="Y46">
        <v>0</v>
      </c>
      <c r="Z46">
        <v>0</v>
      </c>
    </row>
    <row r="47" spans="1:26">
      <c r="A47" s="1">
        <f>HYPERLINK("https://cms.ls-nyc.org/matter/dynamic-profile/view/0800615","16-0800615")</f>
        <v>0</v>
      </c>
      <c r="B47" t="s">
        <v>27</v>
      </c>
      <c r="C47" t="s">
        <v>32</v>
      </c>
      <c r="D47" t="s">
        <v>104</v>
      </c>
      <c r="E47" t="s">
        <v>543</v>
      </c>
      <c r="F47" t="s">
        <v>956</v>
      </c>
      <c r="G47" t="s">
        <v>1291</v>
      </c>
      <c r="H47" t="s">
        <v>1375</v>
      </c>
      <c r="I47" t="s">
        <v>1379</v>
      </c>
      <c r="J47" t="s">
        <v>1382</v>
      </c>
      <c r="K47" t="s">
        <v>1385</v>
      </c>
      <c r="M47" t="s">
        <v>1390</v>
      </c>
      <c r="P47" t="s">
        <v>1398</v>
      </c>
      <c r="Q47">
        <v>0</v>
      </c>
      <c r="R47">
        <v>0</v>
      </c>
      <c r="S47">
        <v>18828</v>
      </c>
      <c r="T47">
        <v>523</v>
      </c>
      <c r="U47" t="s">
        <v>1412</v>
      </c>
      <c r="V47" t="s">
        <v>1504</v>
      </c>
      <c r="W47">
        <v>18828</v>
      </c>
      <c r="X47">
        <v>523</v>
      </c>
      <c r="Y47">
        <v>0</v>
      </c>
      <c r="Z47">
        <v>14220</v>
      </c>
    </row>
    <row r="48" spans="1:26">
      <c r="A48" s="1">
        <f>HYPERLINK("https://cms.ls-nyc.org/matter/dynamic-profile/view/0800871","16-0800871")</f>
        <v>0</v>
      </c>
      <c r="B48" t="s">
        <v>29</v>
      </c>
      <c r="C48" t="s">
        <v>42</v>
      </c>
      <c r="D48" t="s">
        <v>105</v>
      </c>
      <c r="E48" t="s">
        <v>544</v>
      </c>
      <c r="F48" t="s">
        <v>957</v>
      </c>
      <c r="G48" t="s">
        <v>1302</v>
      </c>
      <c r="H48" t="s">
        <v>1375</v>
      </c>
      <c r="I48" t="s">
        <v>1379</v>
      </c>
      <c r="J48" t="s">
        <v>1382</v>
      </c>
      <c r="K48" t="s">
        <v>1385</v>
      </c>
      <c r="M48" t="s">
        <v>1389</v>
      </c>
      <c r="P48" t="s">
        <v>1400</v>
      </c>
      <c r="Q48">
        <v>0</v>
      </c>
      <c r="R48">
        <v>0</v>
      </c>
      <c r="S48">
        <v>0</v>
      </c>
      <c r="T48">
        <v>0</v>
      </c>
      <c r="U48" t="s">
        <v>1404</v>
      </c>
      <c r="V48" t="s">
        <v>1404</v>
      </c>
      <c r="W48">
        <v>0</v>
      </c>
      <c r="X48">
        <v>0</v>
      </c>
      <c r="Y48">
        <v>0</v>
      </c>
      <c r="Z48">
        <v>0</v>
      </c>
    </row>
    <row r="49" spans="1:26">
      <c r="A49" s="1">
        <f>HYPERLINK("https://cms.ls-nyc.org/matter/dynamic-profile/view/0800895","16-0800895")</f>
        <v>0</v>
      </c>
      <c r="B49" t="s">
        <v>29</v>
      </c>
      <c r="C49" t="s">
        <v>40</v>
      </c>
      <c r="D49" t="s">
        <v>106</v>
      </c>
      <c r="E49" t="s">
        <v>545</v>
      </c>
      <c r="F49" t="s">
        <v>957</v>
      </c>
      <c r="G49" t="s">
        <v>1233</v>
      </c>
      <c r="H49" t="s">
        <v>1375</v>
      </c>
      <c r="I49" t="s">
        <v>1379</v>
      </c>
      <c r="J49" t="s">
        <v>1383</v>
      </c>
      <c r="K49" t="s">
        <v>1385</v>
      </c>
      <c r="M49" t="s">
        <v>1391</v>
      </c>
      <c r="P49" t="s">
        <v>1400</v>
      </c>
      <c r="Q49">
        <v>0</v>
      </c>
      <c r="R49">
        <v>0</v>
      </c>
      <c r="S49">
        <v>0</v>
      </c>
      <c r="T49">
        <v>0</v>
      </c>
      <c r="U49" t="s">
        <v>1404</v>
      </c>
      <c r="V49" t="s">
        <v>1404</v>
      </c>
      <c r="W49">
        <v>0</v>
      </c>
      <c r="X49">
        <v>0</v>
      </c>
      <c r="Y49">
        <v>0</v>
      </c>
      <c r="Z49">
        <v>0</v>
      </c>
    </row>
    <row r="50" spans="1:26">
      <c r="A50" s="1">
        <f>HYPERLINK("https://cms.ls-nyc.org/matter/dynamic-profile/view/0802452","16-0802452")</f>
        <v>0</v>
      </c>
      <c r="B50" t="s">
        <v>27</v>
      </c>
      <c r="C50" t="s">
        <v>33</v>
      </c>
      <c r="D50" t="s">
        <v>107</v>
      </c>
      <c r="E50" t="s">
        <v>180</v>
      </c>
      <c r="F50" t="s">
        <v>958</v>
      </c>
      <c r="G50" t="s">
        <v>1302</v>
      </c>
      <c r="H50" t="s">
        <v>1375</v>
      </c>
      <c r="I50" t="s">
        <v>1379</v>
      </c>
      <c r="J50" t="s">
        <v>1383</v>
      </c>
      <c r="K50" t="s">
        <v>1385</v>
      </c>
      <c r="M50" t="s">
        <v>1390</v>
      </c>
      <c r="P50" t="s">
        <v>1398</v>
      </c>
      <c r="Q50">
        <v>0</v>
      </c>
      <c r="R50">
        <v>0</v>
      </c>
      <c r="S50">
        <v>63632</v>
      </c>
      <c r="T50">
        <v>1954</v>
      </c>
      <c r="U50" t="s">
        <v>1413</v>
      </c>
      <c r="V50" t="s">
        <v>1505</v>
      </c>
      <c r="W50">
        <v>63632</v>
      </c>
      <c r="X50">
        <v>0</v>
      </c>
      <c r="Y50">
        <v>1954</v>
      </c>
      <c r="Z50">
        <v>0</v>
      </c>
    </row>
    <row r="51" spans="1:26">
      <c r="A51" s="1">
        <f>HYPERLINK("https://cms.ls-nyc.org/matter/dynamic-profile/view/0803049","16-0803049")</f>
        <v>0</v>
      </c>
      <c r="B51" t="s">
        <v>27</v>
      </c>
      <c r="C51" t="s">
        <v>32</v>
      </c>
      <c r="D51" t="s">
        <v>108</v>
      </c>
      <c r="E51" t="s">
        <v>546</v>
      </c>
      <c r="F51" t="s">
        <v>959</v>
      </c>
      <c r="G51" t="s">
        <v>1292</v>
      </c>
      <c r="H51" t="s">
        <v>1377</v>
      </c>
      <c r="I51" t="s">
        <v>1379</v>
      </c>
      <c r="J51" t="s">
        <v>1382</v>
      </c>
      <c r="K51" t="s">
        <v>1385</v>
      </c>
      <c r="M51" t="s">
        <v>1390</v>
      </c>
      <c r="P51" t="s">
        <v>1398</v>
      </c>
      <c r="Q51">
        <v>0</v>
      </c>
      <c r="R51">
        <v>0</v>
      </c>
      <c r="S51">
        <v>24368</v>
      </c>
      <c r="T51">
        <v>543</v>
      </c>
      <c r="U51" t="s">
        <v>1414</v>
      </c>
      <c r="V51" t="s">
        <v>1506</v>
      </c>
      <c r="W51">
        <v>24368</v>
      </c>
      <c r="X51">
        <v>282</v>
      </c>
      <c r="Y51">
        <v>261</v>
      </c>
      <c r="Z51">
        <v>0</v>
      </c>
    </row>
    <row r="52" spans="1:26">
      <c r="A52" s="1">
        <f>HYPERLINK("https://cms.ls-nyc.org/matter/dynamic-profile/view/0803101","16-0803101")</f>
        <v>0</v>
      </c>
      <c r="B52" t="s">
        <v>29</v>
      </c>
      <c r="C52" t="s">
        <v>42</v>
      </c>
      <c r="D52" t="s">
        <v>109</v>
      </c>
      <c r="E52" t="s">
        <v>547</v>
      </c>
      <c r="F52" t="s">
        <v>960</v>
      </c>
      <c r="G52" t="s">
        <v>1256</v>
      </c>
      <c r="H52" t="s">
        <v>1375</v>
      </c>
      <c r="I52" t="s">
        <v>1379</v>
      </c>
      <c r="J52" t="s">
        <v>1382</v>
      </c>
      <c r="K52" t="s">
        <v>1385</v>
      </c>
      <c r="M52" t="s">
        <v>1390</v>
      </c>
      <c r="P52" t="s">
        <v>1397</v>
      </c>
      <c r="Q52">
        <v>0</v>
      </c>
      <c r="R52">
        <v>0</v>
      </c>
      <c r="S52">
        <v>0</v>
      </c>
      <c r="T52">
        <v>0</v>
      </c>
      <c r="U52" t="s">
        <v>1404</v>
      </c>
      <c r="V52" t="s">
        <v>1404</v>
      </c>
      <c r="W52">
        <v>0</v>
      </c>
      <c r="X52">
        <v>0</v>
      </c>
      <c r="Y52">
        <v>0</v>
      </c>
      <c r="Z52">
        <v>0</v>
      </c>
    </row>
    <row r="53" spans="1:26">
      <c r="A53" s="1">
        <f>HYPERLINK("https://cms.ls-nyc.org/matter/dynamic-profile/view/0803183","16-0803183")</f>
        <v>0</v>
      </c>
      <c r="B53" t="s">
        <v>28</v>
      </c>
      <c r="C53" t="s">
        <v>36</v>
      </c>
      <c r="D53" t="s">
        <v>110</v>
      </c>
      <c r="E53" t="s">
        <v>548</v>
      </c>
      <c r="F53" t="s">
        <v>960</v>
      </c>
      <c r="G53" t="s">
        <v>1296</v>
      </c>
      <c r="H53" t="s">
        <v>1378</v>
      </c>
      <c r="I53" t="s">
        <v>1379</v>
      </c>
      <c r="J53" t="s">
        <v>1382</v>
      </c>
      <c r="K53" t="s">
        <v>1385</v>
      </c>
      <c r="M53" t="s">
        <v>1391</v>
      </c>
      <c r="P53" t="s">
        <v>1400</v>
      </c>
      <c r="Q53">
        <v>0</v>
      </c>
      <c r="R53">
        <v>0</v>
      </c>
      <c r="S53">
        <v>0</v>
      </c>
      <c r="T53">
        <v>0</v>
      </c>
      <c r="U53" t="s">
        <v>1404</v>
      </c>
      <c r="V53" t="s">
        <v>1404</v>
      </c>
      <c r="W53">
        <v>0</v>
      </c>
      <c r="X53">
        <v>0</v>
      </c>
      <c r="Y53">
        <v>0</v>
      </c>
      <c r="Z53">
        <v>0</v>
      </c>
    </row>
    <row r="54" spans="1:26">
      <c r="A54" s="1">
        <f>HYPERLINK("https://cms.ls-nyc.org/matter/dynamic-profile/view/0803208","16-0803208")</f>
        <v>0</v>
      </c>
      <c r="B54" t="s">
        <v>26</v>
      </c>
      <c r="C54" t="s">
        <v>45</v>
      </c>
      <c r="D54" t="s">
        <v>111</v>
      </c>
      <c r="E54" t="s">
        <v>549</v>
      </c>
      <c r="F54" t="s">
        <v>960</v>
      </c>
      <c r="G54" t="s">
        <v>1259</v>
      </c>
      <c r="J54" t="s">
        <v>1382</v>
      </c>
      <c r="K54" t="s">
        <v>1385</v>
      </c>
      <c r="M54" t="s">
        <v>1394</v>
      </c>
      <c r="Q54">
        <v>0</v>
      </c>
      <c r="R54">
        <v>0</v>
      </c>
      <c r="S54">
        <v>0</v>
      </c>
      <c r="T54">
        <v>0</v>
      </c>
      <c r="U54" t="s">
        <v>1404</v>
      </c>
      <c r="V54" t="s">
        <v>1404</v>
      </c>
      <c r="W54">
        <v>0</v>
      </c>
      <c r="X54">
        <v>0</v>
      </c>
      <c r="Y54">
        <v>0</v>
      </c>
      <c r="Z54">
        <v>0</v>
      </c>
    </row>
    <row r="55" spans="1:26">
      <c r="A55" s="1">
        <f>HYPERLINK("https://cms.ls-nyc.org/matter/dynamic-profile/view/0803623","16-0803623")</f>
        <v>0</v>
      </c>
      <c r="B55" t="s">
        <v>29</v>
      </c>
      <c r="C55" t="s">
        <v>42</v>
      </c>
      <c r="D55" t="s">
        <v>112</v>
      </c>
      <c r="E55" t="s">
        <v>550</v>
      </c>
      <c r="F55" t="s">
        <v>961</v>
      </c>
      <c r="G55" t="s">
        <v>1303</v>
      </c>
      <c r="H55" t="s">
        <v>1375</v>
      </c>
      <c r="I55" t="s">
        <v>1379</v>
      </c>
      <c r="J55" t="s">
        <v>1382</v>
      </c>
      <c r="K55" t="s">
        <v>1385</v>
      </c>
      <c r="M55" t="s">
        <v>1390</v>
      </c>
      <c r="P55" t="s">
        <v>1397</v>
      </c>
      <c r="Q55">
        <v>0</v>
      </c>
      <c r="R55">
        <v>0</v>
      </c>
      <c r="S55">
        <v>0</v>
      </c>
      <c r="T55">
        <v>0</v>
      </c>
      <c r="U55" t="s">
        <v>1404</v>
      </c>
      <c r="V55" t="s">
        <v>1404</v>
      </c>
      <c r="W55">
        <v>0</v>
      </c>
      <c r="X55">
        <v>0</v>
      </c>
      <c r="Y55">
        <v>0</v>
      </c>
      <c r="Z55">
        <v>0</v>
      </c>
    </row>
    <row r="56" spans="1:26">
      <c r="A56" s="1">
        <f>HYPERLINK("https://cms.ls-nyc.org/matter/dynamic-profile/view/0804437","16-0804437")</f>
        <v>0</v>
      </c>
      <c r="B56" t="s">
        <v>29</v>
      </c>
      <c r="C56" t="s">
        <v>44</v>
      </c>
      <c r="D56" t="s">
        <v>113</v>
      </c>
      <c r="E56" t="s">
        <v>551</v>
      </c>
      <c r="F56" t="s">
        <v>962</v>
      </c>
      <c r="G56" t="s">
        <v>1263</v>
      </c>
      <c r="H56" t="s">
        <v>1375</v>
      </c>
      <c r="I56" t="s">
        <v>1379</v>
      </c>
      <c r="J56" t="s">
        <v>1383</v>
      </c>
      <c r="K56" t="s">
        <v>1385</v>
      </c>
      <c r="M56" t="s">
        <v>1390</v>
      </c>
      <c r="P56" t="s">
        <v>1398</v>
      </c>
      <c r="Q56">
        <v>0</v>
      </c>
      <c r="R56">
        <v>0</v>
      </c>
      <c r="S56">
        <v>32928.9</v>
      </c>
      <c r="T56">
        <v>947</v>
      </c>
      <c r="U56" t="s">
        <v>1415</v>
      </c>
      <c r="V56" t="s">
        <v>1507</v>
      </c>
      <c r="W56">
        <v>32928.9</v>
      </c>
      <c r="X56">
        <v>0</v>
      </c>
      <c r="Y56">
        <v>947</v>
      </c>
      <c r="Z56">
        <v>0</v>
      </c>
    </row>
    <row r="57" spans="1:26">
      <c r="A57" s="1">
        <f>HYPERLINK("https://cms.ls-nyc.org/matter/dynamic-profile/view/0804450","16-0804450")</f>
        <v>0</v>
      </c>
      <c r="B57" t="s">
        <v>27</v>
      </c>
      <c r="C57" t="s">
        <v>37</v>
      </c>
      <c r="D57" t="s">
        <v>114</v>
      </c>
      <c r="E57" t="s">
        <v>552</v>
      </c>
      <c r="F57" t="s">
        <v>963</v>
      </c>
      <c r="G57" t="s">
        <v>1304</v>
      </c>
      <c r="H57" t="s">
        <v>1375</v>
      </c>
      <c r="I57" t="s">
        <v>1379</v>
      </c>
      <c r="J57" t="s">
        <v>1382</v>
      </c>
      <c r="K57" t="s">
        <v>1385</v>
      </c>
      <c r="M57" t="s">
        <v>1389</v>
      </c>
      <c r="P57" t="s">
        <v>1400</v>
      </c>
      <c r="Q57">
        <v>0</v>
      </c>
      <c r="R57">
        <v>0</v>
      </c>
      <c r="S57">
        <v>0</v>
      </c>
      <c r="T57">
        <v>0</v>
      </c>
      <c r="U57" t="s">
        <v>1404</v>
      </c>
      <c r="V57" t="s">
        <v>1404</v>
      </c>
      <c r="W57">
        <v>0</v>
      </c>
      <c r="X57">
        <v>0</v>
      </c>
      <c r="Y57">
        <v>0</v>
      </c>
      <c r="Z57">
        <v>0</v>
      </c>
    </row>
    <row r="58" spans="1:26">
      <c r="A58" s="1">
        <f>HYPERLINK("https://cms.ls-nyc.org/matter/dynamic-profile/view/0804698","16-0804698")</f>
        <v>0</v>
      </c>
      <c r="B58" t="s">
        <v>27</v>
      </c>
      <c r="C58" t="s">
        <v>32</v>
      </c>
      <c r="D58" t="s">
        <v>115</v>
      </c>
      <c r="E58" t="s">
        <v>553</v>
      </c>
      <c r="F58" t="s">
        <v>964</v>
      </c>
      <c r="G58" t="s">
        <v>1292</v>
      </c>
      <c r="H58" t="s">
        <v>1375</v>
      </c>
      <c r="I58" t="s">
        <v>1379</v>
      </c>
      <c r="J58" t="s">
        <v>1382</v>
      </c>
      <c r="K58" t="s">
        <v>1385</v>
      </c>
      <c r="M58" t="s">
        <v>1394</v>
      </c>
      <c r="P58" t="s">
        <v>1399</v>
      </c>
      <c r="Q58">
        <v>0</v>
      </c>
      <c r="R58">
        <v>0</v>
      </c>
      <c r="S58">
        <v>0</v>
      </c>
      <c r="T58">
        <v>0</v>
      </c>
      <c r="U58" t="s">
        <v>1404</v>
      </c>
      <c r="V58" t="s">
        <v>1404</v>
      </c>
      <c r="W58">
        <v>0</v>
      </c>
      <c r="X58">
        <v>0</v>
      </c>
      <c r="Y58">
        <v>0</v>
      </c>
      <c r="Z58">
        <v>0</v>
      </c>
    </row>
    <row r="59" spans="1:26">
      <c r="A59" s="1">
        <f>HYPERLINK("https://cms.ls-nyc.org/matter/dynamic-profile/view/0805576","16-0805576")</f>
        <v>0</v>
      </c>
      <c r="B59" t="s">
        <v>28</v>
      </c>
      <c r="C59" t="s">
        <v>34</v>
      </c>
      <c r="D59" t="s">
        <v>116</v>
      </c>
      <c r="E59" t="s">
        <v>554</v>
      </c>
      <c r="F59" t="s">
        <v>965</v>
      </c>
      <c r="G59" t="s">
        <v>1292</v>
      </c>
      <c r="H59" t="s">
        <v>1375</v>
      </c>
      <c r="I59" t="s">
        <v>1379</v>
      </c>
      <c r="J59" t="s">
        <v>1383</v>
      </c>
      <c r="K59" t="s">
        <v>1385</v>
      </c>
      <c r="M59" t="s">
        <v>1391</v>
      </c>
      <c r="P59" t="s">
        <v>1400</v>
      </c>
      <c r="Q59">
        <v>0</v>
      </c>
      <c r="R59">
        <v>0</v>
      </c>
      <c r="S59">
        <v>0</v>
      </c>
      <c r="T59">
        <v>0</v>
      </c>
      <c r="U59" t="s">
        <v>1404</v>
      </c>
      <c r="V59" t="s">
        <v>1404</v>
      </c>
      <c r="W59">
        <v>0</v>
      </c>
      <c r="X59">
        <v>0</v>
      </c>
      <c r="Y59">
        <v>0</v>
      </c>
      <c r="Z59">
        <v>0</v>
      </c>
    </row>
    <row r="60" spans="1:26">
      <c r="A60" s="1">
        <f>HYPERLINK("https://cms.ls-nyc.org/matter/dynamic-profile/view/0806054","16-0806054")</f>
        <v>0</v>
      </c>
      <c r="B60" t="s">
        <v>27</v>
      </c>
      <c r="C60" t="s">
        <v>33</v>
      </c>
      <c r="D60" t="s">
        <v>117</v>
      </c>
      <c r="E60" t="s">
        <v>536</v>
      </c>
      <c r="F60" t="s">
        <v>966</v>
      </c>
      <c r="G60" t="s">
        <v>1194</v>
      </c>
      <c r="H60" t="s">
        <v>1375</v>
      </c>
      <c r="I60" t="s">
        <v>1379</v>
      </c>
      <c r="J60" t="s">
        <v>1383</v>
      </c>
      <c r="K60" t="s">
        <v>1385</v>
      </c>
      <c r="M60" t="s">
        <v>1390</v>
      </c>
      <c r="P60" t="s">
        <v>1398</v>
      </c>
      <c r="Q60">
        <v>0</v>
      </c>
      <c r="R60">
        <v>0</v>
      </c>
      <c r="S60">
        <v>60600</v>
      </c>
      <c r="T60">
        <v>2051</v>
      </c>
      <c r="U60" t="s">
        <v>1416</v>
      </c>
      <c r="V60" t="s">
        <v>1508</v>
      </c>
      <c r="W60">
        <v>60600</v>
      </c>
      <c r="X60">
        <v>0</v>
      </c>
      <c r="Y60">
        <v>2051</v>
      </c>
      <c r="Z60">
        <v>0</v>
      </c>
    </row>
    <row r="61" spans="1:26">
      <c r="A61" s="1">
        <f>HYPERLINK("https://cms.ls-nyc.org/matter/dynamic-profile/view/0807114","16-0807114")</f>
        <v>0</v>
      </c>
      <c r="B61" t="s">
        <v>27</v>
      </c>
      <c r="C61" t="s">
        <v>33</v>
      </c>
      <c r="D61" t="s">
        <v>118</v>
      </c>
      <c r="E61" t="s">
        <v>555</v>
      </c>
      <c r="F61" t="s">
        <v>967</v>
      </c>
      <c r="G61" t="s">
        <v>1186</v>
      </c>
      <c r="H61" t="s">
        <v>1375</v>
      </c>
      <c r="I61" t="s">
        <v>1379</v>
      </c>
      <c r="J61" t="s">
        <v>1382</v>
      </c>
      <c r="K61" t="s">
        <v>1385</v>
      </c>
      <c r="M61" t="s">
        <v>1390</v>
      </c>
      <c r="P61" t="s">
        <v>1398</v>
      </c>
      <c r="Q61">
        <v>0</v>
      </c>
      <c r="R61">
        <v>0</v>
      </c>
      <c r="S61">
        <v>23388</v>
      </c>
      <c r="T61">
        <v>535</v>
      </c>
      <c r="U61" t="s">
        <v>1417</v>
      </c>
      <c r="V61" t="s">
        <v>1509</v>
      </c>
      <c r="W61">
        <v>6278</v>
      </c>
      <c r="X61">
        <v>535</v>
      </c>
      <c r="Y61">
        <v>0</v>
      </c>
      <c r="Z61">
        <v>17114</v>
      </c>
    </row>
    <row r="62" spans="1:26">
      <c r="A62" s="1">
        <f>HYPERLINK("https://cms.ls-nyc.org/matter/dynamic-profile/view/0807194","16-0807194")</f>
        <v>0</v>
      </c>
      <c r="B62" t="s">
        <v>27</v>
      </c>
      <c r="C62" t="s">
        <v>38</v>
      </c>
      <c r="D62" t="s">
        <v>119</v>
      </c>
      <c r="E62" t="s">
        <v>556</v>
      </c>
      <c r="F62" t="s">
        <v>968</v>
      </c>
      <c r="G62" t="s">
        <v>1292</v>
      </c>
      <c r="H62" t="s">
        <v>1378</v>
      </c>
      <c r="I62" t="s">
        <v>1380</v>
      </c>
      <c r="J62" t="s">
        <v>1383</v>
      </c>
      <c r="K62" t="s">
        <v>1385</v>
      </c>
      <c r="M62" t="s">
        <v>1390</v>
      </c>
      <c r="P62" t="s">
        <v>1398</v>
      </c>
      <c r="Q62">
        <v>0</v>
      </c>
      <c r="R62">
        <v>0</v>
      </c>
      <c r="S62">
        <v>0</v>
      </c>
      <c r="T62">
        <v>0</v>
      </c>
      <c r="U62" t="s">
        <v>1418</v>
      </c>
      <c r="V62" t="s">
        <v>1510</v>
      </c>
      <c r="W62">
        <v>2200</v>
      </c>
      <c r="X62">
        <v>515</v>
      </c>
      <c r="Y62">
        <v>0</v>
      </c>
      <c r="Z62">
        <v>0</v>
      </c>
    </row>
    <row r="63" spans="1:26">
      <c r="A63" s="1">
        <f>HYPERLINK("https://cms.ls-nyc.org/matter/dynamic-profile/view/0809270","16-0809270")</f>
        <v>0</v>
      </c>
      <c r="B63" t="s">
        <v>27</v>
      </c>
      <c r="C63" t="s">
        <v>33</v>
      </c>
      <c r="D63" t="s">
        <v>120</v>
      </c>
      <c r="E63" t="s">
        <v>557</v>
      </c>
      <c r="F63" t="s">
        <v>969</v>
      </c>
      <c r="G63" t="s">
        <v>1295</v>
      </c>
      <c r="H63" t="s">
        <v>1378</v>
      </c>
      <c r="I63" t="s">
        <v>1379</v>
      </c>
      <c r="J63" t="s">
        <v>1382</v>
      </c>
      <c r="K63" t="s">
        <v>1385</v>
      </c>
      <c r="M63" t="s">
        <v>1389</v>
      </c>
      <c r="P63" t="s">
        <v>1400</v>
      </c>
      <c r="Q63">
        <v>0</v>
      </c>
      <c r="R63">
        <v>0</v>
      </c>
      <c r="S63">
        <v>0</v>
      </c>
      <c r="T63">
        <v>0</v>
      </c>
      <c r="U63" t="s">
        <v>1404</v>
      </c>
      <c r="V63" t="s">
        <v>1404</v>
      </c>
      <c r="W63">
        <v>0</v>
      </c>
      <c r="X63">
        <v>0</v>
      </c>
      <c r="Y63">
        <v>0</v>
      </c>
      <c r="Z63">
        <v>0</v>
      </c>
    </row>
    <row r="64" spans="1:26">
      <c r="A64" s="1">
        <f>HYPERLINK("https://cms.ls-nyc.org/matter/dynamic-profile/view/0809594","16-0809594")</f>
        <v>0</v>
      </c>
      <c r="B64" t="s">
        <v>29</v>
      </c>
      <c r="C64" t="s">
        <v>41</v>
      </c>
      <c r="D64" t="s">
        <v>121</v>
      </c>
      <c r="E64" t="s">
        <v>558</v>
      </c>
      <c r="F64" t="s">
        <v>970</v>
      </c>
      <c r="G64" t="s">
        <v>1222</v>
      </c>
      <c r="H64" t="s">
        <v>1375</v>
      </c>
      <c r="I64" t="s">
        <v>1379</v>
      </c>
      <c r="J64" t="s">
        <v>1382</v>
      </c>
      <c r="K64" t="s">
        <v>1385</v>
      </c>
      <c r="M64" t="s">
        <v>1390</v>
      </c>
      <c r="P64" t="s">
        <v>1398</v>
      </c>
      <c r="Q64">
        <v>0</v>
      </c>
      <c r="R64">
        <v>0</v>
      </c>
      <c r="S64">
        <v>24760</v>
      </c>
      <c r="T64">
        <v>837</v>
      </c>
      <c r="U64" t="s">
        <v>1405</v>
      </c>
      <c r="V64" t="s">
        <v>1511</v>
      </c>
      <c r="W64">
        <v>24760</v>
      </c>
      <c r="X64">
        <v>837</v>
      </c>
      <c r="Y64">
        <v>0</v>
      </c>
      <c r="Z64">
        <v>11943</v>
      </c>
    </row>
    <row r="65" spans="1:26">
      <c r="A65" s="1">
        <f>HYPERLINK("https://cms.ls-nyc.org/matter/dynamic-profile/view/0809924","16-0809924")</f>
        <v>0</v>
      </c>
      <c r="B65" t="s">
        <v>27</v>
      </c>
      <c r="C65" t="s">
        <v>43</v>
      </c>
      <c r="D65" t="s">
        <v>122</v>
      </c>
      <c r="E65" t="s">
        <v>559</v>
      </c>
      <c r="F65" t="s">
        <v>971</v>
      </c>
      <c r="G65" t="s">
        <v>1194</v>
      </c>
      <c r="H65" t="s">
        <v>1375</v>
      </c>
      <c r="I65" t="s">
        <v>1379</v>
      </c>
      <c r="J65" t="s">
        <v>1382</v>
      </c>
      <c r="K65" t="s">
        <v>1385</v>
      </c>
      <c r="M65" t="s">
        <v>1390</v>
      </c>
      <c r="P65" t="s">
        <v>1398</v>
      </c>
      <c r="Q65">
        <v>0</v>
      </c>
      <c r="R65">
        <v>0</v>
      </c>
      <c r="S65">
        <v>23086</v>
      </c>
      <c r="T65">
        <v>837</v>
      </c>
      <c r="U65" t="s">
        <v>1405</v>
      </c>
      <c r="V65" t="s">
        <v>1512</v>
      </c>
      <c r="W65">
        <v>13230</v>
      </c>
      <c r="X65">
        <v>837</v>
      </c>
      <c r="Y65">
        <v>0</v>
      </c>
      <c r="Z65">
        <v>9856</v>
      </c>
    </row>
    <row r="66" spans="1:26">
      <c r="A66" s="1">
        <f>HYPERLINK("https://cms.ls-nyc.org/matter/dynamic-profile/view/0810496","16-0810496")</f>
        <v>0</v>
      </c>
      <c r="B66" t="s">
        <v>29</v>
      </c>
      <c r="C66" t="s">
        <v>42</v>
      </c>
      <c r="D66" t="s">
        <v>123</v>
      </c>
      <c r="E66" t="s">
        <v>560</v>
      </c>
      <c r="F66" t="s">
        <v>972</v>
      </c>
      <c r="G66" t="s">
        <v>1250</v>
      </c>
      <c r="H66" t="s">
        <v>1375</v>
      </c>
      <c r="I66" t="s">
        <v>1379</v>
      </c>
      <c r="J66" t="s">
        <v>1383</v>
      </c>
      <c r="K66" t="s">
        <v>1385</v>
      </c>
      <c r="M66" t="s">
        <v>1390</v>
      </c>
      <c r="P66" t="s">
        <v>1398</v>
      </c>
      <c r="Q66">
        <v>0</v>
      </c>
      <c r="R66">
        <v>0</v>
      </c>
      <c r="S66">
        <v>25065</v>
      </c>
      <c r="T66">
        <v>750</v>
      </c>
      <c r="U66" t="s">
        <v>1408</v>
      </c>
      <c r="V66" t="s">
        <v>1513</v>
      </c>
      <c r="W66">
        <v>11529.6</v>
      </c>
      <c r="X66">
        <v>374.7</v>
      </c>
      <c r="Y66">
        <v>375.3</v>
      </c>
      <c r="Z66">
        <v>13535.4</v>
      </c>
    </row>
    <row r="67" spans="1:26">
      <c r="A67" s="1">
        <f>HYPERLINK("https://cms.ls-nyc.org/matter/dynamic-profile/view/0810860","16-0810860")</f>
        <v>0</v>
      </c>
      <c r="B67" t="s">
        <v>29</v>
      </c>
      <c r="C67" t="s">
        <v>44</v>
      </c>
      <c r="D67" t="s">
        <v>124</v>
      </c>
      <c r="E67" t="s">
        <v>561</v>
      </c>
      <c r="F67" t="s">
        <v>973</v>
      </c>
      <c r="G67" t="s">
        <v>1257</v>
      </c>
      <c r="H67" t="s">
        <v>1375</v>
      </c>
      <c r="I67" t="s">
        <v>1379</v>
      </c>
      <c r="J67" t="s">
        <v>1382</v>
      </c>
      <c r="K67" t="s">
        <v>1385</v>
      </c>
      <c r="M67" t="s">
        <v>1390</v>
      </c>
      <c r="P67" t="s">
        <v>1398</v>
      </c>
      <c r="Q67">
        <v>0</v>
      </c>
      <c r="R67">
        <v>0</v>
      </c>
      <c r="S67">
        <v>12607.8</v>
      </c>
      <c r="T67">
        <v>0</v>
      </c>
      <c r="U67" t="s">
        <v>1419</v>
      </c>
      <c r="V67" t="s">
        <v>1514</v>
      </c>
      <c r="W67">
        <v>12607.8</v>
      </c>
      <c r="X67">
        <v>0</v>
      </c>
      <c r="Y67">
        <v>459.7</v>
      </c>
      <c r="Z67">
        <v>0</v>
      </c>
    </row>
    <row r="68" spans="1:26">
      <c r="A68" s="1">
        <f>HYPERLINK("https://cms.ls-nyc.org/matter/dynamic-profile/view/0812313","16-0812313")</f>
        <v>0</v>
      </c>
      <c r="B68" t="s">
        <v>27</v>
      </c>
      <c r="C68" t="s">
        <v>37</v>
      </c>
      <c r="D68" t="s">
        <v>125</v>
      </c>
      <c r="E68" t="s">
        <v>562</v>
      </c>
      <c r="F68" t="s">
        <v>974</v>
      </c>
      <c r="G68" t="s">
        <v>1240</v>
      </c>
      <c r="H68" t="s">
        <v>1375</v>
      </c>
      <c r="I68" t="s">
        <v>1379</v>
      </c>
      <c r="J68" t="s">
        <v>1382</v>
      </c>
      <c r="K68" t="s">
        <v>1385</v>
      </c>
      <c r="M68" t="s">
        <v>1390</v>
      </c>
      <c r="P68" t="s">
        <v>1398</v>
      </c>
      <c r="Q68">
        <v>0</v>
      </c>
      <c r="R68">
        <v>0</v>
      </c>
      <c r="S68">
        <v>15676</v>
      </c>
      <c r="T68">
        <v>523</v>
      </c>
      <c r="U68" t="s">
        <v>1412</v>
      </c>
      <c r="V68" t="s">
        <v>1515</v>
      </c>
      <c r="W68">
        <v>3650</v>
      </c>
      <c r="X68">
        <v>523</v>
      </c>
      <c r="Y68">
        <v>0</v>
      </c>
      <c r="Z68">
        <v>12025</v>
      </c>
    </row>
    <row r="69" spans="1:26">
      <c r="A69" s="1">
        <f>HYPERLINK("https://cms.ls-nyc.org/matter/dynamic-profile/view/0812713","16-0812713")</f>
        <v>0</v>
      </c>
      <c r="B69" t="s">
        <v>29</v>
      </c>
      <c r="C69" t="s">
        <v>44</v>
      </c>
      <c r="D69" t="s">
        <v>126</v>
      </c>
      <c r="E69" t="s">
        <v>563</v>
      </c>
      <c r="F69" t="s">
        <v>975</v>
      </c>
      <c r="G69" t="s">
        <v>1305</v>
      </c>
      <c r="H69" t="s">
        <v>1375</v>
      </c>
      <c r="I69" t="s">
        <v>1379</v>
      </c>
      <c r="J69" t="s">
        <v>1383</v>
      </c>
      <c r="K69" t="s">
        <v>1385</v>
      </c>
      <c r="M69" t="s">
        <v>1390</v>
      </c>
      <c r="P69" t="s">
        <v>1397</v>
      </c>
      <c r="Q69">
        <v>0</v>
      </c>
      <c r="R69">
        <v>0</v>
      </c>
      <c r="S69">
        <v>0</v>
      </c>
      <c r="T69">
        <v>0</v>
      </c>
      <c r="U69" t="s">
        <v>1404</v>
      </c>
      <c r="V69" t="s">
        <v>1404</v>
      </c>
      <c r="W69">
        <v>0</v>
      </c>
      <c r="X69">
        <v>0</v>
      </c>
      <c r="Y69">
        <v>0</v>
      </c>
      <c r="Z69">
        <v>0</v>
      </c>
    </row>
    <row r="70" spans="1:26">
      <c r="A70" s="1">
        <f>HYPERLINK("https://cms.ls-nyc.org/matter/dynamic-profile/view/0814465","16-0814465")</f>
        <v>0</v>
      </c>
      <c r="B70" t="s">
        <v>26</v>
      </c>
      <c r="C70" t="s">
        <v>46</v>
      </c>
      <c r="D70" t="s">
        <v>127</v>
      </c>
      <c r="E70" t="s">
        <v>564</v>
      </c>
      <c r="F70" t="s">
        <v>976</v>
      </c>
      <c r="G70" t="s">
        <v>1292</v>
      </c>
      <c r="H70" t="s">
        <v>1375</v>
      </c>
      <c r="I70" t="s">
        <v>1379</v>
      </c>
      <c r="J70" t="s">
        <v>1383</v>
      </c>
      <c r="K70" t="s">
        <v>1385</v>
      </c>
      <c r="M70" t="s">
        <v>1390</v>
      </c>
      <c r="P70" t="s">
        <v>1398</v>
      </c>
      <c r="Q70">
        <v>0</v>
      </c>
      <c r="R70">
        <v>0</v>
      </c>
      <c r="S70">
        <v>0</v>
      </c>
      <c r="T70">
        <v>0</v>
      </c>
      <c r="U70" t="s">
        <v>1408</v>
      </c>
      <c r="V70" t="s">
        <v>1516</v>
      </c>
      <c r="W70">
        <v>31500</v>
      </c>
      <c r="X70">
        <v>750</v>
      </c>
      <c r="Y70">
        <v>0</v>
      </c>
      <c r="Z70">
        <v>0</v>
      </c>
    </row>
    <row r="71" spans="1:26">
      <c r="A71" s="1">
        <f>HYPERLINK("https://cms.ls-nyc.org/matter/dynamic-profile/view/0815395","16-0815395")</f>
        <v>0</v>
      </c>
      <c r="B71" t="s">
        <v>29</v>
      </c>
      <c r="C71" t="s">
        <v>40</v>
      </c>
      <c r="D71" t="s">
        <v>128</v>
      </c>
      <c r="E71" t="s">
        <v>565</v>
      </c>
      <c r="F71" t="s">
        <v>977</v>
      </c>
      <c r="G71" t="s">
        <v>1292</v>
      </c>
      <c r="H71" t="s">
        <v>1375</v>
      </c>
      <c r="I71" t="s">
        <v>1379</v>
      </c>
      <c r="J71" t="s">
        <v>1383</v>
      </c>
      <c r="K71" t="s">
        <v>1385</v>
      </c>
      <c r="M71" t="s">
        <v>1390</v>
      </c>
      <c r="P71" t="s">
        <v>1398</v>
      </c>
      <c r="Q71">
        <v>0</v>
      </c>
      <c r="R71">
        <v>0</v>
      </c>
      <c r="S71">
        <v>15412</v>
      </c>
      <c r="T71">
        <v>750</v>
      </c>
      <c r="U71" t="s">
        <v>1408</v>
      </c>
      <c r="V71" t="s">
        <v>1517</v>
      </c>
      <c r="W71">
        <v>15412</v>
      </c>
      <c r="X71">
        <v>750</v>
      </c>
      <c r="Y71">
        <v>0</v>
      </c>
      <c r="Z71">
        <v>7872</v>
      </c>
    </row>
    <row r="72" spans="1:26">
      <c r="A72" s="1">
        <f>HYPERLINK("https://cms.ls-nyc.org/matter/dynamic-profile/view/0815452","16-0815452")</f>
        <v>0</v>
      </c>
      <c r="B72" t="s">
        <v>29</v>
      </c>
      <c r="C72" t="s">
        <v>42</v>
      </c>
      <c r="D72" t="s">
        <v>129</v>
      </c>
      <c r="E72" t="s">
        <v>566</v>
      </c>
      <c r="F72" t="s">
        <v>978</v>
      </c>
      <c r="G72" t="s">
        <v>1306</v>
      </c>
      <c r="H72" t="s">
        <v>1375</v>
      </c>
      <c r="I72" t="s">
        <v>1379</v>
      </c>
      <c r="J72" t="s">
        <v>1383</v>
      </c>
      <c r="K72" t="s">
        <v>1385</v>
      </c>
      <c r="M72" t="s">
        <v>1390</v>
      </c>
      <c r="P72" t="s">
        <v>1397</v>
      </c>
      <c r="Q72">
        <v>0</v>
      </c>
      <c r="R72">
        <v>0</v>
      </c>
      <c r="S72">
        <v>0</v>
      </c>
      <c r="T72">
        <v>0</v>
      </c>
      <c r="U72" t="s">
        <v>1404</v>
      </c>
      <c r="V72" t="s">
        <v>1404</v>
      </c>
      <c r="W72">
        <v>0</v>
      </c>
      <c r="X72">
        <v>0</v>
      </c>
      <c r="Y72">
        <v>0</v>
      </c>
      <c r="Z72">
        <v>0</v>
      </c>
    </row>
    <row r="73" spans="1:26">
      <c r="A73" s="1">
        <f>HYPERLINK("https://cms.ls-nyc.org/matter/dynamic-profile/view/0815594","16-0815594")</f>
        <v>0</v>
      </c>
      <c r="B73" t="s">
        <v>29</v>
      </c>
      <c r="C73" t="s">
        <v>44</v>
      </c>
      <c r="D73" t="s">
        <v>130</v>
      </c>
      <c r="E73" t="s">
        <v>567</v>
      </c>
      <c r="F73" t="s">
        <v>979</v>
      </c>
      <c r="G73" t="s">
        <v>1293</v>
      </c>
      <c r="H73" t="s">
        <v>1375</v>
      </c>
      <c r="I73" t="s">
        <v>1379</v>
      </c>
      <c r="J73" t="s">
        <v>1383</v>
      </c>
      <c r="K73" t="s">
        <v>1385</v>
      </c>
      <c r="L73" t="s">
        <v>1385</v>
      </c>
      <c r="M73" t="s">
        <v>1390</v>
      </c>
      <c r="P73" t="s">
        <v>1397</v>
      </c>
      <c r="Q73">
        <v>0</v>
      </c>
      <c r="R73">
        <v>0</v>
      </c>
      <c r="S73">
        <v>0</v>
      </c>
      <c r="T73">
        <v>0</v>
      </c>
      <c r="U73" t="s">
        <v>1404</v>
      </c>
      <c r="V73" t="s">
        <v>1404</v>
      </c>
      <c r="W73">
        <v>0</v>
      </c>
      <c r="X73">
        <v>0</v>
      </c>
      <c r="Y73">
        <v>0</v>
      </c>
      <c r="Z73">
        <v>0</v>
      </c>
    </row>
    <row r="74" spans="1:26">
      <c r="A74" s="1">
        <f>HYPERLINK("https://cms.ls-nyc.org/matter/dynamic-profile/view/0815691","16-0815691")</f>
        <v>0</v>
      </c>
      <c r="B74" t="s">
        <v>29</v>
      </c>
      <c r="C74" t="s">
        <v>44</v>
      </c>
      <c r="D74" t="s">
        <v>131</v>
      </c>
      <c r="E74" t="s">
        <v>568</v>
      </c>
      <c r="F74" t="s">
        <v>979</v>
      </c>
      <c r="G74" t="s">
        <v>1307</v>
      </c>
      <c r="H74" t="s">
        <v>1375</v>
      </c>
      <c r="I74" t="s">
        <v>1379</v>
      </c>
      <c r="J74" t="s">
        <v>1382</v>
      </c>
      <c r="K74" t="s">
        <v>1385</v>
      </c>
      <c r="M74" t="s">
        <v>1390</v>
      </c>
      <c r="P74" t="s">
        <v>1398</v>
      </c>
      <c r="Q74">
        <v>0</v>
      </c>
      <c r="R74">
        <v>0</v>
      </c>
      <c r="S74">
        <v>8368.860000000001</v>
      </c>
      <c r="T74">
        <v>632.17</v>
      </c>
      <c r="U74" t="s">
        <v>1420</v>
      </c>
      <c r="V74" t="s">
        <v>1518</v>
      </c>
      <c r="W74">
        <v>20734.36</v>
      </c>
      <c r="X74">
        <v>632.17</v>
      </c>
      <c r="Y74">
        <v>0</v>
      </c>
      <c r="Z74">
        <v>12365.5</v>
      </c>
    </row>
    <row r="75" spans="1:26">
      <c r="A75" s="1">
        <f>HYPERLINK("https://cms.ls-nyc.org/matter/dynamic-profile/view/0815970","16-0815970")</f>
        <v>0</v>
      </c>
      <c r="B75" t="s">
        <v>27</v>
      </c>
      <c r="C75" t="s">
        <v>37</v>
      </c>
      <c r="D75" t="s">
        <v>132</v>
      </c>
      <c r="E75" t="s">
        <v>569</v>
      </c>
      <c r="F75" t="s">
        <v>980</v>
      </c>
      <c r="G75" t="s">
        <v>1243</v>
      </c>
      <c r="H75" t="s">
        <v>1375</v>
      </c>
      <c r="I75" t="s">
        <v>1379</v>
      </c>
      <c r="J75" t="s">
        <v>1382</v>
      </c>
      <c r="K75" t="s">
        <v>1385</v>
      </c>
      <c r="L75" t="s">
        <v>1388</v>
      </c>
      <c r="M75" t="s">
        <v>1390</v>
      </c>
      <c r="P75" t="s">
        <v>1397</v>
      </c>
      <c r="Q75">
        <v>0</v>
      </c>
      <c r="R75">
        <v>0</v>
      </c>
      <c r="S75">
        <v>0</v>
      </c>
      <c r="T75">
        <v>0</v>
      </c>
      <c r="U75" t="s">
        <v>1404</v>
      </c>
      <c r="V75" t="s">
        <v>1404</v>
      </c>
      <c r="W75">
        <v>0</v>
      </c>
      <c r="X75">
        <v>0</v>
      </c>
      <c r="Y75">
        <v>0</v>
      </c>
      <c r="Z75">
        <v>0</v>
      </c>
    </row>
    <row r="76" spans="1:26">
      <c r="A76" s="1">
        <f>HYPERLINK("https://cms.ls-nyc.org/matter/dynamic-profile/view/0816108","16-0816108")</f>
        <v>0</v>
      </c>
      <c r="B76" t="s">
        <v>29</v>
      </c>
      <c r="C76" t="s">
        <v>47</v>
      </c>
      <c r="D76" t="s">
        <v>133</v>
      </c>
      <c r="E76" t="s">
        <v>570</v>
      </c>
      <c r="F76" t="s">
        <v>981</v>
      </c>
      <c r="G76" t="s">
        <v>1249</v>
      </c>
      <c r="H76" t="s">
        <v>1375</v>
      </c>
      <c r="I76" t="s">
        <v>1379</v>
      </c>
      <c r="J76" t="s">
        <v>1383</v>
      </c>
      <c r="K76" t="s">
        <v>1385</v>
      </c>
      <c r="M76" t="s">
        <v>1390</v>
      </c>
      <c r="P76" t="s">
        <v>1397</v>
      </c>
      <c r="Q76">
        <v>0</v>
      </c>
      <c r="R76">
        <v>0</v>
      </c>
      <c r="S76">
        <v>0</v>
      </c>
      <c r="T76">
        <v>0</v>
      </c>
      <c r="U76" t="s">
        <v>1404</v>
      </c>
      <c r="V76" t="s">
        <v>1404</v>
      </c>
      <c r="W76">
        <v>0</v>
      </c>
      <c r="X76">
        <v>0</v>
      </c>
      <c r="Y76">
        <v>0</v>
      </c>
      <c r="Z76">
        <v>0</v>
      </c>
    </row>
    <row r="77" spans="1:26">
      <c r="A77" s="1">
        <f>HYPERLINK("https://cms.ls-nyc.org/matter/dynamic-profile/view/0816171","16-0816171")</f>
        <v>0</v>
      </c>
      <c r="B77" t="s">
        <v>27</v>
      </c>
      <c r="C77" t="s">
        <v>32</v>
      </c>
      <c r="D77" t="s">
        <v>134</v>
      </c>
      <c r="E77" t="s">
        <v>571</v>
      </c>
      <c r="F77" t="s">
        <v>982</v>
      </c>
      <c r="G77" t="s">
        <v>1292</v>
      </c>
      <c r="H77" t="s">
        <v>1375</v>
      </c>
      <c r="I77" t="s">
        <v>1379</v>
      </c>
      <c r="J77" t="s">
        <v>1383</v>
      </c>
      <c r="K77" t="s">
        <v>1385</v>
      </c>
      <c r="L77" t="s">
        <v>1388</v>
      </c>
      <c r="M77" t="s">
        <v>1390</v>
      </c>
      <c r="P77" t="s">
        <v>1398</v>
      </c>
      <c r="Q77">
        <v>0</v>
      </c>
      <c r="R77">
        <v>0</v>
      </c>
      <c r="S77">
        <v>12181</v>
      </c>
      <c r="T77">
        <v>837</v>
      </c>
      <c r="U77" t="s">
        <v>1405</v>
      </c>
      <c r="V77" t="s">
        <v>1519</v>
      </c>
      <c r="W77">
        <v>12181</v>
      </c>
      <c r="X77">
        <v>837</v>
      </c>
      <c r="Y77">
        <v>0</v>
      </c>
      <c r="Z77">
        <v>0</v>
      </c>
    </row>
    <row r="78" spans="1:26">
      <c r="A78" s="1">
        <f>HYPERLINK("https://cms.ls-nyc.org/matter/dynamic-profile/view/0816184","16-0816184")</f>
        <v>0</v>
      </c>
      <c r="B78" t="s">
        <v>28</v>
      </c>
      <c r="C78" t="s">
        <v>34</v>
      </c>
      <c r="D78" t="s">
        <v>135</v>
      </c>
      <c r="E78" t="s">
        <v>572</v>
      </c>
      <c r="F78" t="s">
        <v>982</v>
      </c>
      <c r="G78" t="s">
        <v>1198</v>
      </c>
      <c r="H78" t="s">
        <v>1378</v>
      </c>
      <c r="I78" t="s">
        <v>1379</v>
      </c>
      <c r="J78" t="s">
        <v>1382</v>
      </c>
      <c r="K78" t="s">
        <v>1385</v>
      </c>
      <c r="M78" t="s">
        <v>1389</v>
      </c>
      <c r="P78" t="s">
        <v>1400</v>
      </c>
      <c r="Q78">
        <v>0</v>
      </c>
      <c r="R78">
        <v>0</v>
      </c>
      <c r="S78">
        <v>0</v>
      </c>
      <c r="T78">
        <v>0</v>
      </c>
      <c r="U78" t="s">
        <v>1404</v>
      </c>
      <c r="V78" t="s">
        <v>1404</v>
      </c>
      <c r="W78">
        <v>0</v>
      </c>
      <c r="X78">
        <v>0</v>
      </c>
      <c r="Y78">
        <v>0</v>
      </c>
      <c r="Z78">
        <v>0</v>
      </c>
    </row>
    <row r="79" spans="1:26">
      <c r="A79" s="1">
        <f>HYPERLINK("https://cms.ls-nyc.org/matter/dynamic-profile/view/0816328","16-0816328")</f>
        <v>0</v>
      </c>
      <c r="B79" t="s">
        <v>29</v>
      </c>
      <c r="C79" t="s">
        <v>42</v>
      </c>
      <c r="D79" t="s">
        <v>136</v>
      </c>
      <c r="E79" t="s">
        <v>573</v>
      </c>
      <c r="F79" t="s">
        <v>983</v>
      </c>
      <c r="G79" t="s">
        <v>1308</v>
      </c>
      <c r="H79" t="s">
        <v>1375</v>
      </c>
      <c r="I79" t="s">
        <v>1379</v>
      </c>
      <c r="J79" t="s">
        <v>1383</v>
      </c>
      <c r="K79" t="s">
        <v>1385</v>
      </c>
      <c r="M79" t="s">
        <v>1389</v>
      </c>
      <c r="P79" t="s">
        <v>1400</v>
      </c>
      <c r="Q79">
        <v>0</v>
      </c>
      <c r="R79">
        <v>0</v>
      </c>
      <c r="S79">
        <v>0</v>
      </c>
      <c r="T79">
        <v>0</v>
      </c>
      <c r="U79" t="s">
        <v>1404</v>
      </c>
      <c r="V79" t="s">
        <v>1404</v>
      </c>
      <c r="W79">
        <v>0</v>
      </c>
      <c r="X79">
        <v>0</v>
      </c>
      <c r="Y79">
        <v>0</v>
      </c>
      <c r="Z79">
        <v>0</v>
      </c>
    </row>
    <row r="80" spans="1:26">
      <c r="A80" s="1">
        <f>HYPERLINK("https://cms.ls-nyc.org/matter/dynamic-profile/view/0816658","16-0816658")</f>
        <v>0</v>
      </c>
      <c r="B80" t="s">
        <v>29</v>
      </c>
      <c r="C80" t="s">
        <v>42</v>
      </c>
      <c r="D80" t="s">
        <v>137</v>
      </c>
      <c r="E80" t="s">
        <v>574</v>
      </c>
      <c r="F80" t="s">
        <v>984</v>
      </c>
      <c r="G80" t="s">
        <v>1233</v>
      </c>
      <c r="H80" t="s">
        <v>1375</v>
      </c>
      <c r="I80" t="s">
        <v>1379</v>
      </c>
      <c r="J80" t="s">
        <v>1382</v>
      </c>
      <c r="K80" t="s">
        <v>1385</v>
      </c>
      <c r="M80" t="s">
        <v>1390</v>
      </c>
      <c r="P80" t="s">
        <v>1398</v>
      </c>
      <c r="Q80">
        <v>0</v>
      </c>
      <c r="R80">
        <v>0</v>
      </c>
      <c r="S80">
        <v>0</v>
      </c>
      <c r="T80">
        <v>197</v>
      </c>
      <c r="U80" t="s">
        <v>1421</v>
      </c>
      <c r="V80" t="s">
        <v>1520</v>
      </c>
      <c r="W80">
        <v>5167</v>
      </c>
      <c r="X80">
        <v>197</v>
      </c>
      <c r="Y80">
        <v>0</v>
      </c>
      <c r="Z80">
        <v>0</v>
      </c>
    </row>
    <row r="81" spans="1:26">
      <c r="A81" s="1">
        <f>HYPERLINK("https://cms.ls-nyc.org/matter/dynamic-profile/view/0816729","16-0816729")</f>
        <v>0</v>
      </c>
      <c r="B81" t="s">
        <v>29</v>
      </c>
      <c r="C81" t="s">
        <v>42</v>
      </c>
      <c r="D81" t="s">
        <v>138</v>
      </c>
      <c r="E81" t="s">
        <v>575</v>
      </c>
      <c r="F81" t="s">
        <v>985</v>
      </c>
      <c r="G81" t="s">
        <v>1303</v>
      </c>
      <c r="H81" t="s">
        <v>1375</v>
      </c>
      <c r="I81" t="s">
        <v>1380</v>
      </c>
      <c r="J81" t="s">
        <v>1382</v>
      </c>
      <c r="K81" t="s">
        <v>1385</v>
      </c>
      <c r="M81" t="s">
        <v>1390</v>
      </c>
      <c r="P81" t="s">
        <v>1398</v>
      </c>
      <c r="Q81">
        <v>0</v>
      </c>
      <c r="R81">
        <v>0</v>
      </c>
      <c r="S81">
        <v>0</v>
      </c>
      <c r="T81">
        <v>750</v>
      </c>
      <c r="U81" t="s">
        <v>1408</v>
      </c>
      <c r="V81" t="s">
        <v>1404</v>
      </c>
      <c r="W81">
        <v>0</v>
      </c>
      <c r="X81">
        <v>750</v>
      </c>
      <c r="Y81">
        <v>0</v>
      </c>
      <c r="Z81">
        <v>0</v>
      </c>
    </row>
    <row r="82" spans="1:26">
      <c r="A82" s="1">
        <f>HYPERLINK("https://cms.ls-nyc.org/matter/dynamic-profile/view/0817101","16-0817101")</f>
        <v>0</v>
      </c>
      <c r="B82" t="s">
        <v>27</v>
      </c>
      <c r="C82" t="s">
        <v>32</v>
      </c>
      <c r="D82" t="s">
        <v>139</v>
      </c>
      <c r="E82" t="s">
        <v>576</v>
      </c>
      <c r="F82" t="s">
        <v>986</v>
      </c>
      <c r="G82" t="s">
        <v>1240</v>
      </c>
      <c r="H82" t="s">
        <v>1375</v>
      </c>
      <c r="I82" t="s">
        <v>1379</v>
      </c>
      <c r="J82" t="s">
        <v>1382</v>
      </c>
      <c r="K82" t="s">
        <v>1385</v>
      </c>
      <c r="M82" t="s">
        <v>1390</v>
      </c>
      <c r="P82" t="s">
        <v>1398</v>
      </c>
      <c r="Q82">
        <v>0</v>
      </c>
      <c r="R82">
        <v>0</v>
      </c>
      <c r="S82">
        <v>69910</v>
      </c>
      <c r="T82">
        <v>837</v>
      </c>
      <c r="U82" t="s">
        <v>1405</v>
      </c>
      <c r="V82" t="s">
        <v>1521</v>
      </c>
      <c r="W82">
        <v>69910</v>
      </c>
      <c r="X82">
        <v>837</v>
      </c>
      <c r="Y82">
        <v>0</v>
      </c>
      <c r="Z82">
        <v>0</v>
      </c>
    </row>
    <row r="83" spans="1:26">
      <c r="A83" s="1">
        <f>HYPERLINK("https://cms.ls-nyc.org/matter/dynamic-profile/view/0817870","16-0817870")</f>
        <v>0</v>
      </c>
      <c r="B83" t="s">
        <v>29</v>
      </c>
      <c r="C83" t="s">
        <v>40</v>
      </c>
      <c r="D83" t="s">
        <v>140</v>
      </c>
      <c r="E83" t="s">
        <v>577</v>
      </c>
      <c r="F83" t="s">
        <v>987</v>
      </c>
      <c r="G83" t="s">
        <v>1232</v>
      </c>
      <c r="H83" t="s">
        <v>1375</v>
      </c>
      <c r="I83" t="s">
        <v>1379</v>
      </c>
      <c r="J83" t="s">
        <v>1382</v>
      </c>
      <c r="K83" t="s">
        <v>1385</v>
      </c>
      <c r="M83" t="s">
        <v>1394</v>
      </c>
      <c r="P83" t="s">
        <v>1400</v>
      </c>
      <c r="Q83">
        <v>0</v>
      </c>
      <c r="R83">
        <v>0</v>
      </c>
      <c r="S83">
        <v>0</v>
      </c>
      <c r="T83">
        <v>0</v>
      </c>
      <c r="U83" t="s">
        <v>1404</v>
      </c>
      <c r="V83" t="s">
        <v>1404</v>
      </c>
      <c r="W83">
        <v>0</v>
      </c>
      <c r="X83">
        <v>0</v>
      </c>
      <c r="Y83">
        <v>0</v>
      </c>
      <c r="Z83">
        <v>0</v>
      </c>
    </row>
    <row r="84" spans="1:26">
      <c r="A84" s="1">
        <f>HYPERLINK("https://cms.ls-nyc.org/matter/dynamic-profile/view/0817938","16-0817938")</f>
        <v>0</v>
      </c>
      <c r="B84" t="s">
        <v>29</v>
      </c>
      <c r="C84" t="s">
        <v>44</v>
      </c>
      <c r="D84" t="s">
        <v>141</v>
      </c>
      <c r="E84" t="s">
        <v>578</v>
      </c>
      <c r="F84" t="s">
        <v>987</v>
      </c>
      <c r="G84" t="s">
        <v>1229</v>
      </c>
      <c r="H84" t="s">
        <v>1375</v>
      </c>
      <c r="I84" t="s">
        <v>1379</v>
      </c>
      <c r="J84" t="s">
        <v>1383</v>
      </c>
      <c r="K84" t="s">
        <v>1385</v>
      </c>
      <c r="M84" t="s">
        <v>1390</v>
      </c>
      <c r="P84" t="s">
        <v>1397</v>
      </c>
      <c r="Q84">
        <v>0</v>
      </c>
      <c r="R84">
        <v>0</v>
      </c>
      <c r="S84">
        <v>0</v>
      </c>
      <c r="T84">
        <v>0</v>
      </c>
      <c r="U84" t="s">
        <v>1404</v>
      </c>
      <c r="V84" t="s">
        <v>1404</v>
      </c>
      <c r="W84">
        <v>0</v>
      </c>
      <c r="X84">
        <v>0</v>
      </c>
      <c r="Y84">
        <v>0</v>
      </c>
      <c r="Z84">
        <v>0</v>
      </c>
    </row>
    <row r="85" spans="1:26">
      <c r="A85" s="1">
        <f>HYPERLINK("https://cms.ls-nyc.org/matter/dynamic-profile/view/0818039","16-0818039")</f>
        <v>0</v>
      </c>
      <c r="B85" t="s">
        <v>29</v>
      </c>
      <c r="C85" t="s">
        <v>44</v>
      </c>
      <c r="D85" t="s">
        <v>142</v>
      </c>
      <c r="E85" t="s">
        <v>579</v>
      </c>
      <c r="F85" t="s">
        <v>988</v>
      </c>
      <c r="G85" t="s">
        <v>1257</v>
      </c>
      <c r="H85" t="s">
        <v>1375</v>
      </c>
      <c r="I85" t="s">
        <v>1379</v>
      </c>
      <c r="J85" t="s">
        <v>1382</v>
      </c>
      <c r="K85" t="s">
        <v>1385</v>
      </c>
      <c r="M85" t="s">
        <v>1390</v>
      </c>
      <c r="P85" t="s">
        <v>1398</v>
      </c>
      <c r="Q85">
        <v>0</v>
      </c>
      <c r="R85">
        <v>0</v>
      </c>
      <c r="S85">
        <v>7740</v>
      </c>
      <c r="T85">
        <v>514</v>
      </c>
      <c r="U85" t="s">
        <v>1422</v>
      </c>
      <c r="V85" t="s">
        <v>1522</v>
      </c>
      <c r="W85">
        <v>7740.95</v>
      </c>
      <c r="X85">
        <v>514</v>
      </c>
      <c r="Y85">
        <v>0</v>
      </c>
      <c r="Z85">
        <v>2330</v>
      </c>
    </row>
    <row r="86" spans="1:26">
      <c r="A86" s="1">
        <f>HYPERLINK("https://cms.ls-nyc.org/matter/dynamic-profile/view/0818541","16-0818541")</f>
        <v>0</v>
      </c>
      <c r="B86" t="s">
        <v>27</v>
      </c>
      <c r="C86" t="s">
        <v>48</v>
      </c>
      <c r="D86" t="s">
        <v>143</v>
      </c>
      <c r="E86" t="s">
        <v>580</v>
      </c>
      <c r="F86" t="s">
        <v>989</v>
      </c>
      <c r="G86" t="s">
        <v>1280</v>
      </c>
      <c r="H86" t="s">
        <v>1375</v>
      </c>
      <c r="I86" t="s">
        <v>1379</v>
      </c>
      <c r="J86" t="s">
        <v>1383</v>
      </c>
      <c r="K86" t="s">
        <v>1385</v>
      </c>
      <c r="M86" t="s">
        <v>1390</v>
      </c>
      <c r="P86" t="s">
        <v>1398</v>
      </c>
      <c r="Q86">
        <v>0</v>
      </c>
      <c r="R86">
        <v>0</v>
      </c>
      <c r="S86">
        <v>46793</v>
      </c>
      <c r="T86">
        <v>1241</v>
      </c>
      <c r="U86" t="s">
        <v>1423</v>
      </c>
      <c r="V86" t="s">
        <v>1523</v>
      </c>
      <c r="W86">
        <v>46793.1</v>
      </c>
      <c r="X86">
        <v>0</v>
      </c>
      <c r="Y86">
        <v>1241</v>
      </c>
      <c r="Z86">
        <v>0</v>
      </c>
    </row>
    <row r="87" spans="1:26">
      <c r="A87" s="1">
        <f>HYPERLINK("https://cms.ls-nyc.org/matter/dynamic-profile/view/0818757","16-0818757")</f>
        <v>0</v>
      </c>
      <c r="B87" t="s">
        <v>29</v>
      </c>
      <c r="C87" t="s">
        <v>42</v>
      </c>
      <c r="D87" t="s">
        <v>144</v>
      </c>
      <c r="E87" t="s">
        <v>581</v>
      </c>
      <c r="F87" t="s">
        <v>990</v>
      </c>
      <c r="G87" t="s">
        <v>1277</v>
      </c>
      <c r="H87" t="s">
        <v>1375</v>
      </c>
      <c r="I87" t="s">
        <v>1379</v>
      </c>
      <c r="J87" t="s">
        <v>1383</v>
      </c>
      <c r="K87" t="s">
        <v>1385</v>
      </c>
      <c r="M87" t="s">
        <v>1390</v>
      </c>
      <c r="P87" t="s">
        <v>1398</v>
      </c>
      <c r="Q87">
        <v>0</v>
      </c>
      <c r="R87">
        <v>0</v>
      </c>
      <c r="S87">
        <v>19434</v>
      </c>
      <c r="T87">
        <v>771</v>
      </c>
      <c r="U87" t="s">
        <v>1424</v>
      </c>
      <c r="V87" t="s">
        <v>1524</v>
      </c>
      <c r="W87">
        <v>9086.1</v>
      </c>
      <c r="X87">
        <v>421.8</v>
      </c>
      <c r="Y87">
        <v>349.2</v>
      </c>
      <c r="Z87">
        <v>10347.9</v>
      </c>
    </row>
    <row r="88" spans="1:26">
      <c r="A88" s="1">
        <f>HYPERLINK("https://cms.ls-nyc.org/matter/dynamic-profile/view/0819003","16-0819003")</f>
        <v>0</v>
      </c>
      <c r="B88" t="s">
        <v>29</v>
      </c>
      <c r="C88" t="s">
        <v>40</v>
      </c>
      <c r="D88" t="s">
        <v>145</v>
      </c>
      <c r="E88" t="s">
        <v>582</v>
      </c>
      <c r="F88" t="s">
        <v>991</v>
      </c>
      <c r="G88" t="s">
        <v>1292</v>
      </c>
      <c r="H88" t="s">
        <v>1375</v>
      </c>
      <c r="I88" t="s">
        <v>1379</v>
      </c>
      <c r="J88" t="s">
        <v>1383</v>
      </c>
      <c r="K88" t="s">
        <v>1385</v>
      </c>
      <c r="M88" t="s">
        <v>1391</v>
      </c>
      <c r="P88" t="s">
        <v>1400</v>
      </c>
      <c r="Q88">
        <v>0</v>
      </c>
      <c r="R88">
        <v>0</v>
      </c>
      <c r="S88">
        <v>0</v>
      </c>
      <c r="T88">
        <v>0</v>
      </c>
      <c r="U88" t="s">
        <v>1404</v>
      </c>
      <c r="V88" t="s">
        <v>1404</v>
      </c>
      <c r="W88">
        <v>0</v>
      </c>
      <c r="X88">
        <v>0</v>
      </c>
      <c r="Y88">
        <v>0</v>
      </c>
      <c r="Z88">
        <v>0</v>
      </c>
    </row>
    <row r="89" spans="1:26">
      <c r="A89" s="1">
        <f>HYPERLINK("https://cms.ls-nyc.org/matter/dynamic-profile/view/0819054","16-0819054")</f>
        <v>0</v>
      </c>
      <c r="B89" t="s">
        <v>29</v>
      </c>
      <c r="C89" t="s">
        <v>40</v>
      </c>
      <c r="D89" t="s">
        <v>146</v>
      </c>
      <c r="E89" t="s">
        <v>508</v>
      </c>
      <c r="F89" t="s">
        <v>992</v>
      </c>
      <c r="G89" t="s">
        <v>1232</v>
      </c>
      <c r="H89" t="s">
        <v>1375</v>
      </c>
      <c r="I89" t="s">
        <v>1380</v>
      </c>
      <c r="J89" t="s">
        <v>1382</v>
      </c>
      <c r="K89" t="s">
        <v>1385</v>
      </c>
      <c r="M89" t="s">
        <v>1389</v>
      </c>
      <c r="P89" t="s">
        <v>1400</v>
      </c>
      <c r="Q89">
        <v>0</v>
      </c>
      <c r="R89">
        <v>0</v>
      </c>
      <c r="S89">
        <v>0</v>
      </c>
      <c r="T89">
        <v>0</v>
      </c>
      <c r="U89" t="s">
        <v>1404</v>
      </c>
      <c r="V89" t="s">
        <v>1404</v>
      </c>
      <c r="W89">
        <v>0</v>
      </c>
      <c r="X89">
        <v>0</v>
      </c>
      <c r="Y89">
        <v>0</v>
      </c>
      <c r="Z89">
        <v>0</v>
      </c>
    </row>
    <row r="90" spans="1:26">
      <c r="A90" s="1">
        <f>HYPERLINK("https://cms.ls-nyc.org/matter/dynamic-profile/view/0819108","16-0819108")</f>
        <v>0</v>
      </c>
      <c r="B90" t="s">
        <v>27</v>
      </c>
      <c r="C90" t="s">
        <v>33</v>
      </c>
      <c r="D90" t="s">
        <v>147</v>
      </c>
      <c r="E90" t="s">
        <v>583</v>
      </c>
      <c r="F90" t="s">
        <v>992</v>
      </c>
      <c r="G90" t="s">
        <v>1292</v>
      </c>
      <c r="H90" t="s">
        <v>1375</v>
      </c>
      <c r="I90" t="s">
        <v>1379</v>
      </c>
      <c r="J90" t="s">
        <v>1382</v>
      </c>
      <c r="K90" t="s">
        <v>1385</v>
      </c>
      <c r="M90" t="s">
        <v>1390</v>
      </c>
      <c r="P90" t="s">
        <v>1397</v>
      </c>
      <c r="Q90">
        <v>0</v>
      </c>
      <c r="R90">
        <v>0</v>
      </c>
      <c r="S90">
        <v>0</v>
      </c>
      <c r="T90">
        <v>0</v>
      </c>
      <c r="U90" t="s">
        <v>1404</v>
      </c>
      <c r="V90" t="s">
        <v>1404</v>
      </c>
      <c r="W90">
        <v>0</v>
      </c>
      <c r="X90">
        <v>0</v>
      </c>
      <c r="Y90">
        <v>0</v>
      </c>
      <c r="Z90">
        <v>0</v>
      </c>
    </row>
    <row r="91" spans="1:26">
      <c r="A91" s="1">
        <f>HYPERLINK("https://cms.ls-nyc.org/matter/dynamic-profile/view/0819178","16-0819178")</f>
        <v>0</v>
      </c>
      <c r="B91" t="s">
        <v>29</v>
      </c>
      <c r="C91" t="s">
        <v>44</v>
      </c>
      <c r="D91" t="s">
        <v>148</v>
      </c>
      <c r="E91" t="s">
        <v>584</v>
      </c>
      <c r="F91" t="s">
        <v>993</v>
      </c>
      <c r="G91" t="s">
        <v>1257</v>
      </c>
      <c r="H91" t="s">
        <v>1375</v>
      </c>
      <c r="I91" t="s">
        <v>1378</v>
      </c>
      <c r="J91" t="s">
        <v>1382</v>
      </c>
      <c r="K91" t="s">
        <v>1385</v>
      </c>
      <c r="M91" t="s">
        <v>1390</v>
      </c>
      <c r="P91" t="s">
        <v>1398</v>
      </c>
      <c r="Q91">
        <v>0</v>
      </c>
      <c r="R91">
        <v>0</v>
      </c>
      <c r="S91">
        <v>0</v>
      </c>
      <c r="T91">
        <v>514</v>
      </c>
      <c r="U91" t="s">
        <v>1425</v>
      </c>
      <c r="V91" t="s">
        <v>1404</v>
      </c>
      <c r="W91">
        <v>0</v>
      </c>
      <c r="X91">
        <v>500</v>
      </c>
      <c r="Y91">
        <v>0</v>
      </c>
      <c r="Z91">
        <v>0</v>
      </c>
    </row>
    <row r="92" spans="1:26">
      <c r="A92" s="1">
        <f>HYPERLINK("https://cms.ls-nyc.org/matter/dynamic-profile/view/0819180","16-0819180")</f>
        <v>0</v>
      </c>
      <c r="B92" t="s">
        <v>29</v>
      </c>
      <c r="C92" t="s">
        <v>40</v>
      </c>
      <c r="D92" t="s">
        <v>149</v>
      </c>
      <c r="E92" t="s">
        <v>267</v>
      </c>
      <c r="F92" t="s">
        <v>993</v>
      </c>
      <c r="G92" t="s">
        <v>1234</v>
      </c>
      <c r="H92" t="s">
        <v>1375</v>
      </c>
      <c r="I92" t="s">
        <v>1379</v>
      </c>
      <c r="J92" t="s">
        <v>1383</v>
      </c>
      <c r="K92" t="s">
        <v>1385</v>
      </c>
      <c r="M92" t="s">
        <v>1389</v>
      </c>
      <c r="P92" t="s">
        <v>1400</v>
      </c>
      <c r="Q92">
        <v>0</v>
      </c>
      <c r="R92">
        <v>0</v>
      </c>
      <c r="S92">
        <v>0</v>
      </c>
      <c r="T92">
        <v>0</v>
      </c>
      <c r="U92" t="s">
        <v>1404</v>
      </c>
      <c r="V92" t="s">
        <v>1404</v>
      </c>
      <c r="W92">
        <v>0</v>
      </c>
      <c r="X92">
        <v>0</v>
      </c>
      <c r="Y92">
        <v>0</v>
      </c>
      <c r="Z92">
        <v>0</v>
      </c>
    </row>
    <row r="93" spans="1:26">
      <c r="A93" s="1">
        <f>HYPERLINK("https://cms.ls-nyc.org/matter/dynamic-profile/view/0819864","16-0819864")</f>
        <v>0</v>
      </c>
      <c r="B93" t="s">
        <v>26</v>
      </c>
      <c r="C93" t="s">
        <v>49</v>
      </c>
      <c r="D93" t="s">
        <v>136</v>
      </c>
      <c r="E93" t="s">
        <v>585</v>
      </c>
      <c r="F93" t="s">
        <v>994</v>
      </c>
      <c r="G93" t="s">
        <v>1309</v>
      </c>
      <c r="H93" t="s">
        <v>1375</v>
      </c>
      <c r="I93" t="s">
        <v>1379</v>
      </c>
      <c r="J93" t="s">
        <v>1383</v>
      </c>
      <c r="K93" t="s">
        <v>1385</v>
      </c>
      <c r="M93" t="s">
        <v>1390</v>
      </c>
      <c r="P93" t="s">
        <v>1398</v>
      </c>
      <c r="Q93">
        <v>0</v>
      </c>
      <c r="R93">
        <v>0</v>
      </c>
      <c r="S93">
        <v>22973</v>
      </c>
      <c r="T93">
        <v>857</v>
      </c>
      <c r="U93" t="s">
        <v>1426</v>
      </c>
      <c r="V93" t="s">
        <v>1525</v>
      </c>
      <c r="W93">
        <v>22973</v>
      </c>
      <c r="X93">
        <v>0</v>
      </c>
      <c r="Y93">
        <v>857</v>
      </c>
      <c r="Z93">
        <v>8305</v>
      </c>
    </row>
    <row r="94" spans="1:26">
      <c r="A94" s="1">
        <f>HYPERLINK("https://cms.ls-nyc.org/matter/dynamic-profile/view/0819961","16-0819961")</f>
        <v>0</v>
      </c>
      <c r="B94" t="s">
        <v>29</v>
      </c>
      <c r="C94" t="s">
        <v>44</v>
      </c>
      <c r="D94" t="s">
        <v>150</v>
      </c>
      <c r="E94" t="s">
        <v>586</v>
      </c>
      <c r="F94" t="s">
        <v>994</v>
      </c>
      <c r="G94" t="s">
        <v>1263</v>
      </c>
      <c r="H94" t="s">
        <v>1375</v>
      </c>
      <c r="I94" t="s">
        <v>1379</v>
      </c>
      <c r="J94" t="s">
        <v>1382</v>
      </c>
      <c r="K94" t="s">
        <v>1385</v>
      </c>
      <c r="L94" t="s">
        <v>1385</v>
      </c>
      <c r="M94" t="s">
        <v>1390</v>
      </c>
      <c r="P94" t="s">
        <v>1398</v>
      </c>
      <c r="Q94">
        <v>0</v>
      </c>
      <c r="R94">
        <v>0</v>
      </c>
      <c r="S94">
        <v>36980.4</v>
      </c>
      <c r="T94">
        <v>941</v>
      </c>
      <c r="U94" t="s">
        <v>1427</v>
      </c>
      <c r="V94" t="s">
        <v>1526</v>
      </c>
      <c r="W94">
        <v>36980.4</v>
      </c>
      <c r="X94">
        <v>0</v>
      </c>
      <c r="Y94">
        <v>941</v>
      </c>
      <c r="Z94">
        <v>0</v>
      </c>
    </row>
    <row r="95" spans="1:26">
      <c r="A95" s="1">
        <f>HYPERLINK("https://cms.ls-nyc.org/matter/dynamic-profile/view/0820027","16-0820027")</f>
        <v>0</v>
      </c>
      <c r="B95" t="s">
        <v>29</v>
      </c>
      <c r="C95" t="s">
        <v>44</v>
      </c>
      <c r="D95" t="s">
        <v>151</v>
      </c>
      <c r="E95" t="s">
        <v>587</v>
      </c>
      <c r="F95" t="s">
        <v>995</v>
      </c>
      <c r="G95" t="s">
        <v>1263</v>
      </c>
      <c r="H95" t="s">
        <v>1375</v>
      </c>
      <c r="I95" t="s">
        <v>1379</v>
      </c>
      <c r="J95" t="s">
        <v>1383</v>
      </c>
      <c r="K95" t="s">
        <v>1385</v>
      </c>
      <c r="M95" t="s">
        <v>1390</v>
      </c>
      <c r="P95" t="s">
        <v>1398</v>
      </c>
      <c r="Q95">
        <v>0</v>
      </c>
      <c r="R95">
        <v>0</v>
      </c>
      <c r="S95">
        <v>17302</v>
      </c>
      <c r="T95">
        <v>583</v>
      </c>
      <c r="U95" t="s">
        <v>1428</v>
      </c>
      <c r="V95" t="s">
        <v>1527</v>
      </c>
      <c r="W95">
        <v>17302</v>
      </c>
      <c r="X95">
        <v>67</v>
      </c>
      <c r="Y95">
        <v>583</v>
      </c>
      <c r="Z95">
        <v>0</v>
      </c>
    </row>
    <row r="96" spans="1:26">
      <c r="A96" s="1">
        <f>HYPERLINK("https://cms.ls-nyc.org/matter/dynamic-profile/view/0820195","16-0820195")</f>
        <v>0</v>
      </c>
      <c r="B96" t="s">
        <v>27</v>
      </c>
      <c r="C96" t="s">
        <v>32</v>
      </c>
      <c r="D96" t="s">
        <v>152</v>
      </c>
      <c r="E96" t="s">
        <v>588</v>
      </c>
      <c r="F96" t="s">
        <v>978</v>
      </c>
      <c r="G96" t="s">
        <v>1239</v>
      </c>
      <c r="H96" t="s">
        <v>1375</v>
      </c>
      <c r="I96" t="s">
        <v>1379</v>
      </c>
      <c r="J96" t="s">
        <v>1383</v>
      </c>
      <c r="K96" t="s">
        <v>1385</v>
      </c>
      <c r="M96" t="s">
        <v>1390</v>
      </c>
      <c r="P96" t="s">
        <v>1398</v>
      </c>
      <c r="Q96">
        <v>0</v>
      </c>
      <c r="R96">
        <v>0</v>
      </c>
      <c r="S96">
        <v>11568</v>
      </c>
      <c r="T96">
        <v>533</v>
      </c>
      <c r="U96" t="s">
        <v>1429</v>
      </c>
      <c r="V96" t="s">
        <v>1528</v>
      </c>
      <c r="W96">
        <v>11568</v>
      </c>
      <c r="X96">
        <v>0</v>
      </c>
      <c r="Y96">
        <v>533</v>
      </c>
      <c r="Z96">
        <v>0</v>
      </c>
    </row>
    <row r="97" spans="1:26">
      <c r="A97" s="1">
        <f>HYPERLINK("https://cms.ls-nyc.org/matter/dynamic-profile/view/0820215","16-0820215")</f>
        <v>0</v>
      </c>
      <c r="B97" t="s">
        <v>29</v>
      </c>
      <c r="C97" t="s">
        <v>35</v>
      </c>
      <c r="D97" t="s">
        <v>153</v>
      </c>
      <c r="E97" t="s">
        <v>589</v>
      </c>
      <c r="F97" t="s">
        <v>978</v>
      </c>
      <c r="G97" t="s">
        <v>1310</v>
      </c>
      <c r="H97" t="s">
        <v>1375</v>
      </c>
      <c r="I97" t="s">
        <v>1380</v>
      </c>
      <c r="J97" t="s">
        <v>1382</v>
      </c>
      <c r="K97" t="s">
        <v>1385</v>
      </c>
      <c r="M97" t="s">
        <v>1390</v>
      </c>
      <c r="P97" t="s">
        <v>1398</v>
      </c>
      <c r="Q97">
        <v>0</v>
      </c>
      <c r="R97">
        <v>0</v>
      </c>
      <c r="S97">
        <v>0</v>
      </c>
      <c r="T97">
        <v>0</v>
      </c>
      <c r="U97" t="s">
        <v>1424</v>
      </c>
      <c r="V97" t="s">
        <v>1404</v>
      </c>
      <c r="W97">
        <v>0</v>
      </c>
      <c r="X97">
        <v>771</v>
      </c>
      <c r="Y97">
        <v>0</v>
      </c>
      <c r="Z97">
        <v>0</v>
      </c>
    </row>
    <row r="98" spans="1:26">
      <c r="A98" s="1">
        <f>HYPERLINK("https://cms.ls-nyc.org/matter/dynamic-profile/view/0820508","16-0820508")</f>
        <v>0</v>
      </c>
      <c r="B98" t="s">
        <v>29</v>
      </c>
      <c r="C98" t="s">
        <v>44</v>
      </c>
      <c r="D98" t="s">
        <v>154</v>
      </c>
      <c r="E98" t="s">
        <v>590</v>
      </c>
      <c r="F98" t="s">
        <v>996</v>
      </c>
      <c r="G98" t="s">
        <v>1263</v>
      </c>
      <c r="H98" t="s">
        <v>1375</v>
      </c>
      <c r="I98" t="s">
        <v>1379</v>
      </c>
      <c r="J98" t="s">
        <v>1382</v>
      </c>
      <c r="K98" t="s">
        <v>1385</v>
      </c>
      <c r="M98" t="s">
        <v>1390</v>
      </c>
      <c r="P98" t="s">
        <v>1398</v>
      </c>
      <c r="Q98">
        <v>0</v>
      </c>
      <c r="R98">
        <v>0</v>
      </c>
      <c r="S98">
        <v>12823</v>
      </c>
      <c r="T98">
        <v>514</v>
      </c>
      <c r="U98" t="s">
        <v>1422</v>
      </c>
      <c r="V98" t="s">
        <v>1529</v>
      </c>
      <c r="W98">
        <v>12823.35</v>
      </c>
      <c r="X98">
        <v>514</v>
      </c>
      <c r="Y98">
        <v>0</v>
      </c>
      <c r="Z98">
        <v>0</v>
      </c>
    </row>
    <row r="99" spans="1:26">
      <c r="A99" s="1">
        <f>HYPERLINK("https://cms.ls-nyc.org/matter/dynamic-profile/view/0820862","16-0820862")</f>
        <v>0</v>
      </c>
      <c r="B99" t="s">
        <v>29</v>
      </c>
      <c r="C99" t="s">
        <v>42</v>
      </c>
      <c r="D99" t="s">
        <v>155</v>
      </c>
      <c r="E99" t="s">
        <v>591</v>
      </c>
      <c r="F99" t="s">
        <v>997</v>
      </c>
      <c r="G99" t="s">
        <v>1311</v>
      </c>
      <c r="H99" t="s">
        <v>1375</v>
      </c>
      <c r="I99" t="s">
        <v>1379</v>
      </c>
      <c r="J99" t="s">
        <v>1382</v>
      </c>
      <c r="K99" t="s">
        <v>1385</v>
      </c>
      <c r="M99" t="s">
        <v>1390</v>
      </c>
      <c r="P99" t="s">
        <v>1398</v>
      </c>
      <c r="Q99">
        <v>0</v>
      </c>
      <c r="R99">
        <v>0</v>
      </c>
      <c r="S99">
        <v>5292</v>
      </c>
      <c r="T99">
        <v>771</v>
      </c>
      <c r="U99" t="s">
        <v>1424</v>
      </c>
      <c r="V99" t="s">
        <v>1530</v>
      </c>
      <c r="W99">
        <v>4546</v>
      </c>
      <c r="X99">
        <v>771</v>
      </c>
      <c r="Y99">
        <v>0</v>
      </c>
      <c r="Z99">
        <v>746</v>
      </c>
    </row>
    <row r="100" spans="1:26">
      <c r="A100" s="1">
        <f>HYPERLINK("https://cms.ls-nyc.org/matter/dynamic-profile/view/0820894","16-0820894")</f>
        <v>0</v>
      </c>
      <c r="B100" t="s">
        <v>29</v>
      </c>
      <c r="C100" t="s">
        <v>44</v>
      </c>
      <c r="D100" t="s">
        <v>156</v>
      </c>
      <c r="E100" t="s">
        <v>592</v>
      </c>
      <c r="F100" t="s">
        <v>997</v>
      </c>
      <c r="G100" t="s">
        <v>1301</v>
      </c>
      <c r="H100" t="s">
        <v>1375</v>
      </c>
      <c r="I100" t="s">
        <v>1379</v>
      </c>
      <c r="J100" t="s">
        <v>1382</v>
      </c>
      <c r="K100" t="s">
        <v>1385</v>
      </c>
      <c r="M100" t="s">
        <v>1389</v>
      </c>
      <c r="P100" t="s">
        <v>1400</v>
      </c>
      <c r="Q100">
        <v>0</v>
      </c>
      <c r="R100">
        <v>0</v>
      </c>
      <c r="S100">
        <v>0</v>
      </c>
      <c r="T100">
        <v>0</v>
      </c>
      <c r="U100" t="s">
        <v>1404</v>
      </c>
      <c r="V100" t="s">
        <v>1404</v>
      </c>
      <c r="W100">
        <v>0</v>
      </c>
      <c r="X100">
        <v>0</v>
      </c>
      <c r="Y100">
        <v>0</v>
      </c>
      <c r="Z100">
        <v>0</v>
      </c>
    </row>
    <row r="101" spans="1:26">
      <c r="A101" s="1">
        <f>HYPERLINK("https://cms.ls-nyc.org/matter/dynamic-profile/view/0821325","16-0821325")</f>
        <v>0</v>
      </c>
      <c r="B101" t="s">
        <v>29</v>
      </c>
      <c r="C101" t="s">
        <v>40</v>
      </c>
      <c r="D101" t="s">
        <v>157</v>
      </c>
      <c r="E101" t="s">
        <v>593</v>
      </c>
      <c r="F101" t="s">
        <v>998</v>
      </c>
      <c r="G101" t="s">
        <v>1233</v>
      </c>
      <c r="H101" t="s">
        <v>1375</v>
      </c>
      <c r="I101" t="s">
        <v>1379</v>
      </c>
      <c r="J101" t="s">
        <v>1382</v>
      </c>
      <c r="K101" t="s">
        <v>1385</v>
      </c>
      <c r="M101" t="s">
        <v>1391</v>
      </c>
      <c r="P101" t="s">
        <v>1400</v>
      </c>
      <c r="Q101">
        <v>0</v>
      </c>
      <c r="R101">
        <v>0</v>
      </c>
      <c r="S101">
        <v>0</v>
      </c>
      <c r="T101">
        <v>0</v>
      </c>
      <c r="U101" t="s">
        <v>1404</v>
      </c>
      <c r="V101" t="s">
        <v>1404</v>
      </c>
      <c r="W101">
        <v>0</v>
      </c>
      <c r="X101">
        <v>0</v>
      </c>
      <c r="Y101">
        <v>0</v>
      </c>
      <c r="Z101">
        <v>0</v>
      </c>
    </row>
    <row r="102" spans="1:26">
      <c r="A102" s="1">
        <f>HYPERLINK("https://cms.ls-nyc.org/matter/dynamic-profile/view/0821488","16-0821488")</f>
        <v>0</v>
      </c>
      <c r="B102" t="s">
        <v>29</v>
      </c>
      <c r="C102" t="s">
        <v>44</v>
      </c>
      <c r="D102" t="s">
        <v>158</v>
      </c>
      <c r="E102" t="s">
        <v>594</v>
      </c>
      <c r="F102" t="s">
        <v>999</v>
      </c>
      <c r="G102" t="s">
        <v>1301</v>
      </c>
      <c r="H102" t="s">
        <v>1375</v>
      </c>
      <c r="I102" t="s">
        <v>1380</v>
      </c>
      <c r="J102" t="s">
        <v>1382</v>
      </c>
      <c r="K102" t="s">
        <v>1385</v>
      </c>
      <c r="M102" t="s">
        <v>1389</v>
      </c>
      <c r="P102" t="s">
        <v>1400</v>
      </c>
      <c r="Q102">
        <v>0</v>
      </c>
      <c r="R102">
        <v>0</v>
      </c>
      <c r="S102">
        <v>0</v>
      </c>
      <c r="T102">
        <v>0</v>
      </c>
      <c r="U102" t="s">
        <v>1404</v>
      </c>
      <c r="V102" t="s">
        <v>1404</v>
      </c>
      <c r="W102">
        <v>0</v>
      </c>
      <c r="X102">
        <v>0</v>
      </c>
      <c r="Y102">
        <v>0</v>
      </c>
      <c r="Z102">
        <v>0</v>
      </c>
    </row>
    <row r="103" spans="1:26">
      <c r="A103" s="1">
        <f>HYPERLINK("https://cms.ls-nyc.org/matter/dynamic-profile/view/0821510","16-0821510")</f>
        <v>0</v>
      </c>
      <c r="B103" t="s">
        <v>29</v>
      </c>
      <c r="C103" t="s">
        <v>40</v>
      </c>
      <c r="D103" t="s">
        <v>159</v>
      </c>
      <c r="E103" t="s">
        <v>595</v>
      </c>
      <c r="F103" t="s">
        <v>999</v>
      </c>
      <c r="G103" t="s">
        <v>1300</v>
      </c>
      <c r="H103" t="s">
        <v>1375</v>
      </c>
      <c r="I103" t="s">
        <v>1379</v>
      </c>
      <c r="J103" t="s">
        <v>1383</v>
      </c>
      <c r="K103" t="s">
        <v>1385</v>
      </c>
      <c r="M103" t="s">
        <v>1390</v>
      </c>
      <c r="P103" t="s">
        <v>1397</v>
      </c>
      <c r="Q103">
        <v>0</v>
      </c>
      <c r="R103">
        <v>0</v>
      </c>
      <c r="S103">
        <v>0</v>
      </c>
      <c r="T103">
        <v>0</v>
      </c>
      <c r="U103" t="s">
        <v>1404</v>
      </c>
      <c r="V103" t="s">
        <v>1404</v>
      </c>
      <c r="W103">
        <v>0</v>
      </c>
      <c r="X103">
        <v>0</v>
      </c>
      <c r="Y103">
        <v>0</v>
      </c>
      <c r="Z103">
        <v>0</v>
      </c>
    </row>
    <row r="104" spans="1:26">
      <c r="A104" s="1">
        <f>HYPERLINK("https://cms.ls-nyc.org/matter/dynamic-profile/view/0821520","16-0821520")</f>
        <v>0</v>
      </c>
      <c r="B104" t="s">
        <v>29</v>
      </c>
      <c r="C104" t="s">
        <v>40</v>
      </c>
      <c r="D104" t="s">
        <v>160</v>
      </c>
      <c r="E104" t="s">
        <v>596</v>
      </c>
      <c r="F104" t="s">
        <v>999</v>
      </c>
      <c r="G104" t="s">
        <v>1282</v>
      </c>
      <c r="H104" t="s">
        <v>1375</v>
      </c>
      <c r="I104" t="s">
        <v>1379</v>
      </c>
      <c r="J104" t="s">
        <v>1382</v>
      </c>
      <c r="K104" t="s">
        <v>1385</v>
      </c>
      <c r="M104" t="s">
        <v>1390</v>
      </c>
      <c r="P104" t="s">
        <v>1398</v>
      </c>
      <c r="Q104">
        <v>0</v>
      </c>
      <c r="R104">
        <v>0</v>
      </c>
      <c r="S104">
        <v>11334</v>
      </c>
      <c r="T104">
        <v>771</v>
      </c>
      <c r="U104" t="s">
        <v>1424</v>
      </c>
      <c r="V104" t="s">
        <v>1531</v>
      </c>
      <c r="W104">
        <v>8424</v>
      </c>
      <c r="X104">
        <v>771</v>
      </c>
      <c r="Y104">
        <v>0</v>
      </c>
      <c r="Z104">
        <v>2910</v>
      </c>
    </row>
    <row r="105" spans="1:26">
      <c r="A105" s="1">
        <f>HYPERLINK("https://cms.ls-nyc.org/matter/dynamic-profile/view/0821576","16-0821576")</f>
        <v>0</v>
      </c>
      <c r="B105" t="s">
        <v>26</v>
      </c>
      <c r="C105" t="s">
        <v>30</v>
      </c>
      <c r="D105" t="s">
        <v>161</v>
      </c>
      <c r="E105" t="s">
        <v>597</v>
      </c>
      <c r="F105" t="s">
        <v>999</v>
      </c>
      <c r="G105" t="s">
        <v>1312</v>
      </c>
      <c r="H105" t="s">
        <v>1375</v>
      </c>
      <c r="I105" t="s">
        <v>1379</v>
      </c>
      <c r="J105" t="s">
        <v>1383</v>
      </c>
      <c r="K105" t="s">
        <v>1385</v>
      </c>
      <c r="M105" t="s">
        <v>1389</v>
      </c>
      <c r="P105" t="s">
        <v>1400</v>
      </c>
      <c r="Q105">
        <v>0</v>
      </c>
      <c r="R105">
        <v>0</v>
      </c>
      <c r="S105">
        <v>0</v>
      </c>
      <c r="T105">
        <v>0</v>
      </c>
      <c r="U105" t="s">
        <v>1404</v>
      </c>
      <c r="V105" t="s">
        <v>1404</v>
      </c>
      <c r="W105">
        <v>0</v>
      </c>
      <c r="X105">
        <v>0</v>
      </c>
      <c r="Y105">
        <v>0</v>
      </c>
      <c r="Z105">
        <v>0</v>
      </c>
    </row>
    <row r="106" spans="1:26">
      <c r="A106" s="1">
        <f>HYPERLINK("https://cms.ls-nyc.org/matter/dynamic-profile/view/0821670","16-0821670")</f>
        <v>0</v>
      </c>
      <c r="B106" t="s">
        <v>29</v>
      </c>
      <c r="C106" t="s">
        <v>42</v>
      </c>
      <c r="D106" t="s">
        <v>162</v>
      </c>
      <c r="E106" t="s">
        <v>598</v>
      </c>
      <c r="F106" t="s">
        <v>1000</v>
      </c>
      <c r="G106" t="s">
        <v>1313</v>
      </c>
      <c r="H106" t="s">
        <v>1375</v>
      </c>
      <c r="I106" t="s">
        <v>1379</v>
      </c>
      <c r="J106" t="s">
        <v>1382</v>
      </c>
      <c r="K106" t="s">
        <v>1385</v>
      </c>
      <c r="M106" t="s">
        <v>1389</v>
      </c>
      <c r="P106" t="s">
        <v>1400</v>
      </c>
      <c r="Q106">
        <v>0</v>
      </c>
      <c r="R106">
        <v>0</v>
      </c>
      <c r="S106">
        <v>0</v>
      </c>
      <c r="T106">
        <v>0</v>
      </c>
      <c r="U106" t="s">
        <v>1404</v>
      </c>
      <c r="V106" t="s">
        <v>1404</v>
      </c>
      <c r="W106">
        <v>0</v>
      </c>
      <c r="X106">
        <v>0</v>
      </c>
      <c r="Y106">
        <v>0</v>
      </c>
      <c r="Z106">
        <v>0</v>
      </c>
    </row>
    <row r="107" spans="1:26">
      <c r="A107" s="1">
        <f>HYPERLINK("https://cms.ls-nyc.org/matter/dynamic-profile/view/0821671","16-0821671")</f>
        <v>0</v>
      </c>
      <c r="B107" t="s">
        <v>29</v>
      </c>
      <c r="C107" t="s">
        <v>42</v>
      </c>
      <c r="D107" t="s">
        <v>163</v>
      </c>
      <c r="E107" t="s">
        <v>599</v>
      </c>
      <c r="F107" t="s">
        <v>1001</v>
      </c>
      <c r="G107" t="s">
        <v>1250</v>
      </c>
      <c r="H107" t="s">
        <v>1375</v>
      </c>
      <c r="I107" t="s">
        <v>1379</v>
      </c>
      <c r="J107" t="s">
        <v>1382</v>
      </c>
      <c r="K107" t="s">
        <v>1385</v>
      </c>
      <c r="M107" t="s">
        <v>1390</v>
      </c>
      <c r="P107" t="s">
        <v>1398</v>
      </c>
      <c r="Q107">
        <v>0</v>
      </c>
      <c r="R107">
        <v>0</v>
      </c>
      <c r="S107">
        <v>17178.02</v>
      </c>
      <c r="T107">
        <v>750</v>
      </c>
      <c r="U107" t="s">
        <v>1408</v>
      </c>
      <c r="V107" t="s">
        <v>1532</v>
      </c>
      <c r="W107">
        <v>8269.1</v>
      </c>
      <c r="X107">
        <v>750</v>
      </c>
      <c r="Y107">
        <v>0</v>
      </c>
      <c r="Z107">
        <v>8902.92</v>
      </c>
    </row>
    <row r="108" spans="1:26">
      <c r="A108" s="1">
        <f>HYPERLINK("https://cms.ls-nyc.org/matter/dynamic-profile/view/0821836","16-0821836")</f>
        <v>0</v>
      </c>
      <c r="B108" t="s">
        <v>27</v>
      </c>
      <c r="C108" t="s">
        <v>37</v>
      </c>
      <c r="D108" t="s">
        <v>164</v>
      </c>
      <c r="E108" t="s">
        <v>600</v>
      </c>
      <c r="F108" t="s">
        <v>1000</v>
      </c>
      <c r="G108" t="s">
        <v>1253</v>
      </c>
      <c r="H108" t="s">
        <v>1378</v>
      </c>
      <c r="I108" t="s">
        <v>1379</v>
      </c>
      <c r="J108" t="s">
        <v>1382</v>
      </c>
      <c r="K108" t="s">
        <v>1385</v>
      </c>
      <c r="M108" t="s">
        <v>1389</v>
      </c>
      <c r="P108" t="s">
        <v>1400</v>
      </c>
      <c r="Q108">
        <v>0</v>
      </c>
      <c r="R108">
        <v>0</v>
      </c>
      <c r="S108">
        <v>0</v>
      </c>
      <c r="T108">
        <v>0</v>
      </c>
      <c r="U108" t="s">
        <v>1404</v>
      </c>
      <c r="V108" t="s">
        <v>1404</v>
      </c>
      <c r="W108">
        <v>0</v>
      </c>
      <c r="X108">
        <v>0</v>
      </c>
      <c r="Y108">
        <v>0</v>
      </c>
      <c r="Z108">
        <v>0</v>
      </c>
    </row>
    <row r="109" spans="1:26">
      <c r="A109" s="1">
        <f>HYPERLINK("https://cms.ls-nyc.org/matter/dynamic-profile/view/0822745","16-0822745")</f>
        <v>0</v>
      </c>
      <c r="B109" t="s">
        <v>27</v>
      </c>
      <c r="C109" t="s">
        <v>50</v>
      </c>
      <c r="D109" t="s">
        <v>148</v>
      </c>
      <c r="E109" t="s">
        <v>601</v>
      </c>
      <c r="F109" t="s">
        <v>1002</v>
      </c>
      <c r="G109" t="s">
        <v>1292</v>
      </c>
      <c r="H109" t="s">
        <v>1375</v>
      </c>
      <c r="I109" t="s">
        <v>1379</v>
      </c>
      <c r="J109" t="s">
        <v>1382</v>
      </c>
      <c r="K109" t="s">
        <v>1385</v>
      </c>
      <c r="M109" t="s">
        <v>1390</v>
      </c>
      <c r="P109" t="s">
        <v>1401</v>
      </c>
      <c r="Q109">
        <v>0</v>
      </c>
      <c r="R109">
        <v>0</v>
      </c>
      <c r="S109">
        <v>18325</v>
      </c>
      <c r="T109">
        <v>733</v>
      </c>
      <c r="U109" t="s">
        <v>1404</v>
      </c>
      <c r="V109" t="s">
        <v>1533</v>
      </c>
      <c r="W109">
        <v>18325</v>
      </c>
      <c r="X109">
        <v>0</v>
      </c>
      <c r="Y109">
        <v>0</v>
      </c>
      <c r="Z109">
        <v>733</v>
      </c>
    </row>
    <row r="110" spans="1:26">
      <c r="A110" s="1">
        <f>HYPERLINK("https://cms.ls-nyc.org/matter/dynamic-profile/view/0822929","16-0822929")</f>
        <v>0</v>
      </c>
      <c r="B110" t="s">
        <v>29</v>
      </c>
      <c r="C110" t="s">
        <v>42</v>
      </c>
      <c r="D110" t="s">
        <v>165</v>
      </c>
      <c r="E110" t="s">
        <v>584</v>
      </c>
      <c r="F110" t="s">
        <v>1003</v>
      </c>
      <c r="G110" t="s">
        <v>1162</v>
      </c>
      <c r="H110" t="s">
        <v>1375</v>
      </c>
      <c r="I110" t="s">
        <v>1379</v>
      </c>
      <c r="J110" t="s">
        <v>1382</v>
      </c>
      <c r="K110" t="s">
        <v>1385</v>
      </c>
      <c r="M110" t="s">
        <v>1389</v>
      </c>
      <c r="P110" t="s">
        <v>1400</v>
      </c>
      <c r="Q110">
        <v>0</v>
      </c>
      <c r="R110">
        <v>0</v>
      </c>
      <c r="S110">
        <v>0</v>
      </c>
      <c r="T110">
        <v>0</v>
      </c>
      <c r="U110" t="s">
        <v>1404</v>
      </c>
      <c r="V110" t="s">
        <v>1404</v>
      </c>
      <c r="W110">
        <v>0</v>
      </c>
      <c r="X110">
        <v>0</v>
      </c>
      <c r="Y110">
        <v>0</v>
      </c>
      <c r="Z110">
        <v>0</v>
      </c>
    </row>
    <row r="111" spans="1:26">
      <c r="A111" s="1">
        <f>HYPERLINK("https://cms.ls-nyc.org/matter/dynamic-profile/view/0823130","16-0823130")</f>
        <v>0</v>
      </c>
      <c r="B111" t="s">
        <v>27</v>
      </c>
      <c r="C111" t="s">
        <v>32</v>
      </c>
      <c r="D111" t="s">
        <v>166</v>
      </c>
      <c r="E111" t="s">
        <v>602</v>
      </c>
      <c r="F111" t="s">
        <v>1004</v>
      </c>
      <c r="G111" t="s">
        <v>1240</v>
      </c>
      <c r="H111" t="s">
        <v>1375</v>
      </c>
      <c r="I111" t="s">
        <v>1379</v>
      </c>
      <c r="J111" t="s">
        <v>1382</v>
      </c>
      <c r="K111" t="s">
        <v>1385</v>
      </c>
      <c r="M111" t="s">
        <v>1390</v>
      </c>
      <c r="P111" t="s">
        <v>1398</v>
      </c>
      <c r="Q111">
        <v>0</v>
      </c>
      <c r="R111">
        <v>0</v>
      </c>
      <c r="S111">
        <v>53564</v>
      </c>
      <c r="T111">
        <v>770</v>
      </c>
      <c r="U111" t="s">
        <v>1430</v>
      </c>
      <c r="V111" t="s">
        <v>1534</v>
      </c>
      <c r="W111">
        <v>53564</v>
      </c>
      <c r="X111">
        <v>150</v>
      </c>
      <c r="Y111">
        <v>620</v>
      </c>
      <c r="Z111">
        <v>47736</v>
      </c>
    </row>
    <row r="112" spans="1:26">
      <c r="A112" s="1">
        <f>HYPERLINK("https://cms.ls-nyc.org/matter/dynamic-profile/view/0823455","16-0823455")</f>
        <v>0</v>
      </c>
      <c r="B112" t="s">
        <v>26</v>
      </c>
      <c r="C112" t="s">
        <v>46</v>
      </c>
      <c r="D112" t="s">
        <v>167</v>
      </c>
      <c r="E112" t="s">
        <v>603</v>
      </c>
      <c r="F112" t="s">
        <v>1005</v>
      </c>
      <c r="G112" t="s">
        <v>1314</v>
      </c>
      <c r="H112" t="s">
        <v>1375</v>
      </c>
      <c r="I112" t="s">
        <v>1379</v>
      </c>
      <c r="J112" t="s">
        <v>1383</v>
      </c>
      <c r="K112" t="s">
        <v>1385</v>
      </c>
      <c r="M112" t="s">
        <v>1390</v>
      </c>
      <c r="P112" t="s">
        <v>1397</v>
      </c>
      <c r="Q112">
        <v>0</v>
      </c>
      <c r="R112">
        <v>0</v>
      </c>
      <c r="S112">
        <v>0</v>
      </c>
      <c r="T112">
        <v>0</v>
      </c>
      <c r="U112" t="s">
        <v>1404</v>
      </c>
      <c r="V112" t="s">
        <v>1404</v>
      </c>
      <c r="W112">
        <v>0</v>
      </c>
      <c r="X112">
        <v>0</v>
      </c>
      <c r="Y112">
        <v>0</v>
      </c>
      <c r="Z112">
        <v>0</v>
      </c>
    </row>
    <row r="113" spans="1:26">
      <c r="A113" s="1">
        <f>HYPERLINK("https://cms.ls-nyc.org/matter/dynamic-profile/view/0823563","17-0823563")</f>
        <v>0</v>
      </c>
      <c r="B113" t="s">
        <v>29</v>
      </c>
      <c r="C113" t="s">
        <v>42</v>
      </c>
      <c r="D113" t="s">
        <v>168</v>
      </c>
      <c r="E113" t="s">
        <v>604</v>
      </c>
      <c r="F113" t="s">
        <v>1006</v>
      </c>
      <c r="G113" t="s">
        <v>1315</v>
      </c>
      <c r="H113" t="s">
        <v>1375</v>
      </c>
      <c r="I113" t="s">
        <v>1379</v>
      </c>
      <c r="J113" t="s">
        <v>1383</v>
      </c>
      <c r="K113" t="s">
        <v>1385</v>
      </c>
      <c r="M113" t="s">
        <v>1390</v>
      </c>
      <c r="P113" t="s">
        <v>1398</v>
      </c>
      <c r="Q113">
        <v>0</v>
      </c>
      <c r="R113">
        <v>0</v>
      </c>
      <c r="S113">
        <v>36974.7</v>
      </c>
      <c r="T113">
        <v>836.1</v>
      </c>
      <c r="U113" t="s">
        <v>1431</v>
      </c>
      <c r="V113" t="s">
        <v>1535</v>
      </c>
      <c r="W113">
        <v>36974.7</v>
      </c>
      <c r="X113">
        <v>0</v>
      </c>
      <c r="Y113">
        <v>836.1</v>
      </c>
      <c r="Z113">
        <v>0</v>
      </c>
    </row>
    <row r="114" spans="1:26">
      <c r="A114" s="1">
        <f>HYPERLINK("https://cms.ls-nyc.org/matter/dynamic-profile/view/0823716","17-0823716")</f>
        <v>0</v>
      </c>
      <c r="B114" t="s">
        <v>29</v>
      </c>
      <c r="C114" t="s">
        <v>44</v>
      </c>
      <c r="D114" t="s">
        <v>169</v>
      </c>
      <c r="E114" t="s">
        <v>546</v>
      </c>
      <c r="F114" t="s">
        <v>1007</v>
      </c>
      <c r="G114" t="s">
        <v>1263</v>
      </c>
      <c r="H114" t="s">
        <v>1375</v>
      </c>
      <c r="I114" t="s">
        <v>1379</v>
      </c>
      <c r="J114" t="s">
        <v>1383</v>
      </c>
      <c r="K114" t="s">
        <v>1385</v>
      </c>
      <c r="M114" t="s">
        <v>1390</v>
      </c>
      <c r="P114" t="s">
        <v>1398</v>
      </c>
      <c r="Q114">
        <v>0</v>
      </c>
      <c r="R114">
        <v>0</v>
      </c>
      <c r="S114">
        <v>16245</v>
      </c>
      <c r="T114">
        <v>750</v>
      </c>
      <c r="U114" t="s">
        <v>1408</v>
      </c>
      <c r="V114" t="s">
        <v>1536</v>
      </c>
      <c r="W114">
        <v>16245</v>
      </c>
      <c r="X114">
        <v>750</v>
      </c>
      <c r="Y114">
        <v>0</v>
      </c>
      <c r="Z114">
        <v>0</v>
      </c>
    </row>
    <row r="115" spans="1:26">
      <c r="A115" s="1">
        <f>HYPERLINK("https://cms.ls-nyc.org/matter/dynamic-profile/view/0823769","17-0823769")</f>
        <v>0</v>
      </c>
      <c r="B115" t="s">
        <v>29</v>
      </c>
      <c r="C115" t="s">
        <v>47</v>
      </c>
      <c r="D115" t="s">
        <v>170</v>
      </c>
      <c r="E115" t="s">
        <v>605</v>
      </c>
      <c r="F115" t="s">
        <v>1007</v>
      </c>
      <c r="G115" t="s">
        <v>1251</v>
      </c>
      <c r="H115" t="s">
        <v>1375</v>
      </c>
      <c r="I115" t="s">
        <v>1379</v>
      </c>
      <c r="J115" t="s">
        <v>1382</v>
      </c>
      <c r="K115" t="s">
        <v>1385</v>
      </c>
      <c r="M115" t="s">
        <v>1391</v>
      </c>
      <c r="P115" t="s">
        <v>1399</v>
      </c>
      <c r="Q115">
        <v>0</v>
      </c>
      <c r="R115">
        <v>0</v>
      </c>
      <c r="S115">
        <v>0</v>
      </c>
      <c r="T115">
        <v>0</v>
      </c>
      <c r="U115" t="s">
        <v>1404</v>
      </c>
      <c r="V115" t="s">
        <v>1404</v>
      </c>
      <c r="W115">
        <v>0</v>
      </c>
      <c r="X115">
        <v>0</v>
      </c>
      <c r="Y115">
        <v>0</v>
      </c>
      <c r="Z115">
        <v>0</v>
      </c>
    </row>
    <row r="116" spans="1:26">
      <c r="A116" s="1">
        <f>HYPERLINK("https://cms.ls-nyc.org/matter/dynamic-profile/view/0824020","17-0824020")</f>
        <v>0</v>
      </c>
      <c r="B116" t="s">
        <v>27</v>
      </c>
      <c r="C116" t="s">
        <v>32</v>
      </c>
      <c r="D116" t="s">
        <v>131</v>
      </c>
      <c r="E116" t="s">
        <v>606</v>
      </c>
      <c r="F116" t="s">
        <v>1008</v>
      </c>
      <c r="G116" t="s">
        <v>1194</v>
      </c>
      <c r="H116" t="s">
        <v>1377</v>
      </c>
      <c r="I116" t="s">
        <v>1379</v>
      </c>
      <c r="J116" t="s">
        <v>1382</v>
      </c>
      <c r="K116" t="s">
        <v>1385</v>
      </c>
      <c r="M116" t="s">
        <v>1390</v>
      </c>
      <c r="P116" t="s">
        <v>1397</v>
      </c>
      <c r="Q116">
        <v>0</v>
      </c>
      <c r="R116">
        <v>0</v>
      </c>
      <c r="S116">
        <v>0</v>
      </c>
      <c r="T116">
        <v>0</v>
      </c>
      <c r="U116" t="s">
        <v>1404</v>
      </c>
      <c r="V116" t="s">
        <v>1404</v>
      </c>
      <c r="W116">
        <v>0</v>
      </c>
      <c r="X116">
        <v>0</v>
      </c>
      <c r="Y116">
        <v>0</v>
      </c>
      <c r="Z116">
        <v>0</v>
      </c>
    </row>
    <row r="117" spans="1:26">
      <c r="A117" s="1">
        <f>HYPERLINK("https://cms.ls-nyc.org/matter/dynamic-profile/view/0824034","17-0824034")</f>
        <v>0</v>
      </c>
      <c r="B117" t="s">
        <v>27</v>
      </c>
      <c r="C117" t="s">
        <v>37</v>
      </c>
      <c r="D117" t="s">
        <v>171</v>
      </c>
      <c r="E117" t="s">
        <v>607</v>
      </c>
      <c r="F117" t="s">
        <v>1008</v>
      </c>
      <c r="G117" t="s">
        <v>1292</v>
      </c>
      <c r="H117" t="s">
        <v>1377</v>
      </c>
      <c r="I117" t="s">
        <v>1379</v>
      </c>
      <c r="J117" t="s">
        <v>1383</v>
      </c>
      <c r="K117" t="s">
        <v>1385</v>
      </c>
      <c r="M117" t="s">
        <v>1394</v>
      </c>
      <c r="P117" t="s">
        <v>1397</v>
      </c>
      <c r="Q117">
        <v>0</v>
      </c>
      <c r="R117">
        <v>0</v>
      </c>
      <c r="S117">
        <v>0</v>
      </c>
      <c r="T117">
        <v>0</v>
      </c>
      <c r="U117" t="s">
        <v>1404</v>
      </c>
      <c r="V117" t="s">
        <v>1404</v>
      </c>
      <c r="W117">
        <v>0</v>
      </c>
      <c r="X117">
        <v>0</v>
      </c>
      <c r="Y117">
        <v>0</v>
      </c>
      <c r="Z117">
        <v>0</v>
      </c>
    </row>
    <row r="118" spans="1:26">
      <c r="A118" s="1">
        <f>HYPERLINK("https://cms.ls-nyc.org/matter/dynamic-profile/view/0824039","17-0824039")</f>
        <v>0</v>
      </c>
      <c r="B118" t="s">
        <v>29</v>
      </c>
      <c r="C118" t="s">
        <v>40</v>
      </c>
      <c r="D118" t="s">
        <v>161</v>
      </c>
      <c r="E118" t="s">
        <v>608</v>
      </c>
      <c r="F118" t="s">
        <v>1008</v>
      </c>
      <c r="G118" t="s">
        <v>1233</v>
      </c>
      <c r="H118" t="s">
        <v>1375</v>
      </c>
      <c r="I118" t="s">
        <v>1379</v>
      </c>
      <c r="J118" t="s">
        <v>1383</v>
      </c>
      <c r="K118" t="s">
        <v>1385</v>
      </c>
      <c r="M118" t="s">
        <v>1389</v>
      </c>
      <c r="P118" t="s">
        <v>1400</v>
      </c>
      <c r="Q118">
        <v>0</v>
      </c>
      <c r="R118">
        <v>0</v>
      </c>
      <c r="S118">
        <v>0</v>
      </c>
      <c r="T118">
        <v>0</v>
      </c>
      <c r="U118" t="s">
        <v>1404</v>
      </c>
      <c r="V118" t="s">
        <v>1404</v>
      </c>
      <c r="W118">
        <v>0</v>
      </c>
      <c r="X118">
        <v>0</v>
      </c>
      <c r="Y118">
        <v>0</v>
      </c>
      <c r="Z118">
        <v>0</v>
      </c>
    </row>
    <row r="119" spans="1:26">
      <c r="A119" s="1">
        <f>HYPERLINK("https://cms.ls-nyc.org/matter/dynamic-profile/view/0824313","17-0824313")</f>
        <v>0</v>
      </c>
      <c r="B119" t="s">
        <v>29</v>
      </c>
      <c r="C119" t="s">
        <v>40</v>
      </c>
      <c r="D119" t="s">
        <v>172</v>
      </c>
      <c r="E119" t="s">
        <v>609</v>
      </c>
      <c r="F119" t="s">
        <v>1009</v>
      </c>
      <c r="G119" t="s">
        <v>1233</v>
      </c>
      <c r="H119" t="s">
        <v>1375</v>
      </c>
      <c r="I119" t="s">
        <v>1379</v>
      </c>
      <c r="J119" t="s">
        <v>1383</v>
      </c>
      <c r="K119" t="s">
        <v>1385</v>
      </c>
      <c r="M119" t="s">
        <v>1389</v>
      </c>
      <c r="P119" t="s">
        <v>1400</v>
      </c>
      <c r="Q119">
        <v>0</v>
      </c>
      <c r="R119">
        <v>0</v>
      </c>
      <c r="S119">
        <v>0</v>
      </c>
      <c r="T119">
        <v>0</v>
      </c>
      <c r="U119" t="s">
        <v>1404</v>
      </c>
      <c r="V119" t="s">
        <v>1404</v>
      </c>
      <c r="W119">
        <v>0</v>
      </c>
      <c r="X119">
        <v>0</v>
      </c>
      <c r="Y119">
        <v>0</v>
      </c>
      <c r="Z119">
        <v>0</v>
      </c>
    </row>
    <row r="120" spans="1:26">
      <c r="A120" s="1">
        <f>HYPERLINK("https://cms.ls-nyc.org/matter/dynamic-profile/view/0824624","17-0824624")</f>
        <v>0</v>
      </c>
      <c r="B120" t="s">
        <v>29</v>
      </c>
      <c r="C120" t="s">
        <v>40</v>
      </c>
      <c r="D120" t="s">
        <v>173</v>
      </c>
      <c r="E120" t="s">
        <v>554</v>
      </c>
      <c r="F120" t="s">
        <v>1010</v>
      </c>
      <c r="G120" t="s">
        <v>1292</v>
      </c>
      <c r="H120" t="s">
        <v>1375</v>
      </c>
      <c r="I120" t="s">
        <v>1379</v>
      </c>
      <c r="J120" t="s">
        <v>1383</v>
      </c>
      <c r="K120" t="s">
        <v>1385</v>
      </c>
      <c r="M120" t="s">
        <v>1390</v>
      </c>
      <c r="P120" t="s">
        <v>1398</v>
      </c>
      <c r="Q120">
        <v>0</v>
      </c>
      <c r="R120">
        <v>0</v>
      </c>
      <c r="S120">
        <v>21414</v>
      </c>
      <c r="T120">
        <v>665</v>
      </c>
      <c r="U120" t="s">
        <v>1432</v>
      </c>
      <c r="V120" t="s">
        <v>1537</v>
      </c>
      <c r="W120">
        <v>21414</v>
      </c>
      <c r="X120">
        <v>0</v>
      </c>
      <c r="Y120">
        <v>665</v>
      </c>
      <c r="Z120">
        <v>0</v>
      </c>
    </row>
    <row r="121" spans="1:26">
      <c r="A121" s="1">
        <f>HYPERLINK("https://cms.ls-nyc.org/matter/dynamic-profile/view/0824633","17-0824633")</f>
        <v>0</v>
      </c>
      <c r="B121" t="s">
        <v>29</v>
      </c>
      <c r="C121" t="s">
        <v>40</v>
      </c>
      <c r="D121" t="s">
        <v>101</v>
      </c>
      <c r="E121" t="s">
        <v>610</v>
      </c>
      <c r="F121" t="s">
        <v>1010</v>
      </c>
      <c r="G121" t="s">
        <v>1233</v>
      </c>
      <c r="H121" t="s">
        <v>1375</v>
      </c>
      <c r="I121" t="s">
        <v>1379</v>
      </c>
      <c r="J121" t="s">
        <v>1383</v>
      </c>
      <c r="K121" t="s">
        <v>1385</v>
      </c>
      <c r="M121" t="s">
        <v>1391</v>
      </c>
      <c r="P121" t="s">
        <v>1400</v>
      </c>
      <c r="Q121">
        <v>0</v>
      </c>
      <c r="R121">
        <v>0</v>
      </c>
      <c r="S121">
        <v>0</v>
      </c>
      <c r="T121">
        <v>0</v>
      </c>
      <c r="U121" t="s">
        <v>1404</v>
      </c>
      <c r="V121" t="s">
        <v>1404</v>
      </c>
      <c r="W121">
        <v>0</v>
      </c>
      <c r="X121">
        <v>0</v>
      </c>
      <c r="Y121">
        <v>0</v>
      </c>
      <c r="Z121">
        <v>0</v>
      </c>
    </row>
    <row r="122" spans="1:26">
      <c r="A122" s="1">
        <f>HYPERLINK("https://cms.ls-nyc.org/matter/dynamic-profile/view/0825122","17-0825122")</f>
        <v>0</v>
      </c>
      <c r="B122" t="s">
        <v>29</v>
      </c>
      <c r="C122" t="s">
        <v>42</v>
      </c>
      <c r="D122" t="s">
        <v>160</v>
      </c>
      <c r="E122" t="s">
        <v>611</v>
      </c>
      <c r="F122" t="s">
        <v>1011</v>
      </c>
      <c r="G122" t="s">
        <v>1186</v>
      </c>
      <c r="H122" t="s">
        <v>1375</v>
      </c>
      <c r="I122" t="s">
        <v>1379</v>
      </c>
      <c r="J122" t="s">
        <v>1382</v>
      </c>
      <c r="K122" t="s">
        <v>1385</v>
      </c>
      <c r="M122" t="s">
        <v>1389</v>
      </c>
      <c r="P122" t="s">
        <v>1400</v>
      </c>
      <c r="Q122">
        <v>0</v>
      </c>
      <c r="R122">
        <v>0</v>
      </c>
      <c r="S122">
        <v>0</v>
      </c>
      <c r="T122">
        <v>0</v>
      </c>
      <c r="U122" t="s">
        <v>1404</v>
      </c>
      <c r="V122" t="s">
        <v>1404</v>
      </c>
      <c r="W122">
        <v>0</v>
      </c>
      <c r="X122">
        <v>0</v>
      </c>
      <c r="Y122">
        <v>0</v>
      </c>
      <c r="Z122">
        <v>0</v>
      </c>
    </row>
    <row r="123" spans="1:26">
      <c r="A123" s="1">
        <f>HYPERLINK("https://cms.ls-nyc.org/matter/dynamic-profile/view/0825402","17-0825402")</f>
        <v>0</v>
      </c>
      <c r="B123" t="s">
        <v>26</v>
      </c>
      <c r="C123" t="s">
        <v>51</v>
      </c>
      <c r="D123" t="s">
        <v>174</v>
      </c>
      <c r="E123" t="s">
        <v>602</v>
      </c>
      <c r="F123" t="s">
        <v>1012</v>
      </c>
      <c r="G123" t="s">
        <v>1282</v>
      </c>
      <c r="H123" t="s">
        <v>1375</v>
      </c>
      <c r="I123" t="s">
        <v>1379</v>
      </c>
      <c r="J123" t="s">
        <v>1383</v>
      </c>
      <c r="K123" t="s">
        <v>1385</v>
      </c>
      <c r="M123" t="s">
        <v>1390</v>
      </c>
      <c r="P123" t="s">
        <v>1398</v>
      </c>
      <c r="Q123">
        <v>0</v>
      </c>
      <c r="R123">
        <v>0</v>
      </c>
      <c r="S123">
        <v>11103</v>
      </c>
      <c r="T123">
        <v>791</v>
      </c>
      <c r="U123" t="s">
        <v>1433</v>
      </c>
      <c r="V123" t="s">
        <v>1538</v>
      </c>
      <c r="W123">
        <v>11103</v>
      </c>
      <c r="X123">
        <v>269</v>
      </c>
      <c r="Y123">
        <v>522</v>
      </c>
      <c r="Z123">
        <v>0</v>
      </c>
    </row>
    <row r="124" spans="1:26">
      <c r="A124" s="1">
        <f>HYPERLINK("https://cms.ls-nyc.org/matter/dynamic-profile/view/0825803","17-0825803")</f>
        <v>0</v>
      </c>
      <c r="B124" t="s">
        <v>26</v>
      </c>
      <c r="C124" t="s">
        <v>31</v>
      </c>
      <c r="D124" t="s">
        <v>175</v>
      </c>
      <c r="E124" t="s">
        <v>612</v>
      </c>
      <c r="F124" t="s">
        <v>1013</v>
      </c>
      <c r="G124" t="s">
        <v>1305</v>
      </c>
      <c r="H124" t="s">
        <v>1375</v>
      </c>
      <c r="I124" t="s">
        <v>1379</v>
      </c>
      <c r="J124" t="s">
        <v>1382</v>
      </c>
      <c r="K124" t="s">
        <v>1385</v>
      </c>
      <c r="M124" t="s">
        <v>1391</v>
      </c>
      <c r="P124" t="s">
        <v>1399</v>
      </c>
      <c r="Q124">
        <v>0</v>
      </c>
      <c r="R124">
        <v>0</v>
      </c>
      <c r="S124">
        <v>0</v>
      </c>
      <c r="T124">
        <v>0</v>
      </c>
      <c r="U124" t="s">
        <v>1404</v>
      </c>
      <c r="V124" t="s">
        <v>1404</v>
      </c>
      <c r="W124">
        <v>0</v>
      </c>
      <c r="X124">
        <v>0</v>
      </c>
      <c r="Y124">
        <v>0</v>
      </c>
      <c r="Z124">
        <v>0</v>
      </c>
    </row>
    <row r="125" spans="1:26">
      <c r="A125" s="1">
        <f>HYPERLINK("https://cms.ls-nyc.org/matter/dynamic-profile/view/0825923","17-0825923")</f>
        <v>0</v>
      </c>
      <c r="B125" t="s">
        <v>27</v>
      </c>
      <c r="C125" t="s">
        <v>50</v>
      </c>
      <c r="D125" t="s">
        <v>176</v>
      </c>
      <c r="E125" t="s">
        <v>613</v>
      </c>
      <c r="F125" t="s">
        <v>1013</v>
      </c>
      <c r="G125" t="s">
        <v>1304</v>
      </c>
      <c r="H125" t="s">
        <v>1375</v>
      </c>
      <c r="I125" t="s">
        <v>1379</v>
      </c>
      <c r="J125" t="s">
        <v>1382</v>
      </c>
      <c r="K125" t="s">
        <v>1385</v>
      </c>
      <c r="M125" t="s">
        <v>1390</v>
      </c>
      <c r="P125" t="s">
        <v>1398</v>
      </c>
      <c r="Q125">
        <v>0</v>
      </c>
      <c r="R125">
        <v>0</v>
      </c>
      <c r="S125">
        <v>18853</v>
      </c>
      <c r="T125">
        <v>753</v>
      </c>
      <c r="U125" t="s">
        <v>1434</v>
      </c>
      <c r="V125" t="s">
        <v>1539</v>
      </c>
      <c r="W125">
        <v>18853</v>
      </c>
      <c r="X125">
        <v>753</v>
      </c>
      <c r="Y125">
        <v>0</v>
      </c>
      <c r="Z125">
        <v>0</v>
      </c>
    </row>
    <row r="126" spans="1:26">
      <c r="A126" s="1">
        <f>HYPERLINK("https://cms.ls-nyc.org/matter/dynamic-profile/view/0826021","17-0826021")</f>
        <v>0</v>
      </c>
      <c r="B126" t="s">
        <v>29</v>
      </c>
      <c r="C126" t="s">
        <v>44</v>
      </c>
      <c r="D126" t="s">
        <v>177</v>
      </c>
      <c r="E126" t="s">
        <v>537</v>
      </c>
      <c r="F126" t="s">
        <v>1014</v>
      </c>
      <c r="G126" t="s">
        <v>1301</v>
      </c>
      <c r="H126" t="s">
        <v>1375</v>
      </c>
      <c r="I126" t="s">
        <v>1379</v>
      </c>
      <c r="J126" t="s">
        <v>1382</v>
      </c>
      <c r="K126" t="s">
        <v>1385</v>
      </c>
      <c r="M126" t="s">
        <v>1389</v>
      </c>
      <c r="P126" t="s">
        <v>1400</v>
      </c>
      <c r="Q126">
        <v>0</v>
      </c>
      <c r="R126">
        <v>0</v>
      </c>
      <c r="S126">
        <v>0</v>
      </c>
      <c r="T126">
        <v>0</v>
      </c>
      <c r="U126" t="s">
        <v>1404</v>
      </c>
      <c r="V126" t="s">
        <v>1404</v>
      </c>
      <c r="W126">
        <v>0</v>
      </c>
      <c r="X126">
        <v>0</v>
      </c>
      <c r="Y126">
        <v>0</v>
      </c>
      <c r="Z126">
        <v>0</v>
      </c>
    </row>
    <row r="127" spans="1:26">
      <c r="A127" s="1">
        <f>HYPERLINK("https://cms.ls-nyc.org/matter/dynamic-profile/view/0826048","17-0826048")</f>
        <v>0</v>
      </c>
      <c r="B127" t="s">
        <v>28</v>
      </c>
      <c r="C127" t="s">
        <v>34</v>
      </c>
      <c r="D127" t="s">
        <v>178</v>
      </c>
      <c r="E127" t="s">
        <v>535</v>
      </c>
      <c r="F127" t="s">
        <v>1014</v>
      </c>
      <c r="G127" t="s">
        <v>1305</v>
      </c>
      <c r="H127" t="s">
        <v>1375</v>
      </c>
      <c r="I127" t="s">
        <v>1379</v>
      </c>
      <c r="J127" t="s">
        <v>1382</v>
      </c>
      <c r="K127" t="s">
        <v>1385</v>
      </c>
      <c r="M127" t="s">
        <v>1390</v>
      </c>
      <c r="P127" t="s">
        <v>1398</v>
      </c>
      <c r="Q127">
        <v>0</v>
      </c>
      <c r="R127">
        <v>0</v>
      </c>
      <c r="S127">
        <v>21249</v>
      </c>
      <c r="T127">
        <v>837</v>
      </c>
      <c r="U127" t="s">
        <v>1405</v>
      </c>
      <c r="V127" t="s">
        <v>1540</v>
      </c>
      <c r="W127">
        <v>21241</v>
      </c>
      <c r="X127">
        <v>837</v>
      </c>
      <c r="Y127">
        <v>0</v>
      </c>
      <c r="Z127">
        <v>0</v>
      </c>
    </row>
    <row r="128" spans="1:26">
      <c r="A128" s="1">
        <f>HYPERLINK("https://cms.ls-nyc.org/matter/dynamic-profile/view/0826879","17-0826879")</f>
        <v>0</v>
      </c>
      <c r="B128" t="s">
        <v>26</v>
      </c>
      <c r="C128" t="s">
        <v>46</v>
      </c>
      <c r="D128" t="s">
        <v>179</v>
      </c>
      <c r="E128" t="s">
        <v>614</v>
      </c>
      <c r="F128" t="s">
        <v>1015</v>
      </c>
      <c r="G128" t="s">
        <v>1316</v>
      </c>
      <c r="J128" t="s">
        <v>1383</v>
      </c>
      <c r="K128" t="s">
        <v>1385</v>
      </c>
      <c r="M128" t="s">
        <v>1390</v>
      </c>
      <c r="Q128">
        <v>0</v>
      </c>
      <c r="R128">
        <v>0</v>
      </c>
      <c r="S128">
        <v>0</v>
      </c>
      <c r="T128">
        <v>0</v>
      </c>
      <c r="U128" t="s">
        <v>1404</v>
      </c>
      <c r="V128" t="s">
        <v>1404</v>
      </c>
      <c r="W128">
        <v>0</v>
      </c>
      <c r="X128">
        <v>0</v>
      </c>
      <c r="Y128">
        <v>0</v>
      </c>
      <c r="Z128">
        <v>0</v>
      </c>
    </row>
    <row r="129" spans="1:26">
      <c r="A129" s="1">
        <f>HYPERLINK("https://cms.ls-nyc.org/matter/dynamic-profile/view/0827122","17-0827122")</f>
        <v>0</v>
      </c>
      <c r="B129" t="s">
        <v>29</v>
      </c>
      <c r="C129" t="s">
        <v>42</v>
      </c>
      <c r="D129" t="s">
        <v>180</v>
      </c>
      <c r="E129" t="s">
        <v>615</v>
      </c>
      <c r="F129" t="s">
        <v>1016</v>
      </c>
      <c r="G129" t="s">
        <v>1317</v>
      </c>
      <c r="H129" t="s">
        <v>1375</v>
      </c>
      <c r="I129" t="s">
        <v>1379</v>
      </c>
      <c r="J129" t="s">
        <v>1383</v>
      </c>
      <c r="K129" t="s">
        <v>1385</v>
      </c>
      <c r="M129" t="s">
        <v>1389</v>
      </c>
      <c r="P129" t="s">
        <v>1400</v>
      </c>
      <c r="Q129">
        <v>0</v>
      </c>
      <c r="R129">
        <v>0</v>
      </c>
      <c r="S129">
        <v>0</v>
      </c>
      <c r="T129">
        <v>0</v>
      </c>
      <c r="U129" t="s">
        <v>1404</v>
      </c>
      <c r="V129" t="s">
        <v>1404</v>
      </c>
      <c r="W129">
        <v>0</v>
      </c>
      <c r="X129">
        <v>0</v>
      </c>
      <c r="Y129">
        <v>0</v>
      </c>
      <c r="Z129">
        <v>0</v>
      </c>
    </row>
    <row r="130" spans="1:26">
      <c r="A130" s="1">
        <f>HYPERLINK("https://cms.ls-nyc.org/matter/dynamic-profile/view/0827476","17-0827476")</f>
        <v>0</v>
      </c>
      <c r="B130" t="s">
        <v>26</v>
      </c>
      <c r="C130" t="s">
        <v>51</v>
      </c>
      <c r="D130" t="s">
        <v>181</v>
      </c>
      <c r="E130" t="s">
        <v>616</v>
      </c>
      <c r="F130" t="s">
        <v>1017</v>
      </c>
      <c r="G130" t="s">
        <v>1318</v>
      </c>
      <c r="H130" t="s">
        <v>1375</v>
      </c>
      <c r="I130" t="s">
        <v>1380</v>
      </c>
      <c r="J130" t="s">
        <v>1383</v>
      </c>
      <c r="K130" t="s">
        <v>1385</v>
      </c>
      <c r="M130" t="s">
        <v>1394</v>
      </c>
      <c r="P130" t="s">
        <v>1398</v>
      </c>
      <c r="Q130">
        <v>0</v>
      </c>
      <c r="R130">
        <v>0</v>
      </c>
      <c r="S130">
        <v>0</v>
      </c>
      <c r="T130">
        <v>0</v>
      </c>
      <c r="U130" t="s">
        <v>1409</v>
      </c>
      <c r="V130" t="s">
        <v>1404</v>
      </c>
      <c r="W130">
        <v>0</v>
      </c>
      <c r="X130">
        <v>735</v>
      </c>
      <c r="Y130">
        <v>0</v>
      </c>
      <c r="Z130">
        <v>0</v>
      </c>
    </row>
    <row r="131" spans="1:26">
      <c r="A131" s="1">
        <f>HYPERLINK("https://cms.ls-nyc.org/matter/dynamic-profile/view/0827972","17-0827972")</f>
        <v>0</v>
      </c>
      <c r="B131" t="s">
        <v>26</v>
      </c>
      <c r="C131" t="s">
        <v>31</v>
      </c>
      <c r="D131" t="s">
        <v>182</v>
      </c>
      <c r="E131" t="s">
        <v>617</v>
      </c>
      <c r="F131" t="s">
        <v>1018</v>
      </c>
      <c r="G131" t="s">
        <v>1265</v>
      </c>
      <c r="H131" t="s">
        <v>1376</v>
      </c>
      <c r="I131" t="s">
        <v>1379</v>
      </c>
      <c r="J131" t="s">
        <v>1382</v>
      </c>
      <c r="K131" t="s">
        <v>1385</v>
      </c>
      <c r="M131" t="s">
        <v>1395</v>
      </c>
      <c r="P131" t="s">
        <v>1402</v>
      </c>
      <c r="Q131">
        <v>0</v>
      </c>
      <c r="R131">
        <v>0</v>
      </c>
      <c r="S131">
        <v>0</v>
      </c>
      <c r="T131">
        <v>0</v>
      </c>
      <c r="U131" t="s">
        <v>1404</v>
      </c>
      <c r="V131" t="s">
        <v>1404</v>
      </c>
      <c r="W131">
        <v>0</v>
      </c>
      <c r="X131">
        <v>0</v>
      </c>
      <c r="Y131">
        <v>0</v>
      </c>
      <c r="Z131">
        <v>0</v>
      </c>
    </row>
    <row r="132" spans="1:26">
      <c r="A132" s="1">
        <f>HYPERLINK("https://cms.ls-nyc.org/matter/dynamic-profile/view/0828032","17-0828032")</f>
        <v>0</v>
      </c>
      <c r="B132" t="s">
        <v>29</v>
      </c>
      <c r="C132" t="s">
        <v>44</v>
      </c>
      <c r="D132" t="s">
        <v>183</v>
      </c>
      <c r="E132" t="s">
        <v>618</v>
      </c>
      <c r="F132" t="s">
        <v>1018</v>
      </c>
      <c r="G132" t="s">
        <v>1241</v>
      </c>
      <c r="H132" t="s">
        <v>1375</v>
      </c>
      <c r="I132" t="s">
        <v>1379</v>
      </c>
      <c r="J132" t="s">
        <v>1382</v>
      </c>
      <c r="K132" t="s">
        <v>1385</v>
      </c>
      <c r="M132" t="s">
        <v>1390</v>
      </c>
      <c r="P132" t="s">
        <v>1397</v>
      </c>
      <c r="Q132">
        <v>0</v>
      </c>
      <c r="R132">
        <v>0</v>
      </c>
      <c r="S132">
        <v>0</v>
      </c>
      <c r="T132">
        <v>0</v>
      </c>
      <c r="U132" t="s">
        <v>1404</v>
      </c>
      <c r="V132" t="s">
        <v>1404</v>
      </c>
      <c r="W132">
        <v>0</v>
      </c>
      <c r="X132">
        <v>0</v>
      </c>
      <c r="Y132">
        <v>0</v>
      </c>
      <c r="Z132">
        <v>0</v>
      </c>
    </row>
    <row r="133" spans="1:26">
      <c r="A133" s="1">
        <f>HYPERLINK("https://cms.ls-nyc.org/matter/dynamic-profile/view/0828283","17-0828283")</f>
        <v>0</v>
      </c>
      <c r="B133" t="s">
        <v>29</v>
      </c>
      <c r="C133" t="s">
        <v>44</v>
      </c>
      <c r="D133" t="s">
        <v>184</v>
      </c>
      <c r="E133" t="s">
        <v>619</v>
      </c>
      <c r="F133" t="s">
        <v>1019</v>
      </c>
      <c r="G133" t="s">
        <v>1263</v>
      </c>
      <c r="H133" t="s">
        <v>1375</v>
      </c>
      <c r="I133" t="s">
        <v>1379</v>
      </c>
      <c r="J133" t="s">
        <v>1382</v>
      </c>
      <c r="K133" t="s">
        <v>1385</v>
      </c>
      <c r="M133" t="s">
        <v>1390</v>
      </c>
      <c r="P133" t="s">
        <v>1398</v>
      </c>
      <c r="Q133">
        <v>0</v>
      </c>
      <c r="R133">
        <v>0</v>
      </c>
      <c r="S133">
        <v>33162</v>
      </c>
      <c r="T133">
        <v>750</v>
      </c>
      <c r="U133" t="s">
        <v>1408</v>
      </c>
      <c r="V133" t="s">
        <v>1541</v>
      </c>
      <c r="W133">
        <v>33162</v>
      </c>
      <c r="X133">
        <v>750</v>
      </c>
      <c r="Y133">
        <v>0</v>
      </c>
      <c r="Z133">
        <v>0</v>
      </c>
    </row>
    <row r="134" spans="1:26">
      <c r="A134" s="1">
        <f>HYPERLINK("https://cms.ls-nyc.org/matter/dynamic-profile/view/0828499","17-0828499")</f>
        <v>0</v>
      </c>
      <c r="B134" t="s">
        <v>26</v>
      </c>
      <c r="C134" t="s">
        <v>51</v>
      </c>
      <c r="D134" t="s">
        <v>185</v>
      </c>
      <c r="E134" t="s">
        <v>620</v>
      </c>
      <c r="F134" t="s">
        <v>1020</v>
      </c>
      <c r="G134" t="s">
        <v>1272</v>
      </c>
      <c r="H134" t="s">
        <v>1375</v>
      </c>
      <c r="I134" t="s">
        <v>1379</v>
      </c>
      <c r="J134" t="s">
        <v>1383</v>
      </c>
      <c r="K134" t="s">
        <v>1385</v>
      </c>
      <c r="M134" t="s">
        <v>1390</v>
      </c>
      <c r="P134" t="s">
        <v>1398</v>
      </c>
      <c r="Q134">
        <v>0</v>
      </c>
      <c r="R134">
        <v>0</v>
      </c>
      <c r="S134">
        <v>107698</v>
      </c>
      <c r="T134">
        <v>2412.5</v>
      </c>
      <c r="U134" t="s">
        <v>1435</v>
      </c>
      <c r="V134" t="s">
        <v>1542</v>
      </c>
      <c r="W134">
        <v>102334</v>
      </c>
      <c r="X134">
        <v>0</v>
      </c>
      <c r="Y134">
        <v>2412.5</v>
      </c>
      <c r="Z134">
        <v>5364</v>
      </c>
    </row>
    <row r="135" spans="1:26">
      <c r="A135" s="1">
        <f>HYPERLINK("https://cms.ls-nyc.org/matter/dynamic-profile/view/0829101","17-0829101")</f>
        <v>0</v>
      </c>
      <c r="B135" t="s">
        <v>29</v>
      </c>
      <c r="C135" t="s">
        <v>42</v>
      </c>
      <c r="D135" t="s">
        <v>64</v>
      </c>
      <c r="E135" t="s">
        <v>554</v>
      </c>
      <c r="F135" t="s">
        <v>1021</v>
      </c>
      <c r="G135" t="s">
        <v>1252</v>
      </c>
      <c r="H135" t="s">
        <v>1375</v>
      </c>
      <c r="I135" t="s">
        <v>1379</v>
      </c>
      <c r="J135" t="s">
        <v>1383</v>
      </c>
      <c r="K135" t="s">
        <v>1385</v>
      </c>
      <c r="M135" t="s">
        <v>1389</v>
      </c>
      <c r="P135" t="s">
        <v>1400</v>
      </c>
      <c r="Q135">
        <v>0</v>
      </c>
      <c r="R135">
        <v>0</v>
      </c>
      <c r="S135">
        <v>0</v>
      </c>
      <c r="T135">
        <v>0</v>
      </c>
      <c r="U135" t="s">
        <v>1404</v>
      </c>
      <c r="V135" t="s">
        <v>1404</v>
      </c>
      <c r="W135">
        <v>0</v>
      </c>
      <c r="X135">
        <v>0</v>
      </c>
      <c r="Y135">
        <v>0</v>
      </c>
      <c r="Z135">
        <v>0</v>
      </c>
    </row>
    <row r="136" spans="1:26">
      <c r="A136" s="1">
        <f>HYPERLINK("https://cms.ls-nyc.org/matter/dynamic-profile/view/0829509","17-0829509")</f>
        <v>0</v>
      </c>
      <c r="B136" t="s">
        <v>27</v>
      </c>
      <c r="C136" t="s">
        <v>50</v>
      </c>
      <c r="D136" t="s">
        <v>186</v>
      </c>
      <c r="E136" t="s">
        <v>621</v>
      </c>
      <c r="F136" t="s">
        <v>1022</v>
      </c>
      <c r="G136" t="s">
        <v>1319</v>
      </c>
      <c r="H136" t="s">
        <v>1378</v>
      </c>
      <c r="I136" t="s">
        <v>1378</v>
      </c>
      <c r="J136" t="s">
        <v>1382</v>
      </c>
      <c r="K136" t="s">
        <v>1385</v>
      </c>
      <c r="M136" t="s">
        <v>1389</v>
      </c>
      <c r="P136" t="s">
        <v>1400</v>
      </c>
      <c r="Q136">
        <v>0</v>
      </c>
      <c r="R136">
        <v>0</v>
      </c>
      <c r="S136">
        <v>0</v>
      </c>
      <c r="T136">
        <v>0</v>
      </c>
      <c r="U136" t="s">
        <v>1404</v>
      </c>
      <c r="V136" t="s">
        <v>1404</v>
      </c>
      <c r="W136">
        <v>0</v>
      </c>
      <c r="X136">
        <v>0</v>
      </c>
      <c r="Y136">
        <v>0</v>
      </c>
      <c r="Z136">
        <v>0</v>
      </c>
    </row>
    <row r="137" spans="1:26">
      <c r="A137" s="1">
        <f>HYPERLINK("https://cms.ls-nyc.org/matter/dynamic-profile/view/0829959","17-0829959")</f>
        <v>0</v>
      </c>
      <c r="B137" t="s">
        <v>29</v>
      </c>
      <c r="C137" t="s">
        <v>42</v>
      </c>
      <c r="D137" t="s">
        <v>187</v>
      </c>
      <c r="E137" t="s">
        <v>267</v>
      </c>
      <c r="F137" t="s">
        <v>1023</v>
      </c>
      <c r="G137" t="s">
        <v>1320</v>
      </c>
      <c r="H137" t="s">
        <v>1375</v>
      </c>
      <c r="I137" t="s">
        <v>1379</v>
      </c>
      <c r="J137" t="s">
        <v>1382</v>
      </c>
      <c r="K137" t="s">
        <v>1385</v>
      </c>
      <c r="M137" t="s">
        <v>1389</v>
      </c>
      <c r="P137" t="s">
        <v>1400</v>
      </c>
      <c r="Q137">
        <v>0</v>
      </c>
      <c r="R137">
        <v>0</v>
      </c>
      <c r="S137">
        <v>0</v>
      </c>
      <c r="T137">
        <v>0</v>
      </c>
      <c r="U137" t="s">
        <v>1404</v>
      </c>
      <c r="V137" t="s">
        <v>1404</v>
      </c>
      <c r="W137">
        <v>0</v>
      </c>
      <c r="X137">
        <v>0</v>
      </c>
      <c r="Y137">
        <v>0</v>
      </c>
      <c r="Z137">
        <v>0</v>
      </c>
    </row>
    <row r="138" spans="1:26">
      <c r="A138" s="1">
        <f>HYPERLINK("https://cms.ls-nyc.org/matter/dynamic-profile/view/0830177","17-0830177")</f>
        <v>0</v>
      </c>
      <c r="B138" t="s">
        <v>26</v>
      </c>
      <c r="C138" t="s">
        <v>51</v>
      </c>
      <c r="D138" t="s">
        <v>188</v>
      </c>
      <c r="E138" t="s">
        <v>622</v>
      </c>
      <c r="F138" t="s">
        <v>1024</v>
      </c>
      <c r="G138" t="s">
        <v>1291</v>
      </c>
      <c r="H138" t="s">
        <v>1375</v>
      </c>
      <c r="I138" t="s">
        <v>1379</v>
      </c>
      <c r="J138" t="s">
        <v>1382</v>
      </c>
      <c r="K138" t="s">
        <v>1385</v>
      </c>
      <c r="M138" t="s">
        <v>1390</v>
      </c>
      <c r="P138" t="s">
        <v>1398</v>
      </c>
      <c r="Q138">
        <v>0</v>
      </c>
      <c r="R138">
        <v>0</v>
      </c>
      <c r="S138">
        <v>26000</v>
      </c>
      <c r="T138">
        <v>763</v>
      </c>
      <c r="U138" t="s">
        <v>1436</v>
      </c>
      <c r="V138" t="s">
        <v>1543</v>
      </c>
      <c r="W138">
        <v>26000</v>
      </c>
      <c r="X138">
        <v>0</v>
      </c>
      <c r="Y138">
        <v>763</v>
      </c>
      <c r="Z138">
        <v>0</v>
      </c>
    </row>
    <row r="139" spans="1:26">
      <c r="A139" s="1">
        <f>HYPERLINK("https://cms.ls-nyc.org/matter/dynamic-profile/view/0830676","17-0830676")</f>
        <v>0</v>
      </c>
      <c r="B139" t="s">
        <v>26</v>
      </c>
      <c r="C139" t="s">
        <v>31</v>
      </c>
      <c r="D139" t="s">
        <v>160</v>
      </c>
      <c r="E139" t="s">
        <v>567</v>
      </c>
      <c r="F139" t="s">
        <v>1025</v>
      </c>
      <c r="G139" t="s">
        <v>1229</v>
      </c>
      <c r="H139" t="s">
        <v>1375</v>
      </c>
      <c r="I139" t="s">
        <v>1380</v>
      </c>
      <c r="J139" t="s">
        <v>1382</v>
      </c>
      <c r="K139" t="s">
        <v>1385</v>
      </c>
      <c r="M139" t="s">
        <v>1391</v>
      </c>
      <c r="P139" t="s">
        <v>1400</v>
      </c>
      <c r="Q139">
        <v>0</v>
      </c>
      <c r="R139">
        <v>0</v>
      </c>
      <c r="S139">
        <v>0</v>
      </c>
      <c r="T139">
        <v>0</v>
      </c>
      <c r="U139" t="s">
        <v>1404</v>
      </c>
      <c r="V139" t="s">
        <v>1404</v>
      </c>
      <c r="W139">
        <v>0</v>
      </c>
      <c r="X139">
        <v>0</v>
      </c>
      <c r="Y139">
        <v>0</v>
      </c>
      <c r="Z139">
        <v>0</v>
      </c>
    </row>
    <row r="140" spans="1:26">
      <c r="A140" s="1">
        <f>HYPERLINK("https://cms.ls-nyc.org/matter/dynamic-profile/view/0830961","17-0830961")</f>
        <v>0</v>
      </c>
      <c r="B140" t="s">
        <v>28</v>
      </c>
      <c r="C140" t="s">
        <v>52</v>
      </c>
      <c r="D140" t="s">
        <v>189</v>
      </c>
      <c r="E140" t="s">
        <v>623</v>
      </c>
      <c r="F140" t="s">
        <v>1026</v>
      </c>
      <c r="G140" t="s">
        <v>1305</v>
      </c>
      <c r="H140" t="s">
        <v>1375</v>
      </c>
      <c r="I140" t="s">
        <v>1379</v>
      </c>
      <c r="J140" t="s">
        <v>1383</v>
      </c>
      <c r="K140" t="s">
        <v>1385</v>
      </c>
      <c r="M140" t="s">
        <v>1390</v>
      </c>
      <c r="P140" t="s">
        <v>1398</v>
      </c>
      <c r="Q140">
        <v>0</v>
      </c>
      <c r="R140">
        <v>0</v>
      </c>
      <c r="S140">
        <v>20667</v>
      </c>
      <c r="T140">
        <v>1013</v>
      </c>
      <c r="U140" t="s">
        <v>1437</v>
      </c>
      <c r="V140" t="s">
        <v>1544</v>
      </c>
      <c r="W140">
        <v>9614.5</v>
      </c>
      <c r="X140">
        <v>0</v>
      </c>
      <c r="Y140">
        <v>1013</v>
      </c>
      <c r="Z140">
        <v>11052.5</v>
      </c>
    </row>
    <row r="141" spans="1:26">
      <c r="A141" s="1">
        <f>HYPERLINK("https://cms.ls-nyc.org/matter/dynamic-profile/view/0831343","17-0831343")</f>
        <v>0</v>
      </c>
      <c r="B141" t="s">
        <v>29</v>
      </c>
      <c r="C141" t="s">
        <v>44</v>
      </c>
      <c r="D141" t="s">
        <v>190</v>
      </c>
      <c r="E141" t="s">
        <v>624</v>
      </c>
      <c r="F141" t="s">
        <v>1027</v>
      </c>
      <c r="G141" t="s">
        <v>1257</v>
      </c>
      <c r="H141" t="s">
        <v>1375</v>
      </c>
      <c r="I141" t="s">
        <v>1379</v>
      </c>
      <c r="J141" t="s">
        <v>1383</v>
      </c>
      <c r="K141" t="s">
        <v>1385</v>
      </c>
      <c r="M141" t="s">
        <v>1390</v>
      </c>
      <c r="P141" t="s">
        <v>1398</v>
      </c>
      <c r="Q141">
        <v>0</v>
      </c>
      <c r="R141">
        <v>0</v>
      </c>
      <c r="S141">
        <v>48247</v>
      </c>
      <c r="T141">
        <v>968.3</v>
      </c>
      <c r="U141" t="s">
        <v>1438</v>
      </c>
      <c r="V141" t="s">
        <v>1545</v>
      </c>
      <c r="W141">
        <v>48247</v>
      </c>
      <c r="X141">
        <v>0</v>
      </c>
      <c r="Y141">
        <v>968.3</v>
      </c>
      <c r="Z141">
        <v>0</v>
      </c>
    </row>
    <row r="142" spans="1:26">
      <c r="A142" s="1">
        <f>HYPERLINK("https://cms.ls-nyc.org/matter/dynamic-profile/view/0831518","17-0831518")</f>
        <v>0</v>
      </c>
      <c r="B142" t="s">
        <v>27</v>
      </c>
      <c r="C142" t="s">
        <v>48</v>
      </c>
      <c r="D142" t="s">
        <v>191</v>
      </c>
      <c r="E142" t="s">
        <v>625</v>
      </c>
      <c r="F142" t="s">
        <v>1028</v>
      </c>
      <c r="G142" t="s">
        <v>1211</v>
      </c>
      <c r="H142" t="s">
        <v>1375</v>
      </c>
      <c r="I142" t="s">
        <v>1379</v>
      </c>
      <c r="J142" t="s">
        <v>1382</v>
      </c>
      <c r="K142" t="s">
        <v>1385</v>
      </c>
      <c r="M142" t="s">
        <v>1391</v>
      </c>
      <c r="P142" t="s">
        <v>1400</v>
      </c>
      <c r="Q142">
        <v>0</v>
      </c>
      <c r="R142">
        <v>0</v>
      </c>
      <c r="S142">
        <v>0</v>
      </c>
      <c r="T142">
        <v>0</v>
      </c>
      <c r="U142" t="s">
        <v>1404</v>
      </c>
      <c r="V142" t="s">
        <v>1404</v>
      </c>
      <c r="W142">
        <v>0</v>
      </c>
      <c r="X142">
        <v>0</v>
      </c>
      <c r="Y142">
        <v>0</v>
      </c>
      <c r="Z142">
        <v>0</v>
      </c>
    </row>
    <row r="143" spans="1:26">
      <c r="A143" s="1">
        <f>HYPERLINK("https://cms.ls-nyc.org/matter/dynamic-profile/view/0831839","17-0831839")</f>
        <v>0</v>
      </c>
      <c r="B143" t="s">
        <v>27</v>
      </c>
      <c r="C143" t="s">
        <v>32</v>
      </c>
      <c r="D143" t="s">
        <v>192</v>
      </c>
      <c r="E143" t="s">
        <v>554</v>
      </c>
      <c r="F143" t="s">
        <v>1029</v>
      </c>
      <c r="G143" t="s">
        <v>1292</v>
      </c>
      <c r="H143" t="s">
        <v>1375</v>
      </c>
      <c r="I143" t="s">
        <v>1379</v>
      </c>
      <c r="J143" t="s">
        <v>1382</v>
      </c>
      <c r="K143" t="s">
        <v>1385</v>
      </c>
      <c r="M143" t="s">
        <v>1390</v>
      </c>
      <c r="P143" t="s">
        <v>1398</v>
      </c>
      <c r="Q143">
        <v>0</v>
      </c>
      <c r="R143">
        <v>0</v>
      </c>
      <c r="S143">
        <v>11216</v>
      </c>
      <c r="T143">
        <v>705</v>
      </c>
      <c r="U143" t="s">
        <v>1439</v>
      </c>
      <c r="V143" t="s">
        <v>1546</v>
      </c>
      <c r="W143">
        <v>11216</v>
      </c>
      <c r="X143">
        <v>0</v>
      </c>
      <c r="Y143">
        <v>705</v>
      </c>
      <c r="Z143">
        <v>0</v>
      </c>
    </row>
    <row r="144" spans="1:26">
      <c r="A144" s="1">
        <f>HYPERLINK("https://cms.ls-nyc.org/matter/dynamic-profile/view/0832046","17-0832046")</f>
        <v>0</v>
      </c>
      <c r="B144" t="s">
        <v>27</v>
      </c>
      <c r="C144" t="s">
        <v>50</v>
      </c>
      <c r="D144" t="s">
        <v>193</v>
      </c>
      <c r="E144" t="s">
        <v>626</v>
      </c>
      <c r="F144" t="s">
        <v>1030</v>
      </c>
      <c r="G144" t="s">
        <v>1237</v>
      </c>
      <c r="H144" t="s">
        <v>1375</v>
      </c>
      <c r="I144" t="s">
        <v>1379</v>
      </c>
      <c r="J144" t="s">
        <v>1382</v>
      </c>
      <c r="K144" t="s">
        <v>1385</v>
      </c>
      <c r="M144" t="s">
        <v>1394</v>
      </c>
      <c r="P144" t="s">
        <v>1400</v>
      </c>
      <c r="Q144">
        <v>0</v>
      </c>
      <c r="R144">
        <v>0</v>
      </c>
      <c r="S144">
        <v>0</v>
      </c>
      <c r="T144">
        <v>0</v>
      </c>
      <c r="U144" t="s">
        <v>1404</v>
      </c>
      <c r="V144" t="s">
        <v>1404</v>
      </c>
      <c r="W144">
        <v>0</v>
      </c>
      <c r="X144">
        <v>0</v>
      </c>
      <c r="Y144">
        <v>0</v>
      </c>
      <c r="Z144">
        <v>0</v>
      </c>
    </row>
    <row r="145" spans="1:26">
      <c r="A145" s="1">
        <f>HYPERLINK("https://cms.ls-nyc.org/matter/dynamic-profile/view/1833020","17-1833020")</f>
        <v>0</v>
      </c>
      <c r="B145" t="s">
        <v>27</v>
      </c>
      <c r="C145" t="s">
        <v>33</v>
      </c>
      <c r="D145" t="s">
        <v>64</v>
      </c>
      <c r="E145" t="s">
        <v>627</v>
      </c>
      <c r="F145" t="s">
        <v>1031</v>
      </c>
      <c r="G145" t="s">
        <v>1186</v>
      </c>
      <c r="H145" t="s">
        <v>1375</v>
      </c>
      <c r="I145" t="s">
        <v>1379</v>
      </c>
      <c r="J145" t="s">
        <v>1382</v>
      </c>
      <c r="K145" t="s">
        <v>1385</v>
      </c>
      <c r="M145" t="s">
        <v>1390</v>
      </c>
      <c r="P145" t="s">
        <v>1398</v>
      </c>
      <c r="Q145">
        <v>0</v>
      </c>
      <c r="R145">
        <v>0</v>
      </c>
      <c r="S145">
        <v>4572</v>
      </c>
      <c r="T145">
        <v>261</v>
      </c>
      <c r="U145" t="s">
        <v>1440</v>
      </c>
      <c r="V145" t="s">
        <v>1547</v>
      </c>
      <c r="W145">
        <v>4572</v>
      </c>
      <c r="X145">
        <v>0</v>
      </c>
      <c r="Y145">
        <v>261</v>
      </c>
      <c r="Z145">
        <v>0</v>
      </c>
    </row>
    <row r="146" spans="1:26">
      <c r="A146" s="1">
        <f>HYPERLINK("https://cms.ls-nyc.org/matter/dynamic-profile/view/1833023","17-1833023")</f>
        <v>0</v>
      </c>
      <c r="B146" t="s">
        <v>27</v>
      </c>
      <c r="C146" t="s">
        <v>32</v>
      </c>
      <c r="D146" t="s">
        <v>194</v>
      </c>
      <c r="E146" t="s">
        <v>628</v>
      </c>
      <c r="F146" t="s">
        <v>1031</v>
      </c>
      <c r="G146" t="s">
        <v>1292</v>
      </c>
      <c r="H146" t="s">
        <v>1375</v>
      </c>
      <c r="I146" t="s">
        <v>1379</v>
      </c>
      <c r="J146" t="s">
        <v>1382</v>
      </c>
      <c r="K146" t="s">
        <v>1385</v>
      </c>
      <c r="M146" t="s">
        <v>1390</v>
      </c>
      <c r="P146" t="s">
        <v>1398</v>
      </c>
      <c r="Q146">
        <v>0</v>
      </c>
      <c r="R146">
        <v>0</v>
      </c>
      <c r="S146">
        <v>21434</v>
      </c>
      <c r="T146">
        <v>837</v>
      </c>
      <c r="U146" t="s">
        <v>1405</v>
      </c>
      <c r="V146" t="s">
        <v>1548</v>
      </c>
      <c r="W146">
        <v>21434</v>
      </c>
      <c r="X146">
        <v>837</v>
      </c>
      <c r="Y146">
        <v>0</v>
      </c>
      <c r="Z146">
        <v>5307</v>
      </c>
    </row>
    <row r="147" spans="1:26">
      <c r="A147" s="1">
        <f>HYPERLINK("https://cms.ls-nyc.org/matter/dynamic-profile/view/1833384","17-1833384")</f>
        <v>0</v>
      </c>
      <c r="B147" t="s">
        <v>26</v>
      </c>
      <c r="C147" t="s">
        <v>51</v>
      </c>
      <c r="D147" t="s">
        <v>195</v>
      </c>
      <c r="E147" t="s">
        <v>629</v>
      </c>
      <c r="F147" t="s">
        <v>1032</v>
      </c>
      <c r="G147" t="s">
        <v>1272</v>
      </c>
      <c r="H147" t="s">
        <v>1375</v>
      </c>
      <c r="I147" t="s">
        <v>1379</v>
      </c>
      <c r="J147" t="s">
        <v>1382</v>
      </c>
      <c r="K147" t="s">
        <v>1385</v>
      </c>
      <c r="M147" t="s">
        <v>1390</v>
      </c>
      <c r="P147" t="s">
        <v>1398</v>
      </c>
      <c r="Q147">
        <v>0</v>
      </c>
      <c r="R147">
        <v>0</v>
      </c>
      <c r="S147">
        <v>19286</v>
      </c>
      <c r="T147">
        <v>771</v>
      </c>
      <c r="U147" t="s">
        <v>1424</v>
      </c>
      <c r="V147" t="s">
        <v>1549</v>
      </c>
      <c r="W147">
        <v>6338</v>
      </c>
      <c r="X147">
        <v>771</v>
      </c>
      <c r="Y147">
        <v>0</v>
      </c>
      <c r="Z147">
        <v>12948</v>
      </c>
    </row>
    <row r="148" spans="1:26">
      <c r="A148" s="1">
        <f>HYPERLINK("https://cms.ls-nyc.org/matter/dynamic-profile/view/1833616","17-1833616")</f>
        <v>0</v>
      </c>
      <c r="B148" t="s">
        <v>27</v>
      </c>
      <c r="C148" t="s">
        <v>38</v>
      </c>
      <c r="D148" t="s">
        <v>196</v>
      </c>
      <c r="E148" t="s">
        <v>630</v>
      </c>
      <c r="F148" t="s">
        <v>1033</v>
      </c>
      <c r="G148" t="s">
        <v>1194</v>
      </c>
      <c r="H148" t="s">
        <v>1375</v>
      </c>
      <c r="I148" t="s">
        <v>1379</v>
      </c>
      <c r="J148" t="s">
        <v>1382</v>
      </c>
      <c r="K148" t="s">
        <v>1385</v>
      </c>
      <c r="M148" t="s">
        <v>1390</v>
      </c>
      <c r="P148" t="s">
        <v>1398</v>
      </c>
      <c r="Q148">
        <v>0</v>
      </c>
      <c r="R148">
        <v>0</v>
      </c>
      <c r="S148">
        <v>27750</v>
      </c>
      <c r="T148">
        <v>750</v>
      </c>
      <c r="U148" t="s">
        <v>1408</v>
      </c>
      <c r="V148" t="s">
        <v>1550</v>
      </c>
      <c r="W148">
        <v>27750</v>
      </c>
      <c r="X148">
        <v>750</v>
      </c>
      <c r="Y148">
        <v>0</v>
      </c>
      <c r="Z148">
        <v>0</v>
      </c>
    </row>
    <row r="149" spans="1:26">
      <c r="A149" s="1">
        <f>HYPERLINK("https://cms.ls-nyc.org/matter/dynamic-profile/view/1834170","17-1834170")</f>
        <v>0</v>
      </c>
      <c r="B149" t="s">
        <v>27</v>
      </c>
      <c r="C149" t="s">
        <v>37</v>
      </c>
      <c r="D149" t="s">
        <v>197</v>
      </c>
      <c r="E149" t="s">
        <v>631</v>
      </c>
      <c r="F149" t="s">
        <v>1034</v>
      </c>
      <c r="G149" t="s">
        <v>1292</v>
      </c>
      <c r="H149" t="s">
        <v>1375</v>
      </c>
      <c r="I149" t="s">
        <v>1379</v>
      </c>
      <c r="J149" t="s">
        <v>1382</v>
      </c>
      <c r="K149" t="s">
        <v>1385</v>
      </c>
      <c r="L149" t="s">
        <v>1385</v>
      </c>
      <c r="M149" t="s">
        <v>1389</v>
      </c>
      <c r="P149" t="s">
        <v>1400</v>
      </c>
      <c r="Q149">
        <v>0</v>
      </c>
      <c r="R149">
        <v>0</v>
      </c>
      <c r="S149">
        <v>0</v>
      </c>
      <c r="T149">
        <v>0</v>
      </c>
      <c r="U149" t="s">
        <v>1404</v>
      </c>
      <c r="V149" t="s">
        <v>1404</v>
      </c>
      <c r="W149">
        <v>0</v>
      </c>
      <c r="X149">
        <v>0</v>
      </c>
      <c r="Y149">
        <v>0</v>
      </c>
      <c r="Z149">
        <v>0</v>
      </c>
    </row>
    <row r="150" spans="1:26">
      <c r="A150" s="1">
        <f>HYPERLINK("https://cms.ls-nyc.org/matter/dynamic-profile/view/1834412","17-1834412")</f>
        <v>0</v>
      </c>
      <c r="B150" t="s">
        <v>26</v>
      </c>
      <c r="C150" t="s">
        <v>31</v>
      </c>
      <c r="D150" t="s">
        <v>198</v>
      </c>
      <c r="E150" t="s">
        <v>632</v>
      </c>
      <c r="F150" t="s">
        <v>1035</v>
      </c>
      <c r="G150" t="s">
        <v>1321</v>
      </c>
      <c r="H150" t="s">
        <v>1375</v>
      </c>
      <c r="I150" t="s">
        <v>1380</v>
      </c>
      <c r="J150" t="s">
        <v>1382</v>
      </c>
      <c r="K150" t="s">
        <v>1385</v>
      </c>
      <c r="M150" t="s">
        <v>1390</v>
      </c>
      <c r="P150" t="s">
        <v>1398</v>
      </c>
      <c r="Q150">
        <v>0</v>
      </c>
      <c r="R150">
        <v>0</v>
      </c>
      <c r="S150">
        <v>0</v>
      </c>
      <c r="T150">
        <v>771</v>
      </c>
      <c r="U150" t="s">
        <v>1424</v>
      </c>
      <c r="V150" t="s">
        <v>1404</v>
      </c>
      <c r="W150">
        <v>0</v>
      </c>
      <c r="X150">
        <v>771</v>
      </c>
      <c r="Y150">
        <v>0</v>
      </c>
      <c r="Z150">
        <v>0</v>
      </c>
    </row>
    <row r="151" spans="1:26">
      <c r="A151" s="1">
        <f>HYPERLINK("https://cms.ls-nyc.org/matter/dynamic-profile/view/1834465","17-1834465")</f>
        <v>0</v>
      </c>
      <c r="B151" t="s">
        <v>26</v>
      </c>
      <c r="C151" t="s">
        <v>31</v>
      </c>
      <c r="D151" t="s">
        <v>199</v>
      </c>
      <c r="E151" t="s">
        <v>633</v>
      </c>
      <c r="F151" t="s">
        <v>1036</v>
      </c>
      <c r="G151" t="s">
        <v>1322</v>
      </c>
      <c r="H151" t="s">
        <v>1375</v>
      </c>
      <c r="I151" t="s">
        <v>1379</v>
      </c>
      <c r="J151" t="s">
        <v>1383</v>
      </c>
      <c r="K151" t="s">
        <v>1385</v>
      </c>
      <c r="M151" t="s">
        <v>1390</v>
      </c>
      <c r="P151" t="s">
        <v>1398</v>
      </c>
      <c r="Q151">
        <v>0</v>
      </c>
      <c r="R151">
        <v>0</v>
      </c>
      <c r="S151">
        <v>14360</v>
      </c>
      <c r="T151">
        <v>903</v>
      </c>
      <c r="U151" t="s">
        <v>1441</v>
      </c>
      <c r="V151" t="s">
        <v>1551</v>
      </c>
      <c r="W151">
        <v>14360</v>
      </c>
      <c r="X151">
        <v>0</v>
      </c>
      <c r="Y151">
        <v>903</v>
      </c>
      <c r="Z151">
        <v>10011</v>
      </c>
    </row>
    <row r="152" spans="1:26">
      <c r="A152" s="1">
        <f>HYPERLINK("https://cms.ls-nyc.org/matter/dynamic-profile/view/1834682","17-1834682")</f>
        <v>0</v>
      </c>
      <c r="B152" t="s">
        <v>27</v>
      </c>
      <c r="C152" t="s">
        <v>43</v>
      </c>
      <c r="D152" t="s">
        <v>167</v>
      </c>
      <c r="E152" t="s">
        <v>604</v>
      </c>
      <c r="F152" t="s">
        <v>1037</v>
      </c>
      <c r="G152" t="s">
        <v>1323</v>
      </c>
      <c r="H152" t="s">
        <v>1377</v>
      </c>
      <c r="I152" t="s">
        <v>1379</v>
      </c>
      <c r="J152" t="s">
        <v>1383</v>
      </c>
      <c r="K152" t="s">
        <v>1385</v>
      </c>
      <c r="M152" t="s">
        <v>1390</v>
      </c>
      <c r="P152" t="s">
        <v>1397</v>
      </c>
      <c r="Q152">
        <v>0</v>
      </c>
      <c r="R152">
        <v>0</v>
      </c>
      <c r="S152">
        <v>0</v>
      </c>
      <c r="T152">
        <v>0</v>
      </c>
      <c r="U152" t="s">
        <v>1404</v>
      </c>
      <c r="V152" t="s">
        <v>1404</v>
      </c>
      <c r="W152">
        <v>0</v>
      </c>
      <c r="X152">
        <v>0</v>
      </c>
      <c r="Y152">
        <v>0</v>
      </c>
      <c r="Z152">
        <v>0</v>
      </c>
    </row>
    <row r="153" spans="1:26">
      <c r="A153" s="1">
        <f>HYPERLINK("https://cms.ls-nyc.org/matter/dynamic-profile/view/1834867","17-1834867")</f>
        <v>0</v>
      </c>
      <c r="B153" t="s">
        <v>26</v>
      </c>
      <c r="C153" t="s">
        <v>49</v>
      </c>
      <c r="D153" t="s">
        <v>200</v>
      </c>
      <c r="E153" t="s">
        <v>634</v>
      </c>
      <c r="F153" t="s">
        <v>1038</v>
      </c>
      <c r="G153" t="s">
        <v>1257</v>
      </c>
      <c r="H153" t="s">
        <v>1375</v>
      </c>
      <c r="I153" t="s">
        <v>1379</v>
      </c>
      <c r="J153" t="s">
        <v>1382</v>
      </c>
      <c r="K153" t="s">
        <v>1385</v>
      </c>
      <c r="M153" t="s">
        <v>1390</v>
      </c>
      <c r="P153" t="s">
        <v>1398</v>
      </c>
      <c r="Q153">
        <v>0</v>
      </c>
      <c r="R153">
        <v>0</v>
      </c>
      <c r="S153">
        <v>2378</v>
      </c>
      <c r="T153">
        <v>750</v>
      </c>
      <c r="U153" t="s">
        <v>1408</v>
      </c>
      <c r="V153" t="s">
        <v>1552</v>
      </c>
      <c r="W153">
        <v>2378</v>
      </c>
      <c r="X153">
        <v>750</v>
      </c>
      <c r="Y153">
        <v>0</v>
      </c>
      <c r="Z153">
        <v>6239</v>
      </c>
    </row>
    <row r="154" spans="1:26">
      <c r="A154" s="1">
        <f>HYPERLINK("https://cms.ls-nyc.org/matter/dynamic-profile/view/1835553","17-1835553")</f>
        <v>0</v>
      </c>
      <c r="B154" t="s">
        <v>26</v>
      </c>
      <c r="C154" t="s">
        <v>46</v>
      </c>
      <c r="D154" t="s">
        <v>147</v>
      </c>
      <c r="E154" t="s">
        <v>545</v>
      </c>
      <c r="F154" t="s">
        <v>1039</v>
      </c>
      <c r="G154" t="s">
        <v>1316</v>
      </c>
      <c r="H154" t="s">
        <v>1375</v>
      </c>
      <c r="I154" t="s">
        <v>1379</v>
      </c>
      <c r="J154" t="s">
        <v>1383</v>
      </c>
      <c r="K154" t="s">
        <v>1385</v>
      </c>
      <c r="M154" t="s">
        <v>1390</v>
      </c>
      <c r="P154" t="s">
        <v>1398</v>
      </c>
      <c r="Q154">
        <v>0</v>
      </c>
      <c r="R154">
        <v>0</v>
      </c>
      <c r="S154">
        <v>0</v>
      </c>
      <c r="T154">
        <v>0</v>
      </c>
      <c r="U154" t="s">
        <v>1408</v>
      </c>
      <c r="V154" t="s">
        <v>1553</v>
      </c>
      <c r="W154">
        <v>21750</v>
      </c>
      <c r="X154">
        <v>750</v>
      </c>
      <c r="Y154">
        <v>0</v>
      </c>
      <c r="Z154">
        <v>8000</v>
      </c>
    </row>
    <row r="155" spans="1:26">
      <c r="A155" s="1">
        <f>HYPERLINK("https://cms.ls-nyc.org/matter/dynamic-profile/view/1835870","17-1835870")</f>
        <v>0</v>
      </c>
      <c r="B155" t="s">
        <v>29</v>
      </c>
      <c r="C155" t="s">
        <v>42</v>
      </c>
      <c r="D155" t="s">
        <v>201</v>
      </c>
      <c r="E155" t="s">
        <v>635</v>
      </c>
      <c r="F155" t="s">
        <v>1040</v>
      </c>
      <c r="G155" t="s">
        <v>1247</v>
      </c>
      <c r="H155" t="s">
        <v>1375</v>
      </c>
      <c r="I155" t="s">
        <v>1379</v>
      </c>
      <c r="J155" t="s">
        <v>1383</v>
      </c>
      <c r="K155" t="s">
        <v>1385</v>
      </c>
      <c r="M155" t="s">
        <v>1390</v>
      </c>
      <c r="P155" t="s">
        <v>1398</v>
      </c>
      <c r="Q155">
        <v>0</v>
      </c>
      <c r="R155">
        <v>0</v>
      </c>
      <c r="S155">
        <v>33356</v>
      </c>
      <c r="T155">
        <v>750</v>
      </c>
      <c r="U155" t="s">
        <v>1408</v>
      </c>
      <c r="V155" t="s">
        <v>1554</v>
      </c>
      <c r="W155">
        <v>9212.51</v>
      </c>
      <c r="X155">
        <v>750</v>
      </c>
      <c r="Y155">
        <v>0</v>
      </c>
      <c r="Z155">
        <v>24143.49</v>
      </c>
    </row>
    <row r="156" spans="1:26">
      <c r="A156" s="1">
        <f>HYPERLINK("https://cms.ls-nyc.org/matter/dynamic-profile/view/1837236","17-1837236")</f>
        <v>0</v>
      </c>
      <c r="B156" t="s">
        <v>26</v>
      </c>
      <c r="C156" t="s">
        <v>46</v>
      </c>
      <c r="D156" t="s">
        <v>202</v>
      </c>
      <c r="E156" t="s">
        <v>636</v>
      </c>
      <c r="F156" t="s">
        <v>1041</v>
      </c>
      <c r="G156" t="s">
        <v>1253</v>
      </c>
      <c r="H156" t="s">
        <v>1375</v>
      </c>
      <c r="I156" t="s">
        <v>1379</v>
      </c>
      <c r="J156" t="s">
        <v>1383</v>
      </c>
      <c r="K156" t="s">
        <v>1385</v>
      </c>
      <c r="M156" t="s">
        <v>1391</v>
      </c>
      <c r="P156" t="s">
        <v>1400</v>
      </c>
      <c r="Q156">
        <v>0</v>
      </c>
      <c r="R156">
        <v>0</v>
      </c>
      <c r="S156">
        <v>0</v>
      </c>
      <c r="T156">
        <v>0</v>
      </c>
      <c r="U156" t="s">
        <v>1404</v>
      </c>
      <c r="V156" t="s">
        <v>1404</v>
      </c>
      <c r="W156">
        <v>0</v>
      </c>
      <c r="X156">
        <v>0</v>
      </c>
      <c r="Y156">
        <v>0</v>
      </c>
      <c r="Z156">
        <v>0</v>
      </c>
    </row>
    <row r="157" spans="1:26">
      <c r="A157" s="1">
        <f>HYPERLINK("https://cms.ls-nyc.org/matter/dynamic-profile/view/1837237","17-1837237")</f>
        <v>0</v>
      </c>
      <c r="B157" t="s">
        <v>26</v>
      </c>
      <c r="C157" t="s">
        <v>53</v>
      </c>
      <c r="D157" t="s">
        <v>203</v>
      </c>
      <c r="E157" t="s">
        <v>637</v>
      </c>
      <c r="F157" t="s">
        <v>1041</v>
      </c>
      <c r="G157" t="s">
        <v>1324</v>
      </c>
      <c r="H157" t="s">
        <v>1375</v>
      </c>
      <c r="I157" t="s">
        <v>1379</v>
      </c>
      <c r="J157" t="s">
        <v>1382</v>
      </c>
      <c r="K157" t="s">
        <v>1385</v>
      </c>
      <c r="M157" t="s">
        <v>1390</v>
      </c>
      <c r="P157" t="s">
        <v>1398</v>
      </c>
      <c r="Q157">
        <v>0</v>
      </c>
      <c r="R157">
        <v>0</v>
      </c>
      <c r="S157">
        <v>22534</v>
      </c>
      <c r="T157">
        <v>794</v>
      </c>
      <c r="U157" t="s">
        <v>1407</v>
      </c>
      <c r="V157" t="s">
        <v>1555</v>
      </c>
      <c r="W157">
        <v>24534</v>
      </c>
      <c r="X157">
        <v>794</v>
      </c>
      <c r="Y157">
        <v>0</v>
      </c>
      <c r="Z157">
        <v>0</v>
      </c>
    </row>
    <row r="158" spans="1:26">
      <c r="A158" s="1">
        <f>HYPERLINK("https://cms.ls-nyc.org/matter/dynamic-profile/view/1837796","17-1837796")</f>
        <v>0</v>
      </c>
      <c r="B158" t="s">
        <v>26</v>
      </c>
      <c r="C158" t="s">
        <v>46</v>
      </c>
      <c r="D158" t="s">
        <v>204</v>
      </c>
      <c r="E158" t="s">
        <v>638</v>
      </c>
      <c r="F158" t="s">
        <v>1042</v>
      </c>
      <c r="G158" t="s">
        <v>1325</v>
      </c>
      <c r="H158" t="s">
        <v>1375</v>
      </c>
      <c r="I158" t="s">
        <v>1379</v>
      </c>
      <c r="J158" t="s">
        <v>1382</v>
      </c>
      <c r="K158" t="s">
        <v>1385</v>
      </c>
      <c r="M158" t="s">
        <v>1390</v>
      </c>
      <c r="P158" t="s">
        <v>1398</v>
      </c>
      <c r="Q158">
        <v>0</v>
      </c>
      <c r="R158">
        <v>0</v>
      </c>
      <c r="S158">
        <v>0</v>
      </c>
      <c r="T158">
        <v>0</v>
      </c>
      <c r="U158" t="s">
        <v>1408</v>
      </c>
      <c r="V158" t="s">
        <v>1404</v>
      </c>
      <c r="W158">
        <v>0</v>
      </c>
      <c r="X158">
        <v>750</v>
      </c>
      <c r="Y158">
        <v>0</v>
      </c>
      <c r="Z158">
        <v>0</v>
      </c>
    </row>
    <row r="159" spans="1:26">
      <c r="A159" s="1">
        <f>HYPERLINK("https://cms.ls-nyc.org/matter/dynamic-profile/view/1838446","17-1838446")</f>
        <v>0</v>
      </c>
      <c r="B159" t="s">
        <v>26</v>
      </c>
      <c r="C159" t="s">
        <v>30</v>
      </c>
      <c r="D159" t="s">
        <v>205</v>
      </c>
      <c r="E159" t="s">
        <v>639</v>
      </c>
      <c r="F159" t="s">
        <v>1043</v>
      </c>
      <c r="G159" t="s">
        <v>1256</v>
      </c>
      <c r="H159" t="s">
        <v>1375</v>
      </c>
      <c r="I159" t="s">
        <v>1379</v>
      </c>
      <c r="J159" t="s">
        <v>1382</v>
      </c>
      <c r="K159" t="s">
        <v>1385</v>
      </c>
      <c r="M159" t="s">
        <v>1390</v>
      </c>
      <c r="P159" t="s">
        <v>1398</v>
      </c>
      <c r="Q159">
        <v>0</v>
      </c>
      <c r="R159">
        <v>0</v>
      </c>
      <c r="S159">
        <v>25100</v>
      </c>
      <c r="T159">
        <v>773</v>
      </c>
      <c r="U159" t="s">
        <v>1406</v>
      </c>
      <c r="V159" t="s">
        <v>1556</v>
      </c>
      <c r="W159">
        <v>25100</v>
      </c>
      <c r="X159">
        <v>134</v>
      </c>
      <c r="Y159">
        <v>639</v>
      </c>
      <c r="Z159">
        <v>0</v>
      </c>
    </row>
    <row r="160" spans="1:26">
      <c r="A160" s="1">
        <f>HYPERLINK("https://cms.ls-nyc.org/matter/dynamic-profile/view/1839215","17-1839215")</f>
        <v>0</v>
      </c>
      <c r="B160" t="s">
        <v>27</v>
      </c>
      <c r="C160" t="s">
        <v>32</v>
      </c>
      <c r="D160" t="s">
        <v>206</v>
      </c>
      <c r="E160" t="s">
        <v>640</v>
      </c>
      <c r="F160" t="s">
        <v>1044</v>
      </c>
      <c r="G160" t="s">
        <v>1292</v>
      </c>
      <c r="H160" t="s">
        <v>1375</v>
      </c>
      <c r="I160" t="s">
        <v>1379</v>
      </c>
      <c r="J160" t="s">
        <v>1382</v>
      </c>
      <c r="K160" t="s">
        <v>1385</v>
      </c>
      <c r="M160" t="s">
        <v>1390</v>
      </c>
      <c r="P160" t="s">
        <v>1398</v>
      </c>
      <c r="Q160">
        <v>0</v>
      </c>
      <c r="R160">
        <v>0</v>
      </c>
      <c r="S160">
        <v>15483</v>
      </c>
      <c r="T160">
        <v>1433</v>
      </c>
      <c r="U160" t="s">
        <v>1404</v>
      </c>
      <c r="V160" t="s">
        <v>1404</v>
      </c>
      <c r="W160">
        <v>0</v>
      </c>
      <c r="X160">
        <v>0</v>
      </c>
      <c r="Y160">
        <v>0</v>
      </c>
      <c r="Z160">
        <v>0</v>
      </c>
    </row>
    <row r="161" spans="1:26">
      <c r="A161" s="1">
        <f>HYPERLINK("https://cms.ls-nyc.org/matter/dynamic-profile/view/1839713","17-1839713")</f>
        <v>0</v>
      </c>
      <c r="B161" t="s">
        <v>26</v>
      </c>
      <c r="C161" t="s">
        <v>31</v>
      </c>
      <c r="D161" t="s">
        <v>207</v>
      </c>
      <c r="E161" t="s">
        <v>641</v>
      </c>
      <c r="F161" t="s">
        <v>1045</v>
      </c>
      <c r="G161" t="s">
        <v>1324</v>
      </c>
      <c r="H161" t="s">
        <v>1375</v>
      </c>
      <c r="I161" t="s">
        <v>1380</v>
      </c>
      <c r="J161" t="s">
        <v>1382</v>
      </c>
      <c r="K161" t="s">
        <v>1385</v>
      </c>
      <c r="M161" t="s">
        <v>1390</v>
      </c>
      <c r="P161" t="s">
        <v>1398</v>
      </c>
      <c r="Q161">
        <v>0</v>
      </c>
      <c r="R161">
        <v>0</v>
      </c>
      <c r="S161">
        <v>16673</v>
      </c>
      <c r="T161">
        <v>794</v>
      </c>
      <c r="U161" t="s">
        <v>1407</v>
      </c>
      <c r="V161" t="s">
        <v>1557</v>
      </c>
      <c r="W161">
        <v>16673</v>
      </c>
      <c r="X161">
        <v>794</v>
      </c>
      <c r="Y161">
        <v>0</v>
      </c>
      <c r="Z161">
        <v>0</v>
      </c>
    </row>
    <row r="162" spans="1:26">
      <c r="A162" s="1">
        <f>HYPERLINK("https://cms.ls-nyc.org/matter/dynamic-profile/view/1840474","17-1840474")</f>
        <v>0</v>
      </c>
      <c r="B162" t="s">
        <v>29</v>
      </c>
      <c r="C162" t="s">
        <v>40</v>
      </c>
      <c r="D162" t="s">
        <v>134</v>
      </c>
      <c r="E162" t="s">
        <v>642</v>
      </c>
      <c r="F162" t="s">
        <v>1046</v>
      </c>
      <c r="G162" t="s">
        <v>1232</v>
      </c>
      <c r="H162" t="s">
        <v>1375</v>
      </c>
      <c r="I162" t="s">
        <v>1379</v>
      </c>
      <c r="J162" t="s">
        <v>1382</v>
      </c>
      <c r="K162" t="s">
        <v>1385</v>
      </c>
      <c r="M162" t="s">
        <v>1391</v>
      </c>
      <c r="P162" t="s">
        <v>1400</v>
      </c>
      <c r="Q162">
        <v>0</v>
      </c>
      <c r="R162">
        <v>0</v>
      </c>
      <c r="S162">
        <v>0</v>
      </c>
      <c r="T162">
        <v>0</v>
      </c>
      <c r="U162" t="s">
        <v>1404</v>
      </c>
      <c r="V162" t="s">
        <v>1404</v>
      </c>
      <c r="W162">
        <v>0</v>
      </c>
      <c r="X162">
        <v>0</v>
      </c>
      <c r="Y162">
        <v>0</v>
      </c>
      <c r="Z162">
        <v>0</v>
      </c>
    </row>
    <row r="163" spans="1:26">
      <c r="A163" s="1">
        <f>HYPERLINK("https://cms.ls-nyc.org/matter/dynamic-profile/view/1840586","17-1840586")</f>
        <v>0</v>
      </c>
      <c r="B163" t="s">
        <v>26</v>
      </c>
      <c r="C163" t="s">
        <v>31</v>
      </c>
      <c r="D163" t="s">
        <v>208</v>
      </c>
      <c r="E163" t="s">
        <v>643</v>
      </c>
      <c r="F163" t="s">
        <v>1047</v>
      </c>
      <c r="G163" t="s">
        <v>1326</v>
      </c>
      <c r="H163" t="s">
        <v>1376</v>
      </c>
      <c r="I163" t="s">
        <v>1378</v>
      </c>
      <c r="J163" t="s">
        <v>1382</v>
      </c>
      <c r="K163" t="s">
        <v>1385</v>
      </c>
      <c r="M163" t="s">
        <v>1395</v>
      </c>
      <c r="P163" t="s">
        <v>1402</v>
      </c>
      <c r="Q163">
        <v>0</v>
      </c>
      <c r="R163">
        <v>0</v>
      </c>
      <c r="S163">
        <v>0</v>
      </c>
      <c r="T163">
        <v>0</v>
      </c>
      <c r="U163" t="s">
        <v>1404</v>
      </c>
      <c r="V163" t="s">
        <v>1404</v>
      </c>
      <c r="W163">
        <v>0</v>
      </c>
      <c r="X163">
        <v>0</v>
      </c>
      <c r="Y163">
        <v>0</v>
      </c>
      <c r="Z163">
        <v>0</v>
      </c>
    </row>
    <row r="164" spans="1:26">
      <c r="A164" s="1">
        <f>HYPERLINK("https://cms.ls-nyc.org/matter/dynamic-profile/view/1840981","17-1840981")</f>
        <v>0</v>
      </c>
      <c r="B164" t="s">
        <v>26</v>
      </c>
      <c r="C164" t="s">
        <v>51</v>
      </c>
      <c r="D164" t="s">
        <v>209</v>
      </c>
      <c r="E164" t="s">
        <v>644</v>
      </c>
      <c r="F164" t="s">
        <v>1048</v>
      </c>
      <c r="G164" t="s">
        <v>1327</v>
      </c>
      <c r="H164" t="s">
        <v>1375</v>
      </c>
      <c r="I164" t="s">
        <v>1379</v>
      </c>
      <c r="J164" t="s">
        <v>1383</v>
      </c>
      <c r="K164" t="s">
        <v>1385</v>
      </c>
      <c r="M164" t="s">
        <v>1390</v>
      </c>
      <c r="P164" t="s">
        <v>1398</v>
      </c>
      <c r="Q164">
        <v>0</v>
      </c>
      <c r="R164">
        <v>0</v>
      </c>
      <c r="S164">
        <v>61031.2</v>
      </c>
      <c r="T164">
        <v>1072</v>
      </c>
      <c r="U164" t="s">
        <v>1442</v>
      </c>
      <c r="V164" t="s">
        <v>1558</v>
      </c>
      <c r="W164">
        <v>61031.2</v>
      </c>
      <c r="X164">
        <v>0</v>
      </c>
      <c r="Y164">
        <v>1072</v>
      </c>
      <c r="Z164">
        <v>0</v>
      </c>
    </row>
    <row r="165" spans="1:26">
      <c r="A165" s="1">
        <f>HYPERLINK("https://cms.ls-nyc.org/matter/dynamic-profile/view/1841299","17-1841299")</f>
        <v>0</v>
      </c>
      <c r="B165" t="s">
        <v>26</v>
      </c>
      <c r="C165" t="s">
        <v>31</v>
      </c>
      <c r="D165" t="s">
        <v>210</v>
      </c>
      <c r="E165" t="s">
        <v>645</v>
      </c>
      <c r="F165" t="s">
        <v>1049</v>
      </c>
      <c r="G165" t="s">
        <v>1256</v>
      </c>
      <c r="H165" t="s">
        <v>1375</v>
      </c>
      <c r="I165" t="s">
        <v>1379</v>
      </c>
      <c r="J165" t="s">
        <v>1382</v>
      </c>
      <c r="K165" t="s">
        <v>1385</v>
      </c>
      <c r="M165" t="s">
        <v>1390</v>
      </c>
      <c r="P165" t="s">
        <v>1398</v>
      </c>
      <c r="Q165">
        <v>0</v>
      </c>
      <c r="R165">
        <v>0</v>
      </c>
      <c r="S165">
        <v>12465.93</v>
      </c>
      <c r="T165">
        <v>300</v>
      </c>
      <c r="U165" t="s">
        <v>1443</v>
      </c>
      <c r="V165" t="s">
        <v>1559</v>
      </c>
      <c r="W165">
        <v>12465.93</v>
      </c>
      <c r="X165">
        <v>300</v>
      </c>
      <c r="Y165">
        <v>0</v>
      </c>
      <c r="Z165">
        <v>0</v>
      </c>
    </row>
    <row r="166" spans="1:26">
      <c r="A166" s="1">
        <f>HYPERLINK("https://cms.ls-nyc.org/matter/dynamic-profile/view/1841464","17-1841464")</f>
        <v>0</v>
      </c>
      <c r="B166" t="s">
        <v>26</v>
      </c>
      <c r="C166" t="s">
        <v>53</v>
      </c>
      <c r="D166" t="s">
        <v>63</v>
      </c>
      <c r="E166" t="s">
        <v>646</v>
      </c>
      <c r="F166" t="s">
        <v>1050</v>
      </c>
      <c r="G166" t="s">
        <v>1292</v>
      </c>
      <c r="H166" t="s">
        <v>1375</v>
      </c>
      <c r="I166" t="s">
        <v>1379</v>
      </c>
      <c r="J166" t="s">
        <v>1382</v>
      </c>
      <c r="K166" t="s">
        <v>1385</v>
      </c>
      <c r="M166" t="s">
        <v>1390</v>
      </c>
      <c r="P166" t="s">
        <v>1398</v>
      </c>
      <c r="Q166">
        <v>0</v>
      </c>
      <c r="R166">
        <v>0</v>
      </c>
      <c r="S166">
        <v>26392</v>
      </c>
      <c r="T166">
        <v>822</v>
      </c>
      <c r="U166" t="s">
        <v>1444</v>
      </c>
      <c r="V166" t="s">
        <v>1560</v>
      </c>
      <c r="W166">
        <v>0</v>
      </c>
      <c r="X166">
        <v>824</v>
      </c>
      <c r="Y166">
        <v>0</v>
      </c>
      <c r="Z166">
        <v>26392</v>
      </c>
    </row>
    <row r="167" spans="1:26">
      <c r="A167" s="1">
        <f>HYPERLINK("https://cms.ls-nyc.org/matter/dynamic-profile/view/1841485","17-1841485")</f>
        <v>0</v>
      </c>
      <c r="B167" t="s">
        <v>26</v>
      </c>
      <c r="C167" t="s">
        <v>31</v>
      </c>
      <c r="D167" t="s">
        <v>211</v>
      </c>
      <c r="E167" t="s">
        <v>647</v>
      </c>
      <c r="F167" t="s">
        <v>1051</v>
      </c>
      <c r="G167" t="s">
        <v>1272</v>
      </c>
      <c r="H167" t="s">
        <v>1375</v>
      </c>
      <c r="I167" t="s">
        <v>1379</v>
      </c>
      <c r="J167" t="s">
        <v>1382</v>
      </c>
      <c r="K167" t="s">
        <v>1385</v>
      </c>
      <c r="M167" t="s">
        <v>1390</v>
      </c>
      <c r="P167" t="s">
        <v>1398</v>
      </c>
      <c r="Q167">
        <v>0</v>
      </c>
      <c r="R167">
        <v>0</v>
      </c>
      <c r="S167">
        <v>25812.88</v>
      </c>
      <c r="T167">
        <v>771</v>
      </c>
      <c r="U167" t="s">
        <v>1445</v>
      </c>
      <c r="V167" t="s">
        <v>1561</v>
      </c>
      <c r="W167">
        <v>25812.88</v>
      </c>
      <c r="X167">
        <v>185.5</v>
      </c>
      <c r="Y167">
        <v>562</v>
      </c>
      <c r="Z167">
        <v>6153.23</v>
      </c>
    </row>
    <row r="168" spans="1:26">
      <c r="A168" s="1">
        <f>HYPERLINK("https://cms.ls-nyc.org/matter/dynamic-profile/view/1841696","17-1841696")</f>
        <v>0</v>
      </c>
      <c r="B168" t="s">
        <v>28</v>
      </c>
      <c r="C168" t="s">
        <v>34</v>
      </c>
      <c r="D168" t="s">
        <v>211</v>
      </c>
      <c r="E168" t="s">
        <v>648</v>
      </c>
      <c r="F168" t="s">
        <v>1052</v>
      </c>
      <c r="G168" t="s">
        <v>1223</v>
      </c>
      <c r="H168" t="s">
        <v>1375</v>
      </c>
      <c r="I168" t="s">
        <v>1379</v>
      </c>
      <c r="J168" t="s">
        <v>1383</v>
      </c>
      <c r="K168" t="s">
        <v>1385</v>
      </c>
      <c r="M168" t="s">
        <v>1390</v>
      </c>
      <c r="P168" t="s">
        <v>1398</v>
      </c>
      <c r="Q168">
        <v>0</v>
      </c>
      <c r="R168">
        <v>0</v>
      </c>
      <c r="S168">
        <v>33595</v>
      </c>
      <c r="T168">
        <v>769</v>
      </c>
      <c r="U168" t="s">
        <v>1446</v>
      </c>
      <c r="V168" t="s">
        <v>1562</v>
      </c>
      <c r="W168">
        <v>33595</v>
      </c>
      <c r="X168">
        <v>0</v>
      </c>
      <c r="Y168">
        <v>769</v>
      </c>
      <c r="Z168">
        <v>0</v>
      </c>
    </row>
    <row r="169" spans="1:26">
      <c r="A169" s="1">
        <f>HYPERLINK("https://cms.ls-nyc.org/matter/dynamic-profile/view/1841805","17-1841805")</f>
        <v>0</v>
      </c>
      <c r="B169" t="s">
        <v>27</v>
      </c>
      <c r="C169" t="s">
        <v>43</v>
      </c>
      <c r="D169" t="s">
        <v>212</v>
      </c>
      <c r="E169" t="s">
        <v>556</v>
      </c>
      <c r="F169" t="s">
        <v>1053</v>
      </c>
      <c r="G169" t="s">
        <v>1267</v>
      </c>
      <c r="H169" t="s">
        <v>1377</v>
      </c>
      <c r="I169" t="s">
        <v>1379</v>
      </c>
      <c r="J169" t="s">
        <v>1382</v>
      </c>
      <c r="K169" t="s">
        <v>1385</v>
      </c>
      <c r="M169" t="s">
        <v>1390</v>
      </c>
      <c r="P169" t="s">
        <v>1397</v>
      </c>
      <c r="Q169">
        <v>0</v>
      </c>
      <c r="R169">
        <v>0</v>
      </c>
      <c r="S169">
        <v>0</v>
      </c>
      <c r="T169">
        <v>0</v>
      </c>
      <c r="U169" t="s">
        <v>1404</v>
      </c>
      <c r="V169" t="s">
        <v>1404</v>
      </c>
      <c r="W169">
        <v>0</v>
      </c>
      <c r="X169">
        <v>0</v>
      </c>
      <c r="Y169">
        <v>0</v>
      </c>
      <c r="Z169">
        <v>0</v>
      </c>
    </row>
    <row r="170" spans="1:26">
      <c r="A170" s="1">
        <f>HYPERLINK("https://cms.ls-nyc.org/matter/dynamic-profile/view/1841919","17-1841919")</f>
        <v>0</v>
      </c>
      <c r="B170" t="s">
        <v>26</v>
      </c>
      <c r="C170" t="s">
        <v>30</v>
      </c>
      <c r="D170" t="s">
        <v>213</v>
      </c>
      <c r="E170" t="s">
        <v>649</v>
      </c>
      <c r="F170" t="s">
        <v>1054</v>
      </c>
      <c r="G170" t="s">
        <v>1298</v>
      </c>
      <c r="H170" t="s">
        <v>1378</v>
      </c>
      <c r="I170" t="s">
        <v>1379</v>
      </c>
      <c r="J170" t="s">
        <v>1383</v>
      </c>
      <c r="K170" t="s">
        <v>1385</v>
      </c>
      <c r="M170" t="s">
        <v>1394</v>
      </c>
      <c r="P170" t="s">
        <v>1400</v>
      </c>
      <c r="Q170">
        <v>0</v>
      </c>
      <c r="R170">
        <v>0</v>
      </c>
      <c r="S170">
        <v>0</v>
      </c>
      <c r="T170">
        <v>0</v>
      </c>
      <c r="U170" t="s">
        <v>1404</v>
      </c>
      <c r="V170" t="s">
        <v>1404</v>
      </c>
      <c r="W170">
        <v>0</v>
      </c>
      <c r="X170">
        <v>0</v>
      </c>
      <c r="Y170">
        <v>0</v>
      </c>
      <c r="Z170">
        <v>0</v>
      </c>
    </row>
    <row r="171" spans="1:26">
      <c r="A171" s="1">
        <f>HYPERLINK("https://cms.ls-nyc.org/matter/dynamic-profile/view/1842175","17-1842175")</f>
        <v>0</v>
      </c>
      <c r="B171" t="s">
        <v>27</v>
      </c>
      <c r="C171" t="s">
        <v>33</v>
      </c>
      <c r="D171" t="s">
        <v>214</v>
      </c>
      <c r="E171" t="s">
        <v>650</v>
      </c>
      <c r="F171" t="s">
        <v>1055</v>
      </c>
      <c r="G171" t="s">
        <v>1186</v>
      </c>
      <c r="H171" t="s">
        <v>1375</v>
      </c>
      <c r="I171" t="s">
        <v>1379</v>
      </c>
      <c r="J171" t="s">
        <v>1382</v>
      </c>
      <c r="K171" t="s">
        <v>1385</v>
      </c>
      <c r="M171" t="s">
        <v>1390</v>
      </c>
      <c r="P171" t="s">
        <v>1398</v>
      </c>
      <c r="Q171">
        <v>0</v>
      </c>
      <c r="R171">
        <v>0</v>
      </c>
      <c r="S171">
        <v>0</v>
      </c>
      <c r="T171">
        <v>1185</v>
      </c>
      <c r="U171" t="s">
        <v>1447</v>
      </c>
      <c r="V171" t="s">
        <v>1404</v>
      </c>
      <c r="W171">
        <v>0</v>
      </c>
      <c r="X171">
        <v>1185</v>
      </c>
      <c r="Y171">
        <v>0</v>
      </c>
      <c r="Z171">
        <v>0</v>
      </c>
    </row>
    <row r="172" spans="1:26">
      <c r="A172" s="1">
        <f>HYPERLINK("https://cms.ls-nyc.org/matter/dynamic-profile/view/1842433","17-1842433")</f>
        <v>0</v>
      </c>
      <c r="B172" t="s">
        <v>27</v>
      </c>
      <c r="C172" t="s">
        <v>48</v>
      </c>
      <c r="D172" t="s">
        <v>215</v>
      </c>
      <c r="E172" t="s">
        <v>651</v>
      </c>
      <c r="F172" t="s">
        <v>1056</v>
      </c>
      <c r="G172" t="s">
        <v>1201</v>
      </c>
      <c r="H172" t="s">
        <v>1375</v>
      </c>
      <c r="I172" t="s">
        <v>1379</v>
      </c>
      <c r="J172" t="s">
        <v>1382</v>
      </c>
      <c r="K172" t="s">
        <v>1385</v>
      </c>
      <c r="M172" t="s">
        <v>1391</v>
      </c>
      <c r="P172" t="s">
        <v>1400</v>
      </c>
      <c r="Q172">
        <v>0</v>
      </c>
      <c r="R172">
        <v>0</v>
      </c>
      <c r="S172">
        <v>0</v>
      </c>
      <c r="T172">
        <v>0</v>
      </c>
      <c r="U172" t="s">
        <v>1404</v>
      </c>
      <c r="V172" t="s">
        <v>1404</v>
      </c>
      <c r="W172">
        <v>0</v>
      </c>
      <c r="X172">
        <v>0</v>
      </c>
      <c r="Y172">
        <v>0</v>
      </c>
      <c r="Z172">
        <v>0</v>
      </c>
    </row>
    <row r="173" spans="1:26">
      <c r="A173" s="1">
        <f>HYPERLINK("https://cms.ls-nyc.org/matter/dynamic-profile/view/1842639","17-1842639")</f>
        <v>0</v>
      </c>
      <c r="B173" t="s">
        <v>29</v>
      </c>
      <c r="C173" t="s">
        <v>35</v>
      </c>
      <c r="D173" t="s">
        <v>216</v>
      </c>
      <c r="E173" t="s">
        <v>652</v>
      </c>
      <c r="F173" t="s">
        <v>1049</v>
      </c>
      <c r="G173" t="s">
        <v>1294</v>
      </c>
      <c r="H173" t="s">
        <v>1375</v>
      </c>
      <c r="I173" t="s">
        <v>1379</v>
      </c>
      <c r="J173" t="s">
        <v>1382</v>
      </c>
      <c r="K173" t="s">
        <v>1385</v>
      </c>
      <c r="M173" t="s">
        <v>1390</v>
      </c>
      <c r="P173" t="s">
        <v>1397</v>
      </c>
      <c r="Q173">
        <v>0</v>
      </c>
      <c r="R173">
        <v>0</v>
      </c>
      <c r="S173">
        <v>0</v>
      </c>
      <c r="T173">
        <v>0</v>
      </c>
      <c r="U173" t="s">
        <v>1404</v>
      </c>
      <c r="V173" t="s">
        <v>1404</v>
      </c>
      <c r="W173">
        <v>0</v>
      </c>
      <c r="X173">
        <v>0</v>
      </c>
      <c r="Y173">
        <v>0</v>
      </c>
      <c r="Z173">
        <v>0</v>
      </c>
    </row>
    <row r="174" spans="1:26">
      <c r="A174" s="1">
        <f>HYPERLINK("https://cms.ls-nyc.org/matter/dynamic-profile/view/1842699","17-1842699")</f>
        <v>0</v>
      </c>
      <c r="B174" t="s">
        <v>26</v>
      </c>
      <c r="C174" t="s">
        <v>54</v>
      </c>
      <c r="D174" t="s">
        <v>183</v>
      </c>
      <c r="E174" t="s">
        <v>505</v>
      </c>
      <c r="F174" t="s">
        <v>1057</v>
      </c>
      <c r="G174" t="s">
        <v>1218</v>
      </c>
      <c r="H174" t="s">
        <v>1375</v>
      </c>
      <c r="I174" t="s">
        <v>1379</v>
      </c>
      <c r="J174" t="s">
        <v>1382</v>
      </c>
      <c r="K174" t="s">
        <v>1385</v>
      </c>
      <c r="M174" t="s">
        <v>1389</v>
      </c>
      <c r="P174" t="s">
        <v>1400</v>
      </c>
      <c r="Q174">
        <v>0</v>
      </c>
      <c r="R174">
        <v>0</v>
      </c>
      <c r="S174">
        <v>0</v>
      </c>
      <c r="T174">
        <v>0</v>
      </c>
      <c r="U174" t="s">
        <v>1404</v>
      </c>
      <c r="V174" t="s">
        <v>1404</v>
      </c>
      <c r="W174">
        <v>0</v>
      </c>
      <c r="X174">
        <v>0</v>
      </c>
      <c r="Y174">
        <v>0</v>
      </c>
      <c r="Z174">
        <v>0</v>
      </c>
    </row>
    <row r="175" spans="1:26">
      <c r="A175" s="1">
        <f>HYPERLINK("https://cms.ls-nyc.org/matter/dynamic-profile/view/1843002","17-1843002")</f>
        <v>0</v>
      </c>
      <c r="B175" t="s">
        <v>27</v>
      </c>
      <c r="C175" t="s">
        <v>50</v>
      </c>
      <c r="D175" t="s">
        <v>217</v>
      </c>
      <c r="E175" t="s">
        <v>653</v>
      </c>
      <c r="F175" t="s">
        <v>1058</v>
      </c>
      <c r="G175" t="s">
        <v>1328</v>
      </c>
      <c r="H175" t="s">
        <v>1375</v>
      </c>
      <c r="I175" t="s">
        <v>1379</v>
      </c>
      <c r="J175" t="s">
        <v>1382</v>
      </c>
      <c r="K175" t="s">
        <v>1385</v>
      </c>
      <c r="M175" t="s">
        <v>1394</v>
      </c>
      <c r="P175" t="s">
        <v>1400</v>
      </c>
      <c r="Q175">
        <v>0</v>
      </c>
      <c r="R175">
        <v>0</v>
      </c>
      <c r="S175">
        <v>0</v>
      </c>
      <c r="T175">
        <v>0</v>
      </c>
      <c r="U175" t="s">
        <v>1404</v>
      </c>
      <c r="V175" t="s">
        <v>1404</v>
      </c>
      <c r="W175">
        <v>0</v>
      </c>
      <c r="X175">
        <v>0</v>
      </c>
      <c r="Y175">
        <v>0</v>
      </c>
      <c r="Z175">
        <v>0</v>
      </c>
    </row>
    <row r="176" spans="1:26">
      <c r="A176" s="1">
        <f>HYPERLINK("https://cms.ls-nyc.org/matter/dynamic-profile/view/1843817","17-1843817")</f>
        <v>0</v>
      </c>
      <c r="B176" t="s">
        <v>27</v>
      </c>
      <c r="C176" t="s">
        <v>32</v>
      </c>
      <c r="D176" t="s">
        <v>218</v>
      </c>
      <c r="E176" t="s">
        <v>654</v>
      </c>
      <c r="F176" t="s">
        <v>1059</v>
      </c>
      <c r="G176" t="s">
        <v>1329</v>
      </c>
      <c r="H176" t="s">
        <v>1375</v>
      </c>
      <c r="I176" t="s">
        <v>1379</v>
      </c>
      <c r="J176" t="s">
        <v>1382</v>
      </c>
      <c r="K176" t="s">
        <v>1385</v>
      </c>
      <c r="M176" t="s">
        <v>1390</v>
      </c>
      <c r="P176" t="s">
        <v>1398</v>
      </c>
      <c r="Q176">
        <v>0</v>
      </c>
      <c r="R176">
        <v>0</v>
      </c>
      <c r="S176">
        <v>17786</v>
      </c>
      <c r="T176">
        <v>837</v>
      </c>
      <c r="U176" t="s">
        <v>1405</v>
      </c>
      <c r="V176" t="s">
        <v>1563</v>
      </c>
      <c r="W176">
        <v>17786</v>
      </c>
      <c r="X176">
        <v>837</v>
      </c>
      <c r="Y176">
        <v>0</v>
      </c>
      <c r="Z176">
        <v>8232</v>
      </c>
    </row>
    <row r="177" spans="1:26">
      <c r="A177" s="1">
        <f>HYPERLINK("https://cms.ls-nyc.org/matter/dynamic-profile/view/1844516","17-1844516")</f>
        <v>0</v>
      </c>
      <c r="B177" t="s">
        <v>28</v>
      </c>
      <c r="C177" t="s">
        <v>36</v>
      </c>
      <c r="D177" t="s">
        <v>219</v>
      </c>
      <c r="E177" t="s">
        <v>655</v>
      </c>
      <c r="F177" t="s">
        <v>1060</v>
      </c>
      <c r="G177" t="s">
        <v>1296</v>
      </c>
      <c r="H177" t="s">
        <v>1378</v>
      </c>
      <c r="I177" t="s">
        <v>1380</v>
      </c>
      <c r="J177" t="s">
        <v>1383</v>
      </c>
      <c r="K177" t="s">
        <v>1385</v>
      </c>
      <c r="M177" t="s">
        <v>1391</v>
      </c>
      <c r="P177" t="s">
        <v>1400</v>
      </c>
      <c r="Q177">
        <v>0</v>
      </c>
      <c r="R177">
        <v>0</v>
      </c>
      <c r="S177">
        <v>0</v>
      </c>
      <c r="T177">
        <v>0</v>
      </c>
      <c r="U177" t="s">
        <v>1404</v>
      </c>
      <c r="V177" t="s">
        <v>1404</v>
      </c>
      <c r="W177">
        <v>0</v>
      </c>
      <c r="X177">
        <v>0</v>
      </c>
      <c r="Y177">
        <v>0</v>
      </c>
      <c r="Z177">
        <v>0</v>
      </c>
    </row>
    <row r="178" spans="1:26">
      <c r="A178" s="1">
        <f>HYPERLINK("https://cms.ls-nyc.org/matter/dynamic-profile/view/1845397","17-1845397")</f>
        <v>0</v>
      </c>
      <c r="B178" t="s">
        <v>27</v>
      </c>
      <c r="C178" t="s">
        <v>37</v>
      </c>
      <c r="D178" t="s">
        <v>220</v>
      </c>
      <c r="E178" t="s">
        <v>656</v>
      </c>
      <c r="F178" t="s">
        <v>1061</v>
      </c>
      <c r="G178" t="s">
        <v>1292</v>
      </c>
      <c r="H178" t="s">
        <v>1375</v>
      </c>
      <c r="I178" t="s">
        <v>1379</v>
      </c>
      <c r="J178" t="s">
        <v>1382</v>
      </c>
      <c r="K178" t="s">
        <v>1385</v>
      </c>
      <c r="M178" t="s">
        <v>1389</v>
      </c>
      <c r="P178" t="s">
        <v>1400</v>
      </c>
      <c r="Q178">
        <v>0</v>
      </c>
      <c r="R178">
        <v>0</v>
      </c>
      <c r="S178">
        <v>0</v>
      </c>
      <c r="T178">
        <v>0</v>
      </c>
      <c r="U178" t="s">
        <v>1404</v>
      </c>
      <c r="V178" t="s">
        <v>1404</v>
      </c>
      <c r="W178">
        <v>0</v>
      </c>
      <c r="X178">
        <v>0</v>
      </c>
      <c r="Y178">
        <v>0</v>
      </c>
      <c r="Z178">
        <v>0</v>
      </c>
    </row>
    <row r="179" spans="1:26">
      <c r="A179" s="1">
        <f>HYPERLINK("https://cms.ls-nyc.org/matter/dynamic-profile/view/1846106","17-1846106")</f>
        <v>0</v>
      </c>
      <c r="B179" t="s">
        <v>26</v>
      </c>
      <c r="C179" t="s">
        <v>55</v>
      </c>
      <c r="D179" t="s">
        <v>221</v>
      </c>
      <c r="E179" t="s">
        <v>657</v>
      </c>
      <c r="F179" t="s">
        <v>1046</v>
      </c>
      <c r="G179" t="s">
        <v>1330</v>
      </c>
      <c r="H179" t="s">
        <v>1375</v>
      </c>
      <c r="I179" t="s">
        <v>1379</v>
      </c>
      <c r="J179" t="s">
        <v>1382</v>
      </c>
      <c r="K179" t="s">
        <v>1385</v>
      </c>
      <c r="M179" t="s">
        <v>1389</v>
      </c>
      <c r="P179" t="s">
        <v>1400</v>
      </c>
      <c r="Q179">
        <v>0</v>
      </c>
      <c r="R179">
        <v>0</v>
      </c>
      <c r="S179">
        <v>0</v>
      </c>
      <c r="T179">
        <v>0</v>
      </c>
      <c r="U179" t="s">
        <v>1404</v>
      </c>
      <c r="V179" t="s">
        <v>1404</v>
      </c>
      <c r="W179">
        <v>0</v>
      </c>
      <c r="X179">
        <v>0</v>
      </c>
      <c r="Y179">
        <v>0</v>
      </c>
      <c r="Z179">
        <v>0</v>
      </c>
    </row>
    <row r="180" spans="1:26">
      <c r="A180" s="1">
        <f>HYPERLINK("https://cms.ls-nyc.org/matter/dynamic-profile/view/1846190","17-1846190")</f>
        <v>0</v>
      </c>
      <c r="B180" t="s">
        <v>26</v>
      </c>
      <c r="C180" t="s">
        <v>55</v>
      </c>
      <c r="D180" t="s">
        <v>222</v>
      </c>
      <c r="E180" t="s">
        <v>658</v>
      </c>
      <c r="F180" t="s">
        <v>1062</v>
      </c>
      <c r="G180" t="s">
        <v>1296</v>
      </c>
      <c r="H180" t="s">
        <v>1375</v>
      </c>
      <c r="I180" t="s">
        <v>1379</v>
      </c>
      <c r="J180" t="s">
        <v>1383</v>
      </c>
      <c r="K180" t="s">
        <v>1385</v>
      </c>
      <c r="M180" t="s">
        <v>1391</v>
      </c>
      <c r="P180" t="s">
        <v>1400</v>
      </c>
      <c r="Q180">
        <v>0</v>
      </c>
      <c r="R180">
        <v>0</v>
      </c>
      <c r="S180">
        <v>0</v>
      </c>
      <c r="T180">
        <v>0</v>
      </c>
      <c r="U180" t="s">
        <v>1404</v>
      </c>
      <c r="V180" t="s">
        <v>1404</v>
      </c>
      <c r="W180">
        <v>0</v>
      </c>
      <c r="X180">
        <v>0</v>
      </c>
      <c r="Y180">
        <v>0</v>
      </c>
      <c r="Z180">
        <v>0</v>
      </c>
    </row>
    <row r="181" spans="1:26">
      <c r="A181" s="1">
        <f>HYPERLINK("https://cms.ls-nyc.org/matter/dynamic-profile/view/1846273","17-1846273")</f>
        <v>0</v>
      </c>
      <c r="B181" t="s">
        <v>26</v>
      </c>
      <c r="C181" t="s">
        <v>55</v>
      </c>
      <c r="D181" t="s">
        <v>223</v>
      </c>
      <c r="E181" t="s">
        <v>659</v>
      </c>
      <c r="F181" t="s">
        <v>1062</v>
      </c>
      <c r="G181" t="s">
        <v>1220</v>
      </c>
      <c r="H181" t="s">
        <v>1375</v>
      </c>
      <c r="I181" t="s">
        <v>1379</v>
      </c>
      <c r="J181" t="s">
        <v>1382</v>
      </c>
      <c r="K181" t="s">
        <v>1385</v>
      </c>
      <c r="M181" t="s">
        <v>1391</v>
      </c>
      <c r="P181" t="s">
        <v>1400</v>
      </c>
      <c r="Q181">
        <v>0</v>
      </c>
      <c r="R181">
        <v>0</v>
      </c>
      <c r="S181">
        <v>0</v>
      </c>
      <c r="T181">
        <v>0</v>
      </c>
      <c r="U181" t="s">
        <v>1404</v>
      </c>
      <c r="V181" t="s">
        <v>1404</v>
      </c>
      <c r="W181">
        <v>0</v>
      </c>
      <c r="X181">
        <v>0</v>
      </c>
      <c r="Y181">
        <v>0</v>
      </c>
      <c r="Z181">
        <v>0</v>
      </c>
    </row>
    <row r="182" spans="1:26">
      <c r="A182" s="1">
        <f>HYPERLINK("https://cms.ls-nyc.org/matter/dynamic-profile/view/1846375","17-1846375")</f>
        <v>0</v>
      </c>
      <c r="B182" t="s">
        <v>26</v>
      </c>
      <c r="C182" t="s">
        <v>55</v>
      </c>
      <c r="D182" t="s">
        <v>224</v>
      </c>
      <c r="E182" t="s">
        <v>660</v>
      </c>
      <c r="F182" t="s">
        <v>1063</v>
      </c>
      <c r="G182" t="s">
        <v>1330</v>
      </c>
      <c r="H182" t="s">
        <v>1375</v>
      </c>
      <c r="I182" t="s">
        <v>1379</v>
      </c>
      <c r="J182" t="s">
        <v>1382</v>
      </c>
      <c r="K182" t="s">
        <v>1385</v>
      </c>
      <c r="M182" t="s">
        <v>1389</v>
      </c>
      <c r="P182" t="s">
        <v>1400</v>
      </c>
      <c r="Q182">
        <v>0</v>
      </c>
      <c r="R182">
        <v>0</v>
      </c>
      <c r="S182">
        <v>0</v>
      </c>
      <c r="T182">
        <v>0</v>
      </c>
      <c r="U182" t="s">
        <v>1404</v>
      </c>
      <c r="V182" t="s">
        <v>1404</v>
      </c>
      <c r="W182">
        <v>0</v>
      </c>
      <c r="X182">
        <v>0</v>
      </c>
      <c r="Y182">
        <v>0</v>
      </c>
      <c r="Z182">
        <v>0</v>
      </c>
    </row>
    <row r="183" spans="1:26">
      <c r="A183" s="1">
        <f>HYPERLINK("https://cms.ls-nyc.org/matter/dynamic-profile/view/1846390","17-1846390")</f>
        <v>0</v>
      </c>
      <c r="B183" t="s">
        <v>26</v>
      </c>
      <c r="C183" t="s">
        <v>56</v>
      </c>
      <c r="D183" t="s">
        <v>225</v>
      </c>
      <c r="E183" t="s">
        <v>661</v>
      </c>
      <c r="F183" t="s">
        <v>1063</v>
      </c>
      <c r="G183" t="s">
        <v>1201</v>
      </c>
      <c r="H183" t="s">
        <v>1375</v>
      </c>
      <c r="I183" t="s">
        <v>1379</v>
      </c>
      <c r="J183" t="s">
        <v>1383</v>
      </c>
      <c r="K183" t="s">
        <v>1385</v>
      </c>
      <c r="M183" t="s">
        <v>1390</v>
      </c>
      <c r="P183" t="s">
        <v>1397</v>
      </c>
      <c r="Q183">
        <v>0</v>
      </c>
      <c r="R183">
        <v>0</v>
      </c>
      <c r="S183">
        <v>0</v>
      </c>
      <c r="T183">
        <v>0</v>
      </c>
      <c r="U183" t="s">
        <v>1404</v>
      </c>
      <c r="V183" t="s">
        <v>1404</v>
      </c>
      <c r="W183">
        <v>0</v>
      </c>
      <c r="X183">
        <v>0</v>
      </c>
      <c r="Y183">
        <v>0</v>
      </c>
      <c r="Z183">
        <v>0</v>
      </c>
    </row>
    <row r="184" spans="1:26">
      <c r="A184" s="1">
        <f>HYPERLINK("https://cms.ls-nyc.org/matter/dynamic-profile/view/1846784","17-1846784")</f>
        <v>0</v>
      </c>
      <c r="B184" t="s">
        <v>26</v>
      </c>
      <c r="C184" t="s">
        <v>55</v>
      </c>
      <c r="D184" t="s">
        <v>226</v>
      </c>
      <c r="E184" t="s">
        <v>662</v>
      </c>
      <c r="F184" t="s">
        <v>1064</v>
      </c>
      <c r="G184" t="s">
        <v>1225</v>
      </c>
      <c r="H184" t="s">
        <v>1375</v>
      </c>
      <c r="I184" t="s">
        <v>1379</v>
      </c>
      <c r="J184" t="s">
        <v>1382</v>
      </c>
      <c r="K184" t="s">
        <v>1385</v>
      </c>
      <c r="M184" t="s">
        <v>1391</v>
      </c>
      <c r="P184" t="s">
        <v>1400</v>
      </c>
      <c r="Q184">
        <v>0</v>
      </c>
      <c r="R184">
        <v>0</v>
      </c>
      <c r="S184">
        <v>0</v>
      </c>
      <c r="T184">
        <v>0</v>
      </c>
      <c r="U184" t="s">
        <v>1404</v>
      </c>
      <c r="V184" t="s">
        <v>1404</v>
      </c>
      <c r="W184">
        <v>0</v>
      </c>
      <c r="X184">
        <v>0</v>
      </c>
      <c r="Y184">
        <v>0</v>
      </c>
      <c r="Z184">
        <v>0</v>
      </c>
    </row>
    <row r="185" spans="1:26">
      <c r="A185" s="1">
        <f>HYPERLINK("https://cms.ls-nyc.org/matter/dynamic-profile/view/1846841","17-1846841")</f>
        <v>0</v>
      </c>
      <c r="B185" t="s">
        <v>26</v>
      </c>
      <c r="C185" t="s">
        <v>55</v>
      </c>
      <c r="D185" t="s">
        <v>227</v>
      </c>
      <c r="E185" t="s">
        <v>663</v>
      </c>
      <c r="F185" t="s">
        <v>1064</v>
      </c>
      <c r="G185" t="s">
        <v>1331</v>
      </c>
      <c r="H185" t="s">
        <v>1375</v>
      </c>
      <c r="I185" t="s">
        <v>1379</v>
      </c>
      <c r="J185" t="s">
        <v>1383</v>
      </c>
      <c r="K185" t="s">
        <v>1385</v>
      </c>
      <c r="M185" t="s">
        <v>1389</v>
      </c>
      <c r="P185" t="s">
        <v>1400</v>
      </c>
      <c r="Q185">
        <v>0</v>
      </c>
      <c r="R185">
        <v>0</v>
      </c>
      <c r="S185">
        <v>0</v>
      </c>
      <c r="T185">
        <v>0</v>
      </c>
      <c r="U185" t="s">
        <v>1404</v>
      </c>
      <c r="V185" t="s">
        <v>1404</v>
      </c>
      <c r="W185">
        <v>0</v>
      </c>
      <c r="X185">
        <v>0</v>
      </c>
      <c r="Y185">
        <v>0</v>
      </c>
      <c r="Z185">
        <v>0</v>
      </c>
    </row>
    <row r="186" spans="1:26">
      <c r="A186" s="1">
        <f>HYPERLINK("https://cms.ls-nyc.org/matter/dynamic-profile/view/1847014","17-1847014")</f>
        <v>0</v>
      </c>
      <c r="B186" t="s">
        <v>26</v>
      </c>
      <c r="C186" t="s">
        <v>31</v>
      </c>
      <c r="D186" t="s">
        <v>228</v>
      </c>
      <c r="E186" t="s">
        <v>664</v>
      </c>
      <c r="F186" t="s">
        <v>1065</v>
      </c>
      <c r="G186" t="s">
        <v>1332</v>
      </c>
      <c r="H186" t="s">
        <v>1375</v>
      </c>
      <c r="I186" t="s">
        <v>1379</v>
      </c>
      <c r="J186" t="s">
        <v>1382</v>
      </c>
      <c r="K186" t="s">
        <v>1385</v>
      </c>
      <c r="M186" t="s">
        <v>1390</v>
      </c>
      <c r="P186" t="s">
        <v>1398</v>
      </c>
      <c r="Q186">
        <v>0</v>
      </c>
      <c r="R186">
        <v>0</v>
      </c>
      <c r="S186">
        <v>23021</v>
      </c>
      <c r="T186">
        <v>1061</v>
      </c>
      <c r="U186" t="s">
        <v>1448</v>
      </c>
      <c r="V186" t="s">
        <v>1564</v>
      </c>
      <c r="W186">
        <v>50023</v>
      </c>
      <c r="X186">
        <v>0</v>
      </c>
      <c r="Y186">
        <v>1061</v>
      </c>
      <c r="Z186">
        <v>5800</v>
      </c>
    </row>
    <row r="187" spans="1:26">
      <c r="A187" s="1">
        <f>HYPERLINK("https://cms.ls-nyc.org/matter/dynamic-profile/view/1848005","17-1848005")</f>
        <v>0</v>
      </c>
      <c r="B187" t="s">
        <v>26</v>
      </c>
      <c r="C187" t="s">
        <v>31</v>
      </c>
      <c r="D187" t="s">
        <v>103</v>
      </c>
      <c r="E187" t="s">
        <v>537</v>
      </c>
      <c r="F187" t="s">
        <v>1066</v>
      </c>
      <c r="G187" t="s">
        <v>1248</v>
      </c>
      <c r="H187" t="s">
        <v>1375</v>
      </c>
      <c r="I187" t="s">
        <v>1379</v>
      </c>
      <c r="J187" t="s">
        <v>1382</v>
      </c>
      <c r="K187" t="s">
        <v>1385</v>
      </c>
      <c r="M187" t="s">
        <v>1391</v>
      </c>
      <c r="P187" t="s">
        <v>1400</v>
      </c>
      <c r="Q187">
        <v>0</v>
      </c>
      <c r="R187">
        <v>0</v>
      </c>
      <c r="S187">
        <v>0</v>
      </c>
      <c r="T187">
        <v>0</v>
      </c>
      <c r="U187" t="s">
        <v>1404</v>
      </c>
      <c r="V187" t="s">
        <v>1404</v>
      </c>
      <c r="W187">
        <v>0</v>
      </c>
      <c r="X187">
        <v>0</v>
      </c>
      <c r="Y187">
        <v>0</v>
      </c>
      <c r="Z187">
        <v>0</v>
      </c>
    </row>
    <row r="188" spans="1:26">
      <c r="A188" s="1">
        <f>HYPERLINK("https://cms.ls-nyc.org/matter/dynamic-profile/view/1848148","17-1848148")</f>
        <v>0</v>
      </c>
      <c r="B188" t="s">
        <v>28</v>
      </c>
      <c r="C188" t="s">
        <v>52</v>
      </c>
      <c r="D188" t="s">
        <v>229</v>
      </c>
      <c r="E188" t="s">
        <v>665</v>
      </c>
      <c r="F188" t="s">
        <v>1067</v>
      </c>
      <c r="G188" t="s">
        <v>1292</v>
      </c>
      <c r="H188" t="s">
        <v>1375</v>
      </c>
      <c r="I188" t="s">
        <v>1379</v>
      </c>
      <c r="J188" t="s">
        <v>1383</v>
      </c>
      <c r="K188" t="s">
        <v>1385</v>
      </c>
      <c r="M188" t="s">
        <v>1391</v>
      </c>
      <c r="P188" t="s">
        <v>1399</v>
      </c>
      <c r="Q188">
        <v>0</v>
      </c>
      <c r="R188">
        <v>0</v>
      </c>
      <c r="S188">
        <v>0</v>
      </c>
      <c r="T188">
        <v>0</v>
      </c>
      <c r="U188" t="s">
        <v>1404</v>
      </c>
      <c r="V188" t="s">
        <v>1404</v>
      </c>
      <c r="W188">
        <v>0</v>
      </c>
      <c r="X188">
        <v>0</v>
      </c>
      <c r="Y188">
        <v>0</v>
      </c>
      <c r="Z188">
        <v>0</v>
      </c>
    </row>
    <row r="189" spans="1:26">
      <c r="A189" s="1">
        <f>HYPERLINK("https://cms.ls-nyc.org/matter/dynamic-profile/view/1848686","17-1848686")</f>
        <v>0</v>
      </c>
      <c r="B189" t="s">
        <v>26</v>
      </c>
      <c r="C189" t="s">
        <v>51</v>
      </c>
      <c r="D189" t="s">
        <v>230</v>
      </c>
      <c r="E189" t="s">
        <v>666</v>
      </c>
      <c r="F189" t="s">
        <v>1068</v>
      </c>
      <c r="G189" t="s">
        <v>1235</v>
      </c>
      <c r="H189" t="s">
        <v>1375</v>
      </c>
      <c r="I189" t="s">
        <v>1379</v>
      </c>
      <c r="J189" t="s">
        <v>1383</v>
      </c>
      <c r="K189" t="s">
        <v>1385</v>
      </c>
      <c r="M189" t="s">
        <v>1390</v>
      </c>
      <c r="P189" t="s">
        <v>1397</v>
      </c>
      <c r="Q189">
        <v>0</v>
      </c>
      <c r="R189">
        <v>0</v>
      </c>
      <c r="S189">
        <v>0</v>
      </c>
      <c r="T189">
        <v>0</v>
      </c>
      <c r="U189" t="s">
        <v>1404</v>
      </c>
      <c r="V189" t="s">
        <v>1404</v>
      </c>
      <c r="W189">
        <v>0</v>
      </c>
      <c r="X189">
        <v>0</v>
      </c>
      <c r="Y189">
        <v>0</v>
      </c>
      <c r="Z189">
        <v>0</v>
      </c>
    </row>
    <row r="190" spans="1:26">
      <c r="A190" s="1">
        <f>HYPERLINK("https://cms.ls-nyc.org/matter/dynamic-profile/view/1849082","17-1849082")</f>
        <v>0</v>
      </c>
      <c r="B190" t="s">
        <v>26</v>
      </c>
      <c r="C190" t="s">
        <v>30</v>
      </c>
      <c r="D190" t="s">
        <v>231</v>
      </c>
      <c r="E190" t="s">
        <v>519</v>
      </c>
      <c r="F190" t="s">
        <v>1069</v>
      </c>
      <c r="G190" t="s">
        <v>1256</v>
      </c>
      <c r="H190" t="s">
        <v>1375</v>
      </c>
      <c r="I190" t="s">
        <v>1379</v>
      </c>
      <c r="J190" t="s">
        <v>1383</v>
      </c>
      <c r="K190" t="s">
        <v>1385</v>
      </c>
      <c r="M190" t="s">
        <v>1390</v>
      </c>
      <c r="P190" t="s">
        <v>1398</v>
      </c>
      <c r="Q190">
        <v>0</v>
      </c>
      <c r="R190">
        <v>0</v>
      </c>
      <c r="S190">
        <v>7560</v>
      </c>
      <c r="T190">
        <v>845</v>
      </c>
      <c r="U190" t="s">
        <v>1449</v>
      </c>
      <c r="V190" t="s">
        <v>1565</v>
      </c>
      <c r="W190">
        <v>7560</v>
      </c>
      <c r="X190">
        <v>845</v>
      </c>
      <c r="Y190">
        <v>0</v>
      </c>
      <c r="Z190">
        <v>845</v>
      </c>
    </row>
    <row r="191" spans="1:26">
      <c r="A191" s="1">
        <f>HYPERLINK("https://cms.ls-nyc.org/matter/dynamic-profile/view/1849447","17-1849447")</f>
        <v>0</v>
      </c>
      <c r="B191" t="s">
        <v>28</v>
      </c>
      <c r="C191" t="s">
        <v>57</v>
      </c>
      <c r="D191" t="s">
        <v>232</v>
      </c>
      <c r="E191" t="s">
        <v>667</v>
      </c>
      <c r="F191" t="s">
        <v>1070</v>
      </c>
      <c r="G191" t="s">
        <v>1333</v>
      </c>
      <c r="H191" t="s">
        <v>1378</v>
      </c>
      <c r="I191" t="s">
        <v>1379</v>
      </c>
      <c r="J191" t="s">
        <v>1382</v>
      </c>
      <c r="K191" t="s">
        <v>1385</v>
      </c>
      <c r="M191" t="s">
        <v>1389</v>
      </c>
      <c r="P191" t="s">
        <v>1400</v>
      </c>
      <c r="Q191">
        <v>0</v>
      </c>
      <c r="R191">
        <v>0</v>
      </c>
      <c r="S191">
        <v>0</v>
      </c>
      <c r="T191">
        <v>0</v>
      </c>
      <c r="U191" t="s">
        <v>1404</v>
      </c>
      <c r="V191" t="s">
        <v>1404</v>
      </c>
      <c r="W191">
        <v>0</v>
      </c>
      <c r="X191">
        <v>0</v>
      </c>
      <c r="Y191">
        <v>0</v>
      </c>
      <c r="Z191">
        <v>0</v>
      </c>
    </row>
    <row r="192" spans="1:26">
      <c r="A192" s="1">
        <f>HYPERLINK("https://cms.ls-nyc.org/matter/dynamic-profile/view/1849483","17-1849483")</f>
        <v>0</v>
      </c>
      <c r="B192" t="s">
        <v>27</v>
      </c>
      <c r="C192" t="s">
        <v>43</v>
      </c>
      <c r="D192" t="s">
        <v>233</v>
      </c>
      <c r="E192" t="s">
        <v>668</v>
      </c>
      <c r="F192" t="s">
        <v>1071</v>
      </c>
      <c r="G192" t="s">
        <v>1243</v>
      </c>
      <c r="H192" t="s">
        <v>1375</v>
      </c>
      <c r="I192" t="s">
        <v>1379</v>
      </c>
      <c r="J192" t="s">
        <v>1382</v>
      </c>
      <c r="K192" t="s">
        <v>1385</v>
      </c>
      <c r="M192" t="s">
        <v>1390</v>
      </c>
      <c r="P192" t="s">
        <v>1398</v>
      </c>
      <c r="Q192">
        <v>0</v>
      </c>
      <c r="R192">
        <v>10560</v>
      </c>
      <c r="S192">
        <v>22891</v>
      </c>
      <c r="T192">
        <v>773</v>
      </c>
      <c r="U192" t="s">
        <v>1406</v>
      </c>
      <c r="V192" t="s">
        <v>1566</v>
      </c>
      <c r="W192">
        <v>22891</v>
      </c>
      <c r="X192">
        <v>773</v>
      </c>
      <c r="Y192">
        <v>0</v>
      </c>
      <c r="Z192">
        <v>10560</v>
      </c>
    </row>
    <row r="193" spans="1:26">
      <c r="A193" s="1">
        <f>HYPERLINK("https://cms.ls-nyc.org/matter/dynamic-profile/view/1849587","17-1849587")</f>
        <v>0</v>
      </c>
      <c r="B193" t="s">
        <v>29</v>
      </c>
      <c r="C193" t="s">
        <v>40</v>
      </c>
      <c r="D193" t="s">
        <v>234</v>
      </c>
      <c r="E193" t="s">
        <v>669</v>
      </c>
      <c r="F193" t="s">
        <v>1072</v>
      </c>
      <c r="G193" t="s">
        <v>1232</v>
      </c>
      <c r="H193" t="s">
        <v>1375</v>
      </c>
      <c r="I193" t="s">
        <v>1379</v>
      </c>
      <c r="J193" t="s">
        <v>1383</v>
      </c>
      <c r="K193" t="s">
        <v>1385</v>
      </c>
      <c r="M193" t="s">
        <v>1390</v>
      </c>
      <c r="P193" t="s">
        <v>1398</v>
      </c>
      <c r="Q193">
        <v>0</v>
      </c>
      <c r="R193">
        <v>0</v>
      </c>
      <c r="S193">
        <v>25113.3</v>
      </c>
      <c r="T193">
        <v>1048.5</v>
      </c>
      <c r="U193" t="s">
        <v>1450</v>
      </c>
      <c r="V193" t="s">
        <v>1567</v>
      </c>
      <c r="W193">
        <v>25113.3</v>
      </c>
      <c r="X193">
        <v>0</v>
      </c>
      <c r="Y193">
        <v>1048.5</v>
      </c>
      <c r="Z193">
        <v>14729.7</v>
      </c>
    </row>
    <row r="194" spans="1:26">
      <c r="A194" s="1">
        <f>HYPERLINK("https://cms.ls-nyc.org/matter/dynamic-profile/view/1850614","17-1850614")</f>
        <v>0</v>
      </c>
      <c r="B194" t="s">
        <v>26</v>
      </c>
      <c r="C194" t="s">
        <v>55</v>
      </c>
      <c r="D194" t="s">
        <v>235</v>
      </c>
      <c r="E194" t="s">
        <v>670</v>
      </c>
      <c r="F194" t="s">
        <v>1073</v>
      </c>
      <c r="G194" t="s">
        <v>1331</v>
      </c>
      <c r="H194" t="s">
        <v>1375</v>
      </c>
      <c r="I194" t="s">
        <v>1379</v>
      </c>
      <c r="J194" t="s">
        <v>1383</v>
      </c>
      <c r="K194" t="s">
        <v>1385</v>
      </c>
      <c r="M194" t="s">
        <v>1389</v>
      </c>
      <c r="P194" t="s">
        <v>1400</v>
      </c>
      <c r="Q194">
        <v>0</v>
      </c>
      <c r="R194">
        <v>0</v>
      </c>
      <c r="S194">
        <v>0</v>
      </c>
      <c r="T194">
        <v>0</v>
      </c>
      <c r="U194" t="s">
        <v>1404</v>
      </c>
      <c r="V194" t="s">
        <v>1404</v>
      </c>
      <c r="W194">
        <v>0</v>
      </c>
      <c r="X194">
        <v>0</v>
      </c>
      <c r="Y194">
        <v>0</v>
      </c>
      <c r="Z194">
        <v>0</v>
      </c>
    </row>
    <row r="195" spans="1:26">
      <c r="A195" s="1">
        <f>HYPERLINK("https://cms.ls-nyc.org/matter/dynamic-profile/view/1850665","17-1850665")</f>
        <v>0</v>
      </c>
      <c r="B195" t="s">
        <v>27</v>
      </c>
      <c r="C195" t="s">
        <v>43</v>
      </c>
      <c r="D195" t="s">
        <v>236</v>
      </c>
      <c r="E195" t="s">
        <v>671</v>
      </c>
      <c r="F195" t="s">
        <v>1074</v>
      </c>
      <c r="G195" t="s">
        <v>1229</v>
      </c>
      <c r="H195" t="s">
        <v>1375</v>
      </c>
      <c r="I195" t="s">
        <v>1379</v>
      </c>
      <c r="J195" t="s">
        <v>1382</v>
      </c>
      <c r="K195" t="s">
        <v>1385</v>
      </c>
      <c r="M195" t="s">
        <v>1390</v>
      </c>
      <c r="P195" t="s">
        <v>1398</v>
      </c>
      <c r="Q195">
        <v>0</v>
      </c>
      <c r="R195">
        <v>0</v>
      </c>
      <c r="S195">
        <v>28922</v>
      </c>
      <c r="T195">
        <v>773</v>
      </c>
      <c r="U195" t="s">
        <v>1406</v>
      </c>
      <c r="V195" t="s">
        <v>1568</v>
      </c>
      <c r="W195">
        <v>28922</v>
      </c>
      <c r="X195">
        <v>773</v>
      </c>
      <c r="Y195">
        <v>0</v>
      </c>
      <c r="Z195">
        <v>13376</v>
      </c>
    </row>
    <row r="196" spans="1:26">
      <c r="A196" s="1">
        <f>HYPERLINK("https://cms.ls-nyc.org/matter/dynamic-profile/view/1850678","17-1850678")</f>
        <v>0</v>
      </c>
      <c r="B196" t="s">
        <v>26</v>
      </c>
      <c r="C196" t="s">
        <v>53</v>
      </c>
      <c r="D196" t="s">
        <v>237</v>
      </c>
      <c r="E196" t="s">
        <v>539</v>
      </c>
      <c r="F196" t="s">
        <v>1074</v>
      </c>
      <c r="G196" t="s">
        <v>1324</v>
      </c>
      <c r="H196" t="s">
        <v>1375</v>
      </c>
      <c r="I196" t="s">
        <v>1379</v>
      </c>
      <c r="J196" t="s">
        <v>1382</v>
      </c>
      <c r="K196" t="s">
        <v>1385</v>
      </c>
      <c r="M196" t="s">
        <v>1390</v>
      </c>
      <c r="P196" t="s">
        <v>1398</v>
      </c>
      <c r="Q196">
        <v>0</v>
      </c>
      <c r="R196">
        <v>0</v>
      </c>
      <c r="S196">
        <v>56176</v>
      </c>
      <c r="T196">
        <v>1300</v>
      </c>
      <c r="U196" t="s">
        <v>1451</v>
      </c>
      <c r="V196" t="s">
        <v>1569</v>
      </c>
      <c r="W196">
        <v>56176</v>
      </c>
      <c r="X196">
        <v>0</v>
      </c>
      <c r="Y196">
        <v>1300</v>
      </c>
      <c r="Z196">
        <v>0</v>
      </c>
    </row>
    <row r="197" spans="1:26">
      <c r="A197" s="1">
        <f>HYPERLINK("https://cms.ls-nyc.org/matter/dynamic-profile/view/1850722","17-1850722")</f>
        <v>0</v>
      </c>
      <c r="B197" t="s">
        <v>27</v>
      </c>
      <c r="C197" t="s">
        <v>50</v>
      </c>
      <c r="D197" t="s">
        <v>224</v>
      </c>
      <c r="E197" t="s">
        <v>672</v>
      </c>
      <c r="F197" t="s">
        <v>1074</v>
      </c>
      <c r="G197" t="s">
        <v>1304</v>
      </c>
      <c r="H197" t="s">
        <v>1375</v>
      </c>
      <c r="I197" t="s">
        <v>1379</v>
      </c>
      <c r="J197" t="s">
        <v>1383</v>
      </c>
      <c r="K197" t="s">
        <v>1385</v>
      </c>
      <c r="M197" t="s">
        <v>1390</v>
      </c>
      <c r="P197" t="s">
        <v>1398</v>
      </c>
      <c r="Q197">
        <v>0</v>
      </c>
      <c r="R197">
        <v>0</v>
      </c>
      <c r="S197">
        <v>18552</v>
      </c>
      <c r="T197">
        <v>773</v>
      </c>
      <c r="U197" t="s">
        <v>1452</v>
      </c>
      <c r="V197" t="s">
        <v>1570</v>
      </c>
      <c r="W197">
        <v>18552</v>
      </c>
      <c r="X197">
        <v>773</v>
      </c>
      <c r="Y197">
        <v>18552</v>
      </c>
      <c r="Z197">
        <v>0</v>
      </c>
    </row>
    <row r="198" spans="1:26">
      <c r="A198" s="1">
        <f>HYPERLINK("https://cms.ls-nyc.org/matter/dynamic-profile/view/1850811","17-1850811")</f>
        <v>0</v>
      </c>
      <c r="B198" t="s">
        <v>26</v>
      </c>
      <c r="C198" t="s">
        <v>54</v>
      </c>
      <c r="D198" t="s">
        <v>238</v>
      </c>
      <c r="E198" t="s">
        <v>673</v>
      </c>
      <c r="F198" t="s">
        <v>1075</v>
      </c>
      <c r="G198" t="s">
        <v>1296</v>
      </c>
      <c r="H198" t="s">
        <v>1375</v>
      </c>
      <c r="I198" t="s">
        <v>1379</v>
      </c>
      <c r="J198" t="s">
        <v>1382</v>
      </c>
      <c r="K198" t="s">
        <v>1385</v>
      </c>
      <c r="M198" t="s">
        <v>1389</v>
      </c>
      <c r="P198" t="s">
        <v>1400</v>
      </c>
      <c r="Q198">
        <v>0</v>
      </c>
      <c r="R198">
        <v>0</v>
      </c>
      <c r="S198">
        <v>0</v>
      </c>
      <c r="T198">
        <v>0</v>
      </c>
      <c r="U198" t="s">
        <v>1404</v>
      </c>
      <c r="V198" t="s">
        <v>1404</v>
      </c>
      <c r="W198">
        <v>0</v>
      </c>
      <c r="X198">
        <v>0</v>
      </c>
      <c r="Y198">
        <v>0</v>
      </c>
      <c r="Z198">
        <v>0</v>
      </c>
    </row>
    <row r="199" spans="1:26">
      <c r="A199" s="1">
        <f>HYPERLINK("https://cms.ls-nyc.org/matter/dynamic-profile/view/1850839","17-1850839")</f>
        <v>0</v>
      </c>
      <c r="B199" t="s">
        <v>27</v>
      </c>
      <c r="C199" t="s">
        <v>43</v>
      </c>
      <c r="D199" t="s">
        <v>239</v>
      </c>
      <c r="E199" t="s">
        <v>629</v>
      </c>
      <c r="F199" t="s">
        <v>1075</v>
      </c>
      <c r="G199" t="s">
        <v>1334</v>
      </c>
      <c r="H199" t="s">
        <v>1375</v>
      </c>
      <c r="I199" t="s">
        <v>1379</v>
      </c>
      <c r="J199" t="s">
        <v>1383</v>
      </c>
      <c r="K199" t="s">
        <v>1385</v>
      </c>
      <c r="M199" t="s">
        <v>1390</v>
      </c>
      <c r="P199" t="s">
        <v>1398</v>
      </c>
      <c r="Q199">
        <v>0</v>
      </c>
      <c r="R199">
        <v>0</v>
      </c>
      <c r="S199">
        <v>24794</v>
      </c>
      <c r="T199">
        <v>837</v>
      </c>
      <c r="U199" t="s">
        <v>1405</v>
      </c>
      <c r="V199" t="s">
        <v>1571</v>
      </c>
      <c r="W199">
        <v>14234</v>
      </c>
      <c r="X199">
        <v>837</v>
      </c>
      <c r="Y199">
        <v>0</v>
      </c>
      <c r="Z199">
        <v>10560</v>
      </c>
    </row>
    <row r="200" spans="1:26">
      <c r="A200" s="1">
        <f>HYPERLINK("https://cms.ls-nyc.org/matter/dynamic-profile/view/1850924","17-1850924")</f>
        <v>0</v>
      </c>
      <c r="B200" t="s">
        <v>26</v>
      </c>
      <c r="C200" t="s">
        <v>54</v>
      </c>
      <c r="D200" t="s">
        <v>240</v>
      </c>
      <c r="E200" t="s">
        <v>674</v>
      </c>
      <c r="F200" t="s">
        <v>1076</v>
      </c>
      <c r="G200" t="s">
        <v>1296</v>
      </c>
      <c r="H200" t="s">
        <v>1375</v>
      </c>
      <c r="I200" t="s">
        <v>1379</v>
      </c>
      <c r="J200" t="s">
        <v>1383</v>
      </c>
      <c r="K200" t="s">
        <v>1385</v>
      </c>
      <c r="M200" t="s">
        <v>1389</v>
      </c>
      <c r="P200" t="s">
        <v>1400</v>
      </c>
      <c r="Q200">
        <v>0</v>
      </c>
      <c r="R200">
        <v>0</v>
      </c>
      <c r="S200">
        <v>0</v>
      </c>
      <c r="T200">
        <v>0</v>
      </c>
      <c r="U200" t="s">
        <v>1404</v>
      </c>
      <c r="V200" t="s">
        <v>1404</v>
      </c>
      <c r="W200">
        <v>0</v>
      </c>
      <c r="X200">
        <v>0</v>
      </c>
      <c r="Y200">
        <v>0</v>
      </c>
      <c r="Z200">
        <v>0</v>
      </c>
    </row>
    <row r="201" spans="1:26">
      <c r="A201" s="1">
        <f>HYPERLINK("https://cms.ls-nyc.org/matter/dynamic-profile/view/1850993","17-1850993")</f>
        <v>0</v>
      </c>
      <c r="B201" t="s">
        <v>28</v>
      </c>
      <c r="C201" t="s">
        <v>52</v>
      </c>
      <c r="D201" t="s">
        <v>241</v>
      </c>
      <c r="E201" t="s">
        <v>675</v>
      </c>
      <c r="F201" t="s">
        <v>1076</v>
      </c>
      <c r="G201" t="s">
        <v>1292</v>
      </c>
      <c r="H201" t="s">
        <v>1378</v>
      </c>
      <c r="I201" t="s">
        <v>1378</v>
      </c>
      <c r="J201" t="s">
        <v>1384</v>
      </c>
      <c r="K201" t="s">
        <v>1385</v>
      </c>
      <c r="M201" t="s">
        <v>1391</v>
      </c>
      <c r="P201" t="s">
        <v>1400</v>
      </c>
      <c r="Q201">
        <v>0</v>
      </c>
      <c r="R201">
        <v>0</v>
      </c>
      <c r="S201">
        <v>0</v>
      </c>
      <c r="T201">
        <v>0</v>
      </c>
      <c r="U201" t="s">
        <v>1404</v>
      </c>
      <c r="V201" t="s">
        <v>1404</v>
      </c>
      <c r="W201">
        <v>0</v>
      </c>
      <c r="X201">
        <v>0</v>
      </c>
      <c r="Y201">
        <v>0</v>
      </c>
      <c r="Z201">
        <v>0</v>
      </c>
    </row>
    <row r="202" spans="1:26">
      <c r="A202" s="1">
        <f>HYPERLINK("https://cms.ls-nyc.org/matter/dynamic-profile/view/1851003","17-1851003")</f>
        <v>0</v>
      </c>
      <c r="B202" t="s">
        <v>26</v>
      </c>
      <c r="C202" t="s">
        <v>54</v>
      </c>
      <c r="D202" t="s">
        <v>242</v>
      </c>
      <c r="E202" t="s">
        <v>592</v>
      </c>
      <c r="F202" t="s">
        <v>1076</v>
      </c>
      <c r="G202" t="s">
        <v>1330</v>
      </c>
      <c r="H202" t="s">
        <v>1375</v>
      </c>
      <c r="I202" t="s">
        <v>1379</v>
      </c>
      <c r="J202" t="s">
        <v>1383</v>
      </c>
      <c r="K202" t="s">
        <v>1385</v>
      </c>
      <c r="M202" t="s">
        <v>1391</v>
      </c>
      <c r="P202" t="s">
        <v>1400</v>
      </c>
      <c r="Q202">
        <v>0</v>
      </c>
      <c r="R202">
        <v>0</v>
      </c>
      <c r="S202">
        <v>0</v>
      </c>
      <c r="T202">
        <v>0</v>
      </c>
      <c r="U202" t="s">
        <v>1404</v>
      </c>
      <c r="V202" t="s">
        <v>1404</v>
      </c>
      <c r="W202">
        <v>0</v>
      </c>
      <c r="X202">
        <v>0</v>
      </c>
      <c r="Y202">
        <v>0</v>
      </c>
      <c r="Z202">
        <v>0</v>
      </c>
    </row>
    <row r="203" spans="1:26">
      <c r="A203" s="1">
        <f>HYPERLINK("https://cms.ls-nyc.org/matter/dynamic-profile/view/1851180","17-1851180")</f>
        <v>0</v>
      </c>
      <c r="B203" t="s">
        <v>27</v>
      </c>
      <c r="C203" t="s">
        <v>37</v>
      </c>
      <c r="D203" t="s">
        <v>243</v>
      </c>
      <c r="E203" t="s">
        <v>676</v>
      </c>
      <c r="F203" t="s">
        <v>1077</v>
      </c>
      <c r="G203" t="s">
        <v>1292</v>
      </c>
      <c r="H203" t="s">
        <v>1378</v>
      </c>
      <c r="I203" t="s">
        <v>1379</v>
      </c>
      <c r="J203" t="s">
        <v>1382</v>
      </c>
      <c r="K203" t="s">
        <v>1385</v>
      </c>
      <c r="M203" t="s">
        <v>1389</v>
      </c>
      <c r="P203" t="s">
        <v>1400</v>
      </c>
      <c r="Q203">
        <v>0</v>
      </c>
      <c r="R203">
        <v>0</v>
      </c>
      <c r="S203">
        <v>0</v>
      </c>
      <c r="T203">
        <v>0</v>
      </c>
      <c r="U203" t="s">
        <v>1404</v>
      </c>
      <c r="V203" t="s">
        <v>1404</v>
      </c>
      <c r="W203">
        <v>0</v>
      </c>
      <c r="X203">
        <v>0</v>
      </c>
      <c r="Y203">
        <v>0</v>
      </c>
      <c r="Z203">
        <v>0</v>
      </c>
    </row>
    <row r="204" spans="1:26">
      <c r="A204" s="1">
        <f>HYPERLINK("https://cms.ls-nyc.org/matter/dynamic-profile/view/1851190","17-1851190")</f>
        <v>0</v>
      </c>
      <c r="B204" t="s">
        <v>27</v>
      </c>
      <c r="C204" t="s">
        <v>32</v>
      </c>
      <c r="D204" t="s">
        <v>244</v>
      </c>
      <c r="E204" t="s">
        <v>677</v>
      </c>
      <c r="F204" t="s">
        <v>1078</v>
      </c>
      <c r="G204" t="s">
        <v>1292</v>
      </c>
      <c r="H204" t="s">
        <v>1378</v>
      </c>
      <c r="I204" t="s">
        <v>1379</v>
      </c>
      <c r="J204" t="s">
        <v>1384</v>
      </c>
      <c r="K204" t="s">
        <v>1385</v>
      </c>
      <c r="L204" t="s">
        <v>1388</v>
      </c>
      <c r="M204" t="s">
        <v>1394</v>
      </c>
      <c r="P204" t="s">
        <v>1400</v>
      </c>
      <c r="Q204">
        <v>0</v>
      </c>
      <c r="R204">
        <v>0</v>
      </c>
      <c r="S204">
        <v>0</v>
      </c>
      <c r="T204">
        <v>0</v>
      </c>
      <c r="U204" t="s">
        <v>1404</v>
      </c>
      <c r="V204" t="s">
        <v>1404</v>
      </c>
      <c r="W204">
        <v>0</v>
      </c>
      <c r="X204">
        <v>0</v>
      </c>
      <c r="Y204">
        <v>0</v>
      </c>
      <c r="Z204">
        <v>0</v>
      </c>
    </row>
    <row r="205" spans="1:26">
      <c r="A205" s="1">
        <f>HYPERLINK("https://cms.ls-nyc.org/matter/dynamic-profile/view/1851200","17-1851200")</f>
        <v>0</v>
      </c>
      <c r="B205" t="s">
        <v>27</v>
      </c>
      <c r="C205" t="s">
        <v>50</v>
      </c>
      <c r="D205" t="s">
        <v>245</v>
      </c>
      <c r="E205" t="s">
        <v>412</v>
      </c>
      <c r="F205" t="s">
        <v>1078</v>
      </c>
      <c r="G205" t="s">
        <v>1328</v>
      </c>
      <c r="H205" t="s">
        <v>1378</v>
      </c>
      <c r="I205" t="s">
        <v>1378</v>
      </c>
      <c r="J205" t="s">
        <v>1382</v>
      </c>
      <c r="K205" t="s">
        <v>1385</v>
      </c>
      <c r="M205" t="s">
        <v>1389</v>
      </c>
      <c r="P205" t="s">
        <v>1400</v>
      </c>
      <c r="Q205">
        <v>0</v>
      </c>
      <c r="R205">
        <v>0</v>
      </c>
      <c r="S205">
        <v>0</v>
      </c>
      <c r="T205">
        <v>0</v>
      </c>
      <c r="U205" t="s">
        <v>1404</v>
      </c>
      <c r="V205" t="s">
        <v>1404</v>
      </c>
      <c r="W205">
        <v>0</v>
      </c>
      <c r="X205">
        <v>0</v>
      </c>
      <c r="Y205">
        <v>0</v>
      </c>
      <c r="Z205">
        <v>0</v>
      </c>
    </row>
    <row r="206" spans="1:26">
      <c r="A206" s="1">
        <f>HYPERLINK("https://cms.ls-nyc.org/matter/dynamic-profile/view/1851268","17-1851268")</f>
        <v>0</v>
      </c>
      <c r="B206" t="s">
        <v>27</v>
      </c>
      <c r="C206" t="s">
        <v>32</v>
      </c>
      <c r="D206" t="s">
        <v>246</v>
      </c>
      <c r="E206" t="s">
        <v>678</v>
      </c>
      <c r="F206" t="s">
        <v>1078</v>
      </c>
      <c r="G206" t="s">
        <v>1240</v>
      </c>
      <c r="H206" t="s">
        <v>1375</v>
      </c>
      <c r="I206" t="s">
        <v>1379</v>
      </c>
      <c r="J206" t="s">
        <v>1383</v>
      </c>
      <c r="K206" t="s">
        <v>1385</v>
      </c>
      <c r="M206" t="s">
        <v>1394</v>
      </c>
      <c r="P206" t="s">
        <v>1399</v>
      </c>
      <c r="Q206">
        <v>0</v>
      </c>
      <c r="R206">
        <v>0</v>
      </c>
      <c r="S206">
        <v>0</v>
      </c>
      <c r="T206">
        <v>0</v>
      </c>
      <c r="U206" t="s">
        <v>1404</v>
      </c>
      <c r="V206" t="s">
        <v>1404</v>
      </c>
      <c r="W206">
        <v>0</v>
      </c>
      <c r="X206">
        <v>0</v>
      </c>
      <c r="Y206">
        <v>0</v>
      </c>
      <c r="Z206">
        <v>0</v>
      </c>
    </row>
    <row r="207" spans="1:26">
      <c r="A207" s="1">
        <f>HYPERLINK("https://cms.ls-nyc.org/matter/dynamic-profile/view/1851623","17-1851623")</f>
        <v>0</v>
      </c>
      <c r="B207" t="s">
        <v>27</v>
      </c>
      <c r="C207" t="s">
        <v>48</v>
      </c>
      <c r="D207" t="s">
        <v>247</v>
      </c>
      <c r="E207" t="s">
        <v>627</v>
      </c>
      <c r="F207" t="s">
        <v>1079</v>
      </c>
      <c r="G207" t="s">
        <v>1335</v>
      </c>
      <c r="H207" t="s">
        <v>1375</v>
      </c>
      <c r="I207" t="s">
        <v>1378</v>
      </c>
      <c r="J207" t="s">
        <v>1383</v>
      </c>
      <c r="K207" t="s">
        <v>1385</v>
      </c>
      <c r="M207" t="s">
        <v>1391</v>
      </c>
      <c r="P207" t="s">
        <v>1400</v>
      </c>
      <c r="Q207">
        <v>0</v>
      </c>
      <c r="R207">
        <v>0</v>
      </c>
      <c r="S207">
        <v>0</v>
      </c>
      <c r="T207">
        <v>0</v>
      </c>
      <c r="U207" t="s">
        <v>1404</v>
      </c>
      <c r="V207" t="s">
        <v>1404</v>
      </c>
      <c r="W207">
        <v>0</v>
      </c>
      <c r="X207">
        <v>0</v>
      </c>
      <c r="Y207">
        <v>0</v>
      </c>
      <c r="Z207">
        <v>0</v>
      </c>
    </row>
    <row r="208" spans="1:26">
      <c r="A208" s="1">
        <f>HYPERLINK("https://cms.ls-nyc.org/matter/dynamic-profile/view/1851684","17-1851684")</f>
        <v>0</v>
      </c>
      <c r="B208" t="s">
        <v>26</v>
      </c>
      <c r="C208" t="s">
        <v>51</v>
      </c>
      <c r="D208" t="s">
        <v>248</v>
      </c>
      <c r="E208" t="s">
        <v>563</v>
      </c>
      <c r="F208" t="s">
        <v>1080</v>
      </c>
      <c r="G208" t="s">
        <v>1235</v>
      </c>
      <c r="H208" t="s">
        <v>1375</v>
      </c>
      <c r="I208" t="s">
        <v>1379</v>
      </c>
      <c r="J208" t="s">
        <v>1382</v>
      </c>
      <c r="K208" t="s">
        <v>1385</v>
      </c>
      <c r="M208" t="s">
        <v>1390</v>
      </c>
      <c r="P208" t="s">
        <v>1398</v>
      </c>
      <c r="Q208">
        <v>0</v>
      </c>
      <c r="R208">
        <v>0</v>
      </c>
      <c r="S208">
        <v>3000</v>
      </c>
      <c r="T208">
        <v>1066</v>
      </c>
      <c r="U208" t="s">
        <v>1425</v>
      </c>
      <c r="V208" t="s">
        <v>1572</v>
      </c>
      <c r="W208">
        <v>4500</v>
      </c>
      <c r="X208">
        <v>500</v>
      </c>
      <c r="Y208">
        <v>0</v>
      </c>
      <c r="Z208">
        <v>1500</v>
      </c>
    </row>
    <row r="209" spans="1:26">
      <c r="A209" s="1">
        <f>HYPERLINK("https://cms.ls-nyc.org/matter/dynamic-profile/view/1851931","17-1851931")</f>
        <v>0</v>
      </c>
      <c r="B209" t="s">
        <v>26</v>
      </c>
      <c r="C209" t="s">
        <v>46</v>
      </c>
      <c r="D209" t="s">
        <v>249</v>
      </c>
      <c r="E209" t="s">
        <v>679</v>
      </c>
      <c r="F209" t="s">
        <v>1081</v>
      </c>
      <c r="G209" t="s">
        <v>1311</v>
      </c>
      <c r="H209" t="s">
        <v>1375</v>
      </c>
      <c r="I209" t="s">
        <v>1379</v>
      </c>
      <c r="J209" t="s">
        <v>1383</v>
      </c>
      <c r="K209" t="s">
        <v>1385</v>
      </c>
      <c r="M209" t="s">
        <v>1390</v>
      </c>
      <c r="P209" t="s">
        <v>1397</v>
      </c>
      <c r="Q209">
        <v>0</v>
      </c>
      <c r="R209">
        <v>0</v>
      </c>
      <c r="S209">
        <v>0</v>
      </c>
      <c r="T209">
        <v>0</v>
      </c>
      <c r="U209" t="s">
        <v>1404</v>
      </c>
      <c r="V209" t="s">
        <v>1404</v>
      </c>
      <c r="W209">
        <v>0</v>
      </c>
      <c r="X209">
        <v>0</v>
      </c>
      <c r="Y209">
        <v>0</v>
      </c>
      <c r="Z209">
        <v>0</v>
      </c>
    </row>
    <row r="210" spans="1:26">
      <c r="A210" s="1">
        <f>HYPERLINK("https://cms.ls-nyc.org/matter/dynamic-profile/view/1852142","17-1852142")</f>
        <v>0</v>
      </c>
      <c r="B210" t="s">
        <v>26</v>
      </c>
      <c r="C210" t="s">
        <v>55</v>
      </c>
      <c r="D210" t="s">
        <v>157</v>
      </c>
      <c r="E210" t="s">
        <v>680</v>
      </c>
      <c r="F210" t="s">
        <v>1082</v>
      </c>
      <c r="G210" t="s">
        <v>1331</v>
      </c>
      <c r="H210" t="s">
        <v>1375</v>
      </c>
      <c r="I210" t="s">
        <v>1379</v>
      </c>
      <c r="J210" t="s">
        <v>1383</v>
      </c>
      <c r="K210" t="s">
        <v>1385</v>
      </c>
      <c r="M210" t="s">
        <v>1389</v>
      </c>
      <c r="P210" t="s">
        <v>1400</v>
      </c>
      <c r="Q210">
        <v>0</v>
      </c>
      <c r="R210">
        <v>0</v>
      </c>
      <c r="S210">
        <v>0</v>
      </c>
      <c r="T210">
        <v>0</v>
      </c>
      <c r="U210" t="s">
        <v>1404</v>
      </c>
      <c r="V210" t="s">
        <v>1404</v>
      </c>
      <c r="W210">
        <v>0</v>
      </c>
      <c r="X210">
        <v>0</v>
      </c>
      <c r="Y210">
        <v>0</v>
      </c>
      <c r="Z210">
        <v>0</v>
      </c>
    </row>
    <row r="211" spans="1:26">
      <c r="A211" s="1">
        <f>HYPERLINK("https://cms.ls-nyc.org/matter/dynamic-profile/view/1852429","17-1852429")</f>
        <v>0</v>
      </c>
      <c r="B211" t="s">
        <v>26</v>
      </c>
      <c r="C211" t="s">
        <v>53</v>
      </c>
      <c r="D211" t="s">
        <v>250</v>
      </c>
      <c r="E211" t="s">
        <v>681</v>
      </c>
      <c r="F211" t="s">
        <v>1083</v>
      </c>
      <c r="G211" t="s">
        <v>1292</v>
      </c>
      <c r="H211" t="s">
        <v>1375</v>
      </c>
      <c r="I211" t="s">
        <v>1379</v>
      </c>
      <c r="J211" t="s">
        <v>1383</v>
      </c>
      <c r="K211" t="s">
        <v>1385</v>
      </c>
      <c r="M211" t="s">
        <v>1390</v>
      </c>
      <c r="P211" t="s">
        <v>1398</v>
      </c>
      <c r="Q211">
        <v>0</v>
      </c>
      <c r="R211">
        <v>0</v>
      </c>
      <c r="S211">
        <v>44256</v>
      </c>
      <c r="T211">
        <v>822</v>
      </c>
      <c r="U211" t="s">
        <v>1453</v>
      </c>
      <c r="V211" t="s">
        <v>1573</v>
      </c>
      <c r="W211">
        <v>0</v>
      </c>
      <c r="X211">
        <v>822</v>
      </c>
      <c r="Y211">
        <v>0</v>
      </c>
      <c r="Z211">
        <v>44256</v>
      </c>
    </row>
    <row r="212" spans="1:26">
      <c r="A212" s="1">
        <f>HYPERLINK("https://cms.ls-nyc.org/matter/dynamic-profile/view/1852512","17-1852512")</f>
        <v>0</v>
      </c>
      <c r="B212" t="s">
        <v>26</v>
      </c>
      <c r="C212" t="s">
        <v>49</v>
      </c>
      <c r="D212" t="s">
        <v>251</v>
      </c>
      <c r="E212" t="s">
        <v>682</v>
      </c>
      <c r="F212" t="s">
        <v>1084</v>
      </c>
      <c r="G212" t="s">
        <v>1236</v>
      </c>
      <c r="H212" t="s">
        <v>1375</v>
      </c>
      <c r="I212" t="s">
        <v>1379</v>
      </c>
      <c r="J212" t="s">
        <v>1383</v>
      </c>
      <c r="K212" t="s">
        <v>1385</v>
      </c>
      <c r="M212" t="s">
        <v>1390</v>
      </c>
      <c r="P212" t="s">
        <v>1398</v>
      </c>
      <c r="Q212">
        <v>0</v>
      </c>
      <c r="R212">
        <v>0</v>
      </c>
      <c r="S212">
        <v>14349.75</v>
      </c>
      <c r="T212">
        <v>750</v>
      </c>
      <c r="U212" t="s">
        <v>1408</v>
      </c>
      <c r="V212" t="s">
        <v>1574</v>
      </c>
      <c r="W212">
        <v>14350</v>
      </c>
      <c r="X212">
        <v>750</v>
      </c>
      <c r="Y212">
        <v>0</v>
      </c>
      <c r="Z212">
        <v>3253</v>
      </c>
    </row>
    <row r="213" spans="1:26">
      <c r="A213" s="1">
        <f>HYPERLINK("https://cms.ls-nyc.org/matter/dynamic-profile/view/1852672","17-1852672")</f>
        <v>0</v>
      </c>
      <c r="B213" t="s">
        <v>28</v>
      </c>
      <c r="C213" t="s">
        <v>52</v>
      </c>
      <c r="D213" t="s">
        <v>252</v>
      </c>
      <c r="E213" t="s">
        <v>683</v>
      </c>
      <c r="F213" t="s">
        <v>1085</v>
      </c>
      <c r="G213" t="s">
        <v>1292</v>
      </c>
      <c r="H213" t="s">
        <v>1375</v>
      </c>
      <c r="I213" t="s">
        <v>1379</v>
      </c>
      <c r="J213" t="s">
        <v>1382</v>
      </c>
      <c r="K213" t="s">
        <v>1385</v>
      </c>
      <c r="M213" t="s">
        <v>1391</v>
      </c>
      <c r="P213" t="s">
        <v>1399</v>
      </c>
      <c r="Q213">
        <v>0</v>
      </c>
      <c r="R213">
        <v>0</v>
      </c>
      <c r="S213">
        <v>0</v>
      </c>
      <c r="T213">
        <v>0</v>
      </c>
      <c r="U213" t="s">
        <v>1404</v>
      </c>
      <c r="V213" t="s">
        <v>1404</v>
      </c>
      <c r="W213">
        <v>0</v>
      </c>
      <c r="X213">
        <v>0</v>
      </c>
      <c r="Y213">
        <v>0</v>
      </c>
      <c r="Z213">
        <v>0</v>
      </c>
    </row>
    <row r="214" spans="1:26">
      <c r="A214" s="1">
        <f>HYPERLINK("https://cms.ls-nyc.org/matter/dynamic-profile/view/1852734","17-1852734")</f>
        <v>0</v>
      </c>
      <c r="B214" t="s">
        <v>27</v>
      </c>
      <c r="C214" t="s">
        <v>48</v>
      </c>
      <c r="D214" t="s">
        <v>253</v>
      </c>
      <c r="E214" t="s">
        <v>684</v>
      </c>
      <c r="F214" t="s">
        <v>1085</v>
      </c>
      <c r="G214" t="s">
        <v>1193</v>
      </c>
      <c r="H214" t="s">
        <v>1375</v>
      </c>
      <c r="I214" t="s">
        <v>1379</v>
      </c>
      <c r="J214" t="s">
        <v>1383</v>
      </c>
      <c r="K214" t="s">
        <v>1385</v>
      </c>
      <c r="M214" t="s">
        <v>1391</v>
      </c>
      <c r="P214" t="s">
        <v>1400</v>
      </c>
      <c r="Q214">
        <v>0</v>
      </c>
      <c r="R214">
        <v>0</v>
      </c>
      <c r="S214">
        <v>0</v>
      </c>
      <c r="T214">
        <v>0</v>
      </c>
      <c r="U214" t="s">
        <v>1404</v>
      </c>
      <c r="V214" t="s">
        <v>1404</v>
      </c>
      <c r="W214">
        <v>0</v>
      </c>
      <c r="X214">
        <v>0</v>
      </c>
      <c r="Y214">
        <v>0</v>
      </c>
      <c r="Z214">
        <v>0</v>
      </c>
    </row>
    <row r="215" spans="1:26">
      <c r="A215" s="1">
        <f>HYPERLINK("https://cms.ls-nyc.org/matter/dynamic-profile/view/1852790","17-1852790")</f>
        <v>0</v>
      </c>
      <c r="B215" t="s">
        <v>28</v>
      </c>
      <c r="C215" t="s">
        <v>52</v>
      </c>
      <c r="D215" t="s">
        <v>254</v>
      </c>
      <c r="E215" t="s">
        <v>634</v>
      </c>
      <c r="F215" t="s">
        <v>1085</v>
      </c>
      <c r="G215" t="s">
        <v>1292</v>
      </c>
      <c r="H215" t="s">
        <v>1375</v>
      </c>
      <c r="I215" t="s">
        <v>1379</v>
      </c>
      <c r="J215" t="s">
        <v>1382</v>
      </c>
      <c r="K215" t="s">
        <v>1385</v>
      </c>
      <c r="M215" t="s">
        <v>1390</v>
      </c>
      <c r="P215" t="s">
        <v>1398</v>
      </c>
      <c r="Q215">
        <v>0</v>
      </c>
      <c r="R215">
        <v>0</v>
      </c>
      <c r="S215">
        <v>17678</v>
      </c>
      <c r="T215">
        <v>773</v>
      </c>
      <c r="U215" t="s">
        <v>1406</v>
      </c>
      <c r="V215" t="s">
        <v>1575</v>
      </c>
      <c r="W215">
        <v>17678</v>
      </c>
      <c r="X215">
        <v>773</v>
      </c>
      <c r="Y215">
        <v>0</v>
      </c>
      <c r="Z215">
        <v>6006</v>
      </c>
    </row>
    <row r="216" spans="1:26">
      <c r="A216" s="1">
        <f>HYPERLINK("https://cms.ls-nyc.org/matter/dynamic-profile/view/1853083","17-1853083")</f>
        <v>0</v>
      </c>
      <c r="B216" t="s">
        <v>26</v>
      </c>
      <c r="C216" t="s">
        <v>54</v>
      </c>
      <c r="D216" t="s">
        <v>255</v>
      </c>
      <c r="E216" t="s">
        <v>685</v>
      </c>
      <c r="F216" t="s">
        <v>1086</v>
      </c>
      <c r="G216" t="s">
        <v>1296</v>
      </c>
      <c r="H216" t="s">
        <v>1375</v>
      </c>
      <c r="I216" t="s">
        <v>1379</v>
      </c>
      <c r="J216" t="s">
        <v>1382</v>
      </c>
      <c r="K216" t="s">
        <v>1385</v>
      </c>
      <c r="M216" t="s">
        <v>1389</v>
      </c>
      <c r="P216" t="s">
        <v>1400</v>
      </c>
      <c r="Q216">
        <v>0</v>
      </c>
      <c r="R216">
        <v>0</v>
      </c>
      <c r="S216">
        <v>0</v>
      </c>
      <c r="T216">
        <v>0</v>
      </c>
      <c r="U216" t="s">
        <v>1404</v>
      </c>
      <c r="V216" t="s">
        <v>1404</v>
      </c>
      <c r="W216">
        <v>0</v>
      </c>
      <c r="X216">
        <v>0</v>
      </c>
      <c r="Y216">
        <v>0</v>
      </c>
      <c r="Z216">
        <v>0</v>
      </c>
    </row>
    <row r="217" spans="1:26">
      <c r="A217" s="1">
        <f>HYPERLINK("https://cms.ls-nyc.org/matter/dynamic-profile/view/1853397","17-1853397")</f>
        <v>0</v>
      </c>
      <c r="B217" t="s">
        <v>26</v>
      </c>
      <c r="C217" t="s">
        <v>46</v>
      </c>
      <c r="D217" t="s">
        <v>133</v>
      </c>
      <c r="E217" t="s">
        <v>686</v>
      </c>
      <c r="F217" t="s">
        <v>1087</v>
      </c>
      <c r="G217" t="s">
        <v>1253</v>
      </c>
      <c r="H217" t="s">
        <v>1375</v>
      </c>
      <c r="I217" t="s">
        <v>1379</v>
      </c>
      <c r="J217" t="s">
        <v>1383</v>
      </c>
      <c r="K217" t="s">
        <v>1385</v>
      </c>
      <c r="M217" t="s">
        <v>1391</v>
      </c>
      <c r="P217" t="s">
        <v>1400</v>
      </c>
      <c r="Q217">
        <v>0</v>
      </c>
      <c r="R217">
        <v>0</v>
      </c>
      <c r="S217">
        <v>0</v>
      </c>
      <c r="T217">
        <v>0</v>
      </c>
      <c r="U217" t="s">
        <v>1404</v>
      </c>
      <c r="V217" t="s">
        <v>1404</v>
      </c>
      <c r="W217">
        <v>0</v>
      </c>
      <c r="X217">
        <v>0</v>
      </c>
      <c r="Y217">
        <v>0</v>
      </c>
      <c r="Z217">
        <v>0</v>
      </c>
    </row>
    <row r="218" spans="1:26">
      <c r="A218" s="1">
        <f>HYPERLINK("https://cms.ls-nyc.org/matter/dynamic-profile/view/1853432","17-1853432")</f>
        <v>0</v>
      </c>
      <c r="B218" t="s">
        <v>26</v>
      </c>
      <c r="C218" t="s">
        <v>46</v>
      </c>
      <c r="D218" t="s">
        <v>138</v>
      </c>
      <c r="E218" t="s">
        <v>687</v>
      </c>
      <c r="F218" t="s">
        <v>1087</v>
      </c>
      <c r="G218" t="s">
        <v>1336</v>
      </c>
      <c r="J218" t="s">
        <v>1382</v>
      </c>
      <c r="K218" t="s">
        <v>1385</v>
      </c>
      <c r="M218" t="s">
        <v>1391</v>
      </c>
      <c r="Q218">
        <v>0</v>
      </c>
      <c r="R218">
        <v>0</v>
      </c>
      <c r="S218">
        <v>0</v>
      </c>
      <c r="T218">
        <v>0</v>
      </c>
      <c r="U218" t="s">
        <v>1404</v>
      </c>
      <c r="V218" t="s">
        <v>1404</v>
      </c>
      <c r="W218">
        <v>0</v>
      </c>
      <c r="X218">
        <v>0</v>
      </c>
      <c r="Y218">
        <v>0</v>
      </c>
      <c r="Z218">
        <v>0</v>
      </c>
    </row>
    <row r="219" spans="1:26">
      <c r="A219" s="1">
        <f>HYPERLINK("https://cms.ls-nyc.org/matter/dynamic-profile/view/1853609","17-1853609")</f>
        <v>0</v>
      </c>
      <c r="B219" t="s">
        <v>27</v>
      </c>
      <c r="C219" t="s">
        <v>43</v>
      </c>
      <c r="D219" t="s">
        <v>256</v>
      </c>
      <c r="E219" t="s">
        <v>688</v>
      </c>
      <c r="F219" t="s">
        <v>1088</v>
      </c>
      <c r="G219" t="s">
        <v>1194</v>
      </c>
      <c r="H219" t="s">
        <v>1375</v>
      </c>
      <c r="I219" t="s">
        <v>1379</v>
      </c>
      <c r="J219" t="s">
        <v>1382</v>
      </c>
      <c r="K219" t="s">
        <v>1385</v>
      </c>
      <c r="M219" t="s">
        <v>1390</v>
      </c>
      <c r="P219" t="s">
        <v>1398</v>
      </c>
      <c r="Q219">
        <v>0</v>
      </c>
      <c r="R219">
        <v>0</v>
      </c>
      <c r="S219">
        <v>22308</v>
      </c>
      <c r="T219">
        <v>837</v>
      </c>
      <c r="U219" t="s">
        <v>1405</v>
      </c>
      <c r="V219" t="s">
        <v>1576</v>
      </c>
      <c r="W219">
        <v>22308</v>
      </c>
      <c r="X219">
        <v>837</v>
      </c>
      <c r="Y219">
        <v>0</v>
      </c>
      <c r="Z219">
        <v>0</v>
      </c>
    </row>
    <row r="220" spans="1:26">
      <c r="A220" s="1">
        <f>HYPERLINK("https://cms.ls-nyc.org/matter/dynamic-profile/view/1853872","17-1853872")</f>
        <v>0</v>
      </c>
      <c r="B220" t="s">
        <v>26</v>
      </c>
      <c r="C220" t="s">
        <v>30</v>
      </c>
      <c r="D220" t="s">
        <v>148</v>
      </c>
      <c r="E220" t="s">
        <v>689</v>
      </c>
      <c r="F220" t="s">
        <v>1089</v>
      </c>
      <c r="G220" t="s">
        <v>1312</v>
      </c>
      <c r="H220" t="s">
        <v>1378</v>
      </c>
      <c r="I220" t="s">
        <v>1379</v>
      </c>
      <c r="J220" t="s">
        <v>1383</v>
      </c>
      <c r="K220" t="s">
        <v>1385</v>
      </c>
      <c r="M220" t="s">
        <v>1389</v>
      </c>
      <c r="P220" t="s">
        <v>1400</v>
      </c>
      <c r="Q220">
        <v>0</v>
      </c>
      <c r="R220">
        <v>0</v>
      </c>
      <c r="S220">
        <v>0</v>
      </c>
      <c r="T220">
        <v>0</v>
      </c>
      <c r="U220" t="s">
        <v>1404</v>
      </c>
      <c r="V220" t="s">
        <v>1404</v>
      </c>
      <c r="W220">
        <v>0</v>
      </c>
      <c r="X220">
        <v>0</v>
      </c>
      <c r="Y220">
        <v>0</v>
      </c>
      <c r="Z220">
        <v>0</v>
      </c>
    </row>
    <row r="221" spans="1:26">
      <c r="A221" s="1">
        <f>HYPERLINK("https://cms.ls-nyc.org/matter/dynamic-profile/view/1853882","17-1853882")</f>
        <v>0</v>
      </c>
      <c r="B221" t="s">
        <v>26</v>
      </c>
      <c r="C221" t="s">
        <v>46</v>
      </c>
      <c r="D221" t="s">
        <v>257</v>
      </c>
      <c r="E221" t="s">
        <v>690</v>
      </c>
      <c r="F221" t="s">
        <v>1089</v>
      </c>
      <c r="G221" t="s">
        <v>1230</v>
      </c>
      <c r="H221" t="s">
        <v>1375</v>
      </c>
      <c r="I221" t="s">
        <v>1379</v>
      </c>
      <c r="J221" t="s">
        <v>1382</v>
      </c>
      <c r="K221" t="s">
        <v>1385</v>
      </c>
      <c r="M221" t="s">
        <v>1390</v>
      </c>
      <c r="P221" t="s">
        <v>1398</v>
      </c>
      <c r="Q221">
        <v>0</v>
      </c>
      <c r="R221">
        <v>0</v>
      </c>
      <c r="S221">
        <v>0</v>
      </c>
      <c r="T221">
        <v>0</v>
      </c>
      <c r="U221" t="s">
        <v>1454</v>
      </c>
      <c r="V221" t="s">
        <v>1577</v>
      </c>
      <c r="W221">
        <v>41224</v>
      </c>
      <c r="X221">
        <v>0</v>
      </c>
      <c r="Y221">
        <v>2602</v>
      </c>
      <c r="Z221">
        <v>0</v>
      </c>
    </row>
    <row r="222" spans="1:26">
      <c r="A222" s="1">
        <f>HYPERLINK("https://cms.ls-nyc.org/matter/dynamic-profile/view/1853966","17-1853966")</f>
        <v>0</v>
      </c>
      <c r="B222" t="s">
        <v>26</v>
      </c>
      <c r="C222" t="s">
        <v>46</v>
      </c>
      <c r="D222" t="s">
        <v>172</v>
      </c>
      <c r="E222" t="s">
        <v>691</v>
      </c>
      <c r="F222" t="s">
        <v>1090</v>
      </c>
      <c r="G222" t="s">
        <v>1314</v>
      </c>
      <c r="H222" t="s">
        <v>1378</v>
      </c>
      <c r="I222" t="s">
        <v>1379</v>
      </c>
      <c r="J222" t="s">
        <v>1382</v>
      </c>
      <c r="K222" t="s">
        <v>1385</v>
      </c>
      <c r="M222" t="s">
        <v>1391</v>
      </c>
      <c r="P222" t="s">
        <v>1400</v>
      </c>
      <c r="Q222">
        <v>0</v>
      </c>
      <c r="R222">
        <v>0</v>
      </c>
      <c r="S222">
        <v>0</v>
      </c>
      <c r="T222">
        <v>0</v>
      </c>
      <c r="U222" t="s">
        <v>1404</v>
      </c>
      <c r="V222" t="s">
        <v>1404</v>
      </c>
      <c r="W222">
        <v>0</v>
      </c>
      <c r="X222">
        <v>0</v>
      </c>
      <c r="Y222">
        <v>0</v>
      </c>
      <c r="Z222">
        <v>0</v>
      </c>
    </row>
    <row r="223" spans="1:26">
      <c r="A223" s="1">
        <f>HYPERLINK("https://cms.ls-nyc.org/matter/dynamic-profile/view/1854405","17-1854405")</f>
        <v>0</v>
      </c>
      <c r="B223" t="s">
        <v>26</v>
      </c>
      <c r="C223" t="s">
        <v>56</v>
      </c>
      <c r="D223" t="s">
        <v>258</v>
      </c>
      <c r="E223" t="s">
        <v>692</v>
      </c>
      <c r="F223" t="s">
        <v>1091</v>
      </c>
      <c r="G223" t="s">
        <v>1333</v>
      </c>
      <c r="H223" t="s">
        <v>1375</v>
      </c>
      <c r="I223" t="s">
        <v>1379</v>
      </c>
      <c r="J223" t="s">
        <v>1383</v>
      </c>
      <c r="K223" t="s">
        <v>1385</v>
      </c>
      <c r="M223" t="s">
        <v>1390</v>
      </c>
      <c r="P223" t="s">
        <v>1398</v>
      </c>
      <c r="Q223">
        <v>0</v>
      </c>
      <c r="R223">
        <v>0</v>
      </c>
      <c r="S223">
        <v>0</v>
      </c>
      <c r="T223">
        <v>0</v>
      </c>
      <c r="U223" t="s">
        <v>1405</v>
      </c>
      <c r="V223" t="s">
        <v>1578</v>
      </c>
      <c r="W223">
        <v>3225</v>
      </c>
      <c r="X223">
        <v>837</v>
      </c>
      <c r="Y223">
        <v>0</v>
      </c>
      <c r="Z223">
        <v>960</v>
      </c>
    </row>
    <row r="224" spans="1:26">
      <c r="A224" s="1">
        <f>HYPERLINK("https://cms.ls-nyc.org/matter/dynamic-profile/view/1854681","17-1854681")</f>
        <v>0</v>
      </c>
      <c r="B224" t="s">
        <v>28</v>
      </c>
      <c r="C224" t="s">
        <v>52</v>
      </c>
      <c r="D224" t="s">
        <v>259</v>
      </c>
      <c r="E224" t="s">
        <v>661</v>
      </c>
      <c r="F224" t="s">
        <v>1092</v>
      </c>
      <c r="G224" t="s">
        <v>1223</v>
      </c>
      <c r="H224" t="s">
        <v>1375</v>
      </c>
      <c r="I224" t="s">
        <v>1379</v>
      </c>
      <c r="J224" t="s">
        <v>1383</v>
      </c>
      <c r="K224" t="s">
        <v>1385</v>
      </c>
      <c r="M224" t="s">
        <v>1390</v>
      </c>
      <c r="P224" t="s">
        <v>1398</v>
      </c>
      <c r="Q224">
        <v>0</v>
      </c>
      <c r="R224">
        <v>0</v>
      </c>
      <c r="S224">
        <v>40871.64</v>
      </c>
      <c r="T224">
        <v>750</v>
      </c>
      <c r="U224" t="s">
        <v>1408</v>
      </c>
      <c r="V224" t="s">
        <v>1579</v>
      </c>
      <c r="W224">
        <v>23599</v>
      </c>
      <c r="X224">
        <v>0</v>
      </c>
      <c r="Y224">
        <v>750</v>
      </c>
      <c r="Z224">
        <v>17272.64</v>
      </c>
    </row>
    <row r="225" spans="1:26">
      <c r="A225" s="1">
        <f>HYPERLINK("https://cms.ls-nyc.org/matter/dynamic-profile/view/1855115","18-1855115")</f>
        <v>0</v>
      </c>
      <c r="B225" t="s">
        <v>27</v>
      </c>
      <c r="C225" t="s">
        <v>38</v>
      </c>
      <c r="D225" t="s">
        <v>260</v>
      </c>
      <c r="E225" t="s">
        <v>693</v>
      </c>
      <c r="F225" t="s">
        <v>1093</v>
      </c>
      <c r="G225" t="s">
        <v>1186</v>
      </c>
      <c r="H225" t="s">
        <v>1375</v>
      </c>
      <c r="I225" t="s">
        <v>1379</v>
      </c>
      <c r="J225" t="s">
        <v>1382</v>
      </c>
      <c r="K225" t="s">
        <v>1385</v>
      </c>
      <c r="M225" t="s">
        <v>1391</v>
      </c>
      <c r="P225" t="s">
        <v>1400</v>
      </c>
      <c r="Q225">
        <v>0</v>
      </c>
      <c r="R225">
        <v>0</v>
      </c>
      <c r="S225">
        <v>0</v>
      </c>
      <c r="T225">
        <v>0</v>
      </c>
      <c r="U225" t="s">
        <v>1404</v>
      </c>
      <c r="V225" t="s">
        <v>1404</v>
      </c>
      <c r="W225">
        <v>0</v>
      </c>
      <c r="X225">
        <v>0</v>
      </c>
      <c r="Y225">
        <v>0</v>
      </c>
      <c r="Z225">
        <v>0</v>
      </c>
    </row>
    <row r="226" spans="1:26">
      <c r="A226" s="1">
        <f>HYPERLINK("https://cms.ls-nyc.org/matter/dynamic-profile/view/1855411","18-1855411")</f>
        <v>0</v>
      </c>
      <c r="B226" t="s">
        <v>28</v>
      </c>
      <c r="C226" t="s">
        <v>52</v>
      </c>
      <c r="D226" t="s">
        <v>261</v>
      </c>
      <c r="E226" t="s">
        <v>694</v>
      </c>
      <c r="F226" t="s">
        <v>1094</v>
      </c>
      <c r="G226" t="s">
        <v>1305</v>
      </c>
      <c r="H226" t="s">
        <v>1375</v>
      </c>
      <c r="I226" t="s">
        <v>1379</v>
      </c>
      <c r="J226" t="s">
        <v>1382</v>
      </c>
      <c r="K226" t="s">
        <v>1385</v>
      </c>
      <c r="M226" t="s">
        <v>1390</v>
      </c>
      <c r="P226" t="s">
        <v>1398</v>
      </c>
      <c r="Q226">
        <v>0</v>
      </c>
      <c r="R226">
        <v>0</v>
      </c>
      <c r="S226">
        <v>25964.02</v>
      </c>
      <c r="T226">
        <v>750</v>
      </c>
      <c r="U226" t="s">
        <v>1408</v>
      </c>
      <c r="V226" t="s">
        <v>1580</v>
      </c>
      <c r="W226">
        <v>25964.02</v>
      </c>
      <c r="X226">
        <v>750</v>
      </c>
      <c r="Y226">
        <v>0</v>
      </c>
      <c r="Z226">
        <v>0</v>
      </c>
    </row>
    <row r="227" spans="1:26">
      <c r="A227" s="1">
        <f>HYPERLINK("https://cms.ls-nyc.org/matter/dynamic-profile/view/1855442","18-1855442")</f>
        <v>0</v>
      </c>
      <c r="B227" t="s">
        <v>29</v>
      </c>
      <c r="C227" t="s">
        <v>35</v>
      </c>
      <c r="D227" t="s">
        <v>136</v>
      </c>
      <c r="E227" t="s">
        <v>695</v>
      </c>
      <c r="F227" t="s">
        <v>1094</v>
      </c>
      <c r="G227" t="s">
        <v>1292</v>
      </c>
      <c r="H227" t="s">
        <v>1375</v>
      </c>
      <c r="I227" t="s">
        <v>1379</v>
      </c>
      <c r="J227" t="s">
        <v>1382</v>
      </c>
      <c r="K227" t="s">
        <v>1385</v>
      </c>
      <c r="M227" t="s">
        <v>1394</v>
      </c>
      <c r="P227" t="s">
        <v>1397</v>
      </c>
      <c r="Q227">
        <v>0</v>
      </c>
      <c r="R227">
        <v>0</v>
      </c>
      <c r="S227">
        <v>0</v>
      </c>
      <c r="T227">
        <v>0</v>
      </c>
      <c r="U227" t="s">
        <v>1404</v>
      </c>
      <c r="V227" t="s">
        <v>1404</v>
      </c>
      <c r="W227">
        <v>0</v>
      </c>
      <c r="X227">
        <v>0</v>
      </c>
      <c r="Y227">
        <v>0</v>
      </c>
      <c r="Z227">
        <v>0</v>
      </c>
    </row>
    <row r="228" spans="1:26">
      <c r="A228" s="1">
        <f>HYPERLINK("https://cms.ls-nyc.org/matter/dynamic-profile/view/1855482","18-1855482")</f>
        <v>0</v>
      </c>
      <c r="B228" t="s">
        <v>28</v>
      </c>
      <c r="C228" t="s">
        <v>36</v>
      </c>
      <c r="D228" t="s">
        <v>262</v>
      </c>
      <c r="E228" t="s">
        <v>526</v>
      </c>
      <c r="F228" t="s">
        <v>1093</v>
      </c>
      <c r="G228" t="s">
        <v>1296</v>
      </c>
      <c r="H228" t="s">
        <v>1378</v>
      </c>
      <c r="I228" t="s">
        <v>1378</v>
      </c>
      <c r="J228" t="s">
        <v>1382</v>
      </c>
      <c r="K228" t="s">
        <v>1385</v>
      </c>
      <c r="M228" t="s">
        <v>1391</v>
      </c>
      <c r="P228" t="s">
        <v>1400</v>
      </c>
      <c r="Q228">
        <v>0</v>
      </c>
      <c r="R228">
        <v>0</v>
      </c>
      <c r="S228">
        <v>0</v>
      </c>
      <c r="T228">
        <v>0</v>
      </c>
      <c r="U228" t="s">
        <v>1404</v>
      </c>
      <c r="V228" t="s">
        <v>1404</v>
      </c>
      <c r="W228">
        <v>0</v>
      </c>
      <c r="X228">
        <v>0</v>
      </c>
      <c r="Y228">
        <v>0</v>
      </c>
      <c r="Z228">
        <v>0</v>
      </c>
    </row>
    <row r="229" spans="1:26">
      <c r="A229" s="1">
        <f>HYPERLINK("https://cms.ls-nyc.org/matter/dynamic-profile/view/1855556","18-1855556")</f>
        <v>0</v>
      </c>
      <c r="B229" t="s">
        <v>26</v>
      </c>
      <c r="C229" t="s">
        <v>46</v>
      </c>
      <c r="D229" t="s">
        <v>263</v>
      </c>
      <c r="E229" t="s">
        <v>696</v>
      </c>
      <c r="F229" t="s">
        <v>1095</v>
      </c>
      <c r="G229" t="s">
        <v>1265</v>
      </c>
      <c r="H229" t="s">
        <v>1375</v>
      </c>
      <c r="I229" t="s">
        <v>1379</v>
      </c>
      <c r="J229" t="s">
        <v>1383</v>
      </c>
      <c r="K229" t="s">
        <v>1385</v>
      </c>
      <c r="M229" t="s">
        <v>1390</v>
      </c>
      <c r="P229" t="s">
        <v>1397</v>
      </c>
      <c r="Q229">
        <v>0</v>
      </c>
      <c r="R229">
        <v>0</v>
      </c>
      <c r="S229">
        <v>0</v>
      </c>
      <c r="T229">
        <v>0</v>
      </c>
      <c r="U229" t="s">
        <v>1404</v>
      </c>
      <c r="V229" t="s">
        <v>1404</v>
      </c>
      <c r="W229">
        <v>0</v>
      </c>
      <c r="X229">
        <v>0</v>
      </c>
      <c r="Y229">
        <v>0</v>
      </c>
      <c r="Z229">
        <v>0</v>
      </c>
    </row>
    <row r="230" spans="1:26">
      <c r="A230" s="1">
        <f>HYPERLINK("https://cms.ls-nyc.org/matter/dynamic-profile/view/1855784","18-1855784")</f>
        <v>0</v>
      </c>
      <c r="B230" t="s">
        <v>26</v>
      </c>
      <c r="C230" t="s">
        <v>30</v>
      </c>
      <c r="D230" t="s">
        <v>264</v>
      </c>
      <c r="E230" t="s">
        <v>697</v>
      </c>
      <c r="F230" t="s">
        <v>1096</v>
      </c>
      <c r="G230" t="s">
        <v>1256</v>
      </c>
      <c r="H230" t="s">
        <v>1375</v>
      </c>
      <c r="I230" t="s">
        <v>1379</v>
      </c>
      <c r="J230" t="s">
        <v>1382</v>
      </c>
      <c r="K230" t="s">
        <v>1385</v>
      </c>
      <c r="M230" t="s">
        <v>1390</v>
      </c>
      <c r="P230" t="s">
        <v>1398</v>
      </c>
      <c r="Q230">
        <v>0</v>
      </c>
      <c r="R230">
        <v>0</v>
      </c>
      <c r="S230">
        <v>7896</v>
      </c>
      <c r="T230">
        <v>716</v>
      </c>
      <c r="U230" t="s">
        <v>1455</v>
      </c>
      <c r="V230" t="s">
        <v>1581</v>
      </c>
      <c r="W230">
        <v>7896</v>
      </c>
      <c r="X230">
        <v>716</v>
      </c>
      <c r="Y230">
        <v>0</v>
      </c>
      <c r="Z230">
        <v>716</v>
      </c>
    </row>
    <row r="231" spans="1:26">
      <c r="A231" s="1">
        <f>HYPERLINK("https://cms.ls-nyc.org/matter/dynamic-profile/view/1855802","18-1855802")</f>
        <v>0</v>
      </c>
      <c r="B231" t="s">
        <v>29</v>
      </c>
      <c r="C231" t="s">
        <v>42</v>
      </c>
      <c r="D231" t="s">
        <v>265</v>
      </c>
      <c r="E231" t="s">
        <v>698</v>
      </c>
      <c r="F231" t="s">
        <v>1096</v>
      </c>
      <c r="G231" t="s">
        <v>1228</v>
      </c>
      <c r="H231" t="s">
        <v>1375</v>
      </c>
      <c r="I231" t="s">
        <v>1379</v>
      </c>
      <c r="J231" t="s">
        <v>1383</v>
      </c>
      <c r="K231" t="s">
        <v>1385</v>
      </c>
      <c r="M231" t="s">
        <v>1389</v>
      </c>
      <c r="P231" t="s">
        <v>1400</v>
      </c>
      <c r="Q231">
        <v>0</v>
      </c>
      <c r="R231">
        <v>0</v>
      </c>
      <c r="S231">
        <v>0</v>
      </c>
      <c r="T231">
        <v>0</v>
      </c>
      <c r="U231" t="s">
        <v>1404</v>
      </c>
      <c r="V231" t="s">
        <v>1404</v>
      </c>
      <c r="W231">
        <v>0</v>
      </c>
      <c r="X231">
        <v>0</v>
      </c>
      <c r="Y231">
        <v>0</v>
      </c>
      <c r="Z231">
        <v>0</v>
      </c>
    </row>
    <row r="232" spans="1:26">
      <c r="A232" s="1">
        <f>HYPERLINK("https://cms.ls-nyc.org/matter/dynamic-profile/view/1855919","18-1855919")</f>
        <v>0</v>
      </c>
      <c r="B232" t="s">
        <v>26</v>
      </c>
      <c r="C232" t="s">
        <v>31</v>
      </c>
      <c r="D232" t="s">
        <v>266</v>
      </c>
      <c r="E232" t="s">
        <v>584</v>
      </c>
      <c r="F232" t="s">
        <v>1096</v>
      </c>
      <c r="G232" t="s">
        <v>1337</v>
      </c>
      <c r="H232" t="s">
        <v>1375</v>
      </c>
      <c r="I232" t="s">
        <v>1379</v>
      </c>
      <c r="J232" t="s">
        <v>1383</v>
      </c>
      <c r="K232" t="s">
        <v>1385</v>
      </c>
      <c r="M232" t="s">
        <v>1390</v>
      </c>
      <c r="P232" t="s">
        <v>1398</v>
      </c>
      <c r="Q232">
        <v>0</v>
      </c>
      <c r="R232">
        <v>0</v>
      </c>
      <c r="S232">
        <v>900</v>
      </c>
      <c r="T232">
        <v>517</v>
      </c>
      <c r="U232" t="s">
        <v>1430</v>
      </c>
      <c r="V232" t="s">
        <v>1582</v>
      </c>
      <c r="W232">
        <v>980</v>
      </c>
      <c r="X232">
        <v>253</v>
      </c>
      <c r="Y232">
        <v>517</v>
      </c>
      <c r="Z232">
        <v>0</v>
      </c>
    </row>
    <row r="233" spans="1:26">
      <c r="A233" s="1">
        <f>HYPERLINK("https://cms.ls-nyc.org/matter/dynamic-profile/view/1856022","18-1856022")</f>
        <v>0</v>
      </c>
      <c r="B233" t="s">
        <v>26</v>
      </c>
      <c r="C233" t="s">
        <v>56</v>
      </c>
      <c r="D233" t="s">
        <v>267</v>
      </c>
      <c r="E233" t="s">
        <v>699</v>
      </c>
      <c r="F233" t="s">
        <v>1097</v>
      </c>
      <c r="G233" t="s">
        <v>1218</v>
      </c>
      <c r="H233" t="s">
        <v>1376</v>
      </c>
      <c r="I233" t="s">
        <v>1378</v>
      </c>
      <c r="J233" t="s">
        <v>1382</v>
      </c>
      <c r="K233" t="s">
        <v>1385</v>
      </c>
      <c r="M233" t="s">
        <v>1389</v>
      </c>
      <c r="P233" t="s">
        <v>1400</v>
      </c>
      <c r="Q233">
        <v>0</v>
      </c>
      <c r="R233">
        <v>0</v>
      </c>
      <c r="S233">
        <v>0</v>
      </c>
      <c r="T233">
        <v>0</v>
      </c>
      <c r="U233" t="s">
        <v>1404</v>
      </c>
      <c r="V233" t="s">
        <v>1404</v>
      </c>
      <c r="W233">
        <v>0</v>
      </c>
      <c r="X233">
        <v>0</v>
      </c>
      <c r="Y233">
        <v>0</v>
      </c>
      <c r="Z233">
        <v>0</v>
      </c>
    </row>
    <row r="234" spans="1:26">
      <c r="A234" s="1">
        <f>HYPERLINK("https://cms.ls-nyc.org/matter/dynamic-profile/view/1856023","18-1856023")</f>
        <v>0</v>
      </c>
      <c r="B234" t="s">
        <v>26</v>
      </c>
      <c r="C234" t="s">
        <v>46</v>
      </c>
      <c r="D234" t="s">
        <v>268</v>
      </c>
      <c r="E234" t="s">
        <v>661</v>
      </c>
      <c r="F234" t="s">
        <v>1097</v>
      </c>
      <c r="G234" t="s">
        <v>1336</v>
      </c>
      <c r="J234" t="s">
        <v>1382</v>
      </c>
      <c r="K234" t="s">
        <v>1385</v>
      </c>
      <c r="M234" t="s">
        <v>1391</v>
      </c>
      <c r="Q234">
        <v>0</v>
      </c>
      <c r="R234">
        <v>0</v>
      </c>
      <c r="S234">
        <v>0</v>
      </c>
      <c r="T234">
        <v>0</v>
      </c>
      <c r="U234" t="s">
        <v>1404</v>
      </c>
      <c r="V234" t="s">
        <v>1404</v>
      </c>
      <c r="W234">
        <v>0</v>
      </c>
      <c r="X234">
        <v>0</v>
      </c>
      <c r="Y234">
        <v>0</v>
      </c>
      <c r="Z234">
        <v>0</v>
      </c>
    </row>
    <row r="235" spans="1:26">
      <c r="A235" s="1">
        <f>HYPERLINK("https://cms.ls-nyc.org/matter/dynamic-profile/view/1856433","18-1856433")</f>
        <v>0</v>
      </c>
      <c r="B235" t="s">
        <v>27</v>
      </c>
      <c r="C235" t="s">
        <v>50</v>
      </c>
      <c r="D235" t="s">
        <v>269</v>
      </c>
      <c r="E235" t="s">
        <v>700</v>
      </c>
      <c r="F235" t="s">
        <v>1098</v>
      </c>
      <c r="G235" t="s">
        <v>1292</v>
      </c>
      <c r="H235" t="s">
        <v>1375</v>
      </c>
      <c r="I235" t="s">
        <v>1379</v>
      </c>
      <c r="J235" t="s">
        <v>1383</v>
      </c>
      <c r="K235" t="s">
        <v>1385</v>
      </c>
      <c r="M235" t="s">
        <v>1390</v>
      </c>
      <c r="P235" t="s">
        <v>1398</v>
      </c>
      <c r="Q235">
        <v>0</v>
      </c>
      <c r="R235">
        <v>0</v>
      </c>
      <c r="S235">
        <v>30053</v>
      </c>
      <c r="T235">
        <v>733</v>
      </c>
      <c r="U235" t="s">
        <v>1456</v>
      </c>
      <c r="V235" t="s">
        <v>1583</v>
      </c>
      <c r="W235">
        <v>30053</v>
      </c>
      <c r="X235">
        <v>733</v>
      </c>
      <c r="Y235">
        <v>0</v>
      </c>
      <c r="Z235">
        <v>0</v>
      </c>
    </row>
    <row r="236" spans="1:26">
      <c r="A236" s="1">
        <f>HYPERLINK("https://cms.ls-nyc.org/matter/dynamic-profile/view/1856850","18-1856850")</f>
        <v>0</v>
      </c>
      <c r="B236" t="s">
        <v>27</v>
      </c>
      <c r="C236" t="s">
        <v>33</v>
      </c>
      <c r="D236" t="s">
        <v>270</v>
      </c>
      <c r="E236" t="s">
        <v>701</v>
      </c>
      <c r="F236" t="s">
        <v>1099</v>
      </c>
      <c r="G236" t="s">
        <v>1186</v>
      </c>
      <c r="H236" t="s">
        <v>1375</v>
      </c>
      <c r="I236" t="s">
        <v>1379</v>
      </c>
      <c r="J236" t="s">
        <v>1382</v>
      </c>
      <c r="K236" t="s">
        <v>1385</v>
      </c>
      <c r="M236" t="s">
        <v>1390</v>
      </c>
      <c r="P236" t="s">
        <v>1398</v>
      </c>
      <c r="Q236">
        <v>0</v>
      </c>
      <c r="R236">
        <v>0</v>
      </c>
      <c r="S236">
        <v>18882</v>
      </c>
      <c r="T236">
        <v>1046</v>
      </c>
      <c r="U236" t="s">
        <v>1457</v>
      </c>
      <c r="V236" t="s">
        <v>1584</v>
      </c>
      <c r="W236">
        <v>18882</v>
      </c>
      <c r="X236">
        <v>0</v>
      </c>
      <c r="Y236">
        <v>1046</v>
      </c>
      <c r="Z236">
        <v>0</v>
      </c>
    </row>
    <row r="237" spans="1:26">
      <c r="A237" s="1">
        <f>HYPERLINK("https://cms.ls-nyc.org/matter/dynamic-profile/view/1856907","18-1856907")</f>
        <v>0</v>
      </c>
      <c r="B237" t="s">
        <v>26</v>
      </c>
      <c r="C237" t="s">
        <v>54</v>
      </c>
      <c r="D237" t="s">
        <v>271</v>
      </c>
      <c r="E237" t="s">
        <v>702</v>
      </c>
      <c r="F237" t="s">
        <v>1100</v>
      </c>
      <c r="G237" t="s">
        <v>1330</v>
      </c>
      <c r="H237" t="s">
        <v>1376</v>
      </c>
      <c r="I237" t="s">
        <v>1379</v>
      </c>
      <c r="J237" t="s">
        <v>1382</v>
      </c>
      <c r="K237" t="s">
        <v>1385</v>
      </c>
      <c r="M237" t="s">
        <v>1391</v>
      </c>
      <c r="P237" t="s">
        <v>1400</v>
      </c>
      <c r="Q237">
        <v>0</v>
      </c>
      <c r="R237">
        <v>0</v>
      </c>
      <c r="S237">
        <v>0</v>
      </c>
      <c r="T237">
        <v>0</v>
      </c>
      <c r="U237" t="s">
        <v>1404</v>
      </c>
      <c r="V237" t="s">
        <v>1404</v>
      </c>
      <c r="W237">
        <v>0</v>
      </c>
      <c r="X237">
        <v>0</v>
      </c>
      <c r="Y237">
        <v>0</v>
      </c>
      <c r="Z237">
        <v>0</v>
      </c>
    </row>
    <row r="238" spans="1:26">
      <c r="A238" s="1">
        <f>HYPERLINK("https://cms.ls-nyc.org/matter/dynamic-profile/view/1857110","18-1857110")</f>
        <v>0</v>
      </c>
      <c r="B238" t="s">
        <v>26</v>
      </c>
      <c r="C238" t="s">
        <v>55</v>
      </c>
      <c r="D238" t="s">
        <v>101</v>
      </c>
      <c r="E238" t="s">
        <v>703</v>
      </c>
      <c r="F238" t="s">
        <v>1101</v>
      </c>
      <c r="G238" t="s">
        <v>1296</v>
      </c>
      <c r="H238" t="s">
        <v>1375</v>
      </c>
      <c r="I238" t="s">
        <v>1379</v>
      </c>
      <c r="J238" t="s">
        <v>1382</v>
      </c>
      <c r="K238" t="s">
        <v>1385</v>
      </c>
      <c r="M238" t="s">
        <v>1389</v>
      </c>
      <c r="P238" t="s">
        <v>1400</v>
      </c>
      <c r="Q238">
        <v>0</v>
      </c>
      <c r="R238">
        <v>0</v>
      </c>
      <c r="S238">
        <v>0</v>
      </c>
      <c r="T238">
        <v>0</v>
      </c>
      <c r="U238" t="s">
        <v>1404</v>
      </c>
      <c r="V238" t="s">
        <v>1404</v>
      </c>
      <c r="W238">
        <v>0</v>
      </c>
      <c r="X238">
        <v>0</v>
      </c>
      <c r="Y238">
        <v>0</v>
      </c>
      <c r="Z238">
        <v>0</v>
      </c>
    </row>
    <row r="239" spans="1:26">
      <c r="A239" s="1">
        <f>HYPERLINK("https://cms.ls-nyc.org/matter/dynamic-profile/view/1857326","18-1857326")</f>
        <v>0</v>
      </c>
      <c r="B239" t="s">
        <v>28</v>
      </c>
      <c r="C239" t="s">
        <v>52</v>
      </c>
      <c r="D239" t="s">
        <v>272</v>
      </c>
      <c r="E239" t="s">
        <v>556</v>
      </c>
      <c r="F239" t="s">
        <v>1102</v>
      </c>
      <c r="G239" t="s">
        <v>1292</v>
      </c>
      <c r="H239" t="s">
        <v>1375</v>
      </c>
      <c r="I239" t="s">
        <v>1379</v>
      </c>
      <c r="J239" t="s">
        <v>1383</v>
      </c>
      <c r="K239" t="s">
        <v>1385</v>
      </c>
      <c r="M239" t="s">
        <v>1390</v>
      </c>
      <c r="P239" t="s">
        <v>1398</v>
      </c>
      <c r="Q239">
        <v>0</v>
      </c>
      <c r="R239">
        <v>0</v>
      </c>
      <c r="S239">
        <v>25116</v>
      </c>
      <c r="T239">
        <v>773</v>
      </c>
      <c r="U239" t="s">
        <v>1406</v>
      </c>
      <c r="V239" t="s">
        <v>1585</v>
      </c>
      <c r="W239">
        <v>11186</v>
      </c>
      <c r="X239">
        <v>773</v>
      </c>
      <c r="Y239">
        <v>0</v>
      </c>
      <c r="Z239">
        <v>13730</v>
      </c>
    </row>
    <row r="240" spans="1:26">
      <c r="A240" s="1">
        <f>HYPERLINK("https://cms.ls-nyc.org/matter/dynamic-profile/view/1857643","18-1857643")</f>
        <v>0</v>
      </c>
      <c r="B240" t="s">
        <v>28</v>
      </c>
      <c r="C240" t="s">
        <v>52</v>
      </c>
      <c r="D240" t="s">
        <v>273</v>
      </c>
      <c r="E240" t="s">
        <v>704</v>
      </c>
      <c r="F240" t="s">
        <v>1103</v>
      </c>
      <c r="G240" t="s">
        <v>1319</v>
      </c>
      <c r="H240" t="s">
        <v>1375</v>
      </c>
      <c r="I240" t="s">
        <v>1380</v>
      </c>
      <c r="J240" t="s">
        <v>1382</v>
      </c>
      <c r="K240" t="s">
        <v>1385</v>
      </c>
      <c r="M240" t="s">
        <v>1390</v>
      </c>
      <c r="P240" t="s">
        <v>1398</v>
      </c>
      <c r="Q240">
        <v>0</v>
      </c>
      <c r="R240">
        <v>0</v>
      </c>
      <c r="S240">
        <v>0</v>
      </c>
      <c r="T240">
        <v>735</v>
      </c>
      <c r="U240" t="s">
        <v>1409</v>
      </c>
      <c r="V240" t="s">
        <v>1404</v>
      </c>
      <c r="W240">
        <v>0</v>
      </c>
      <c r="X240">
        <v>735</v>
      </c>
      <c r="Y240">
        <v>0</v>
      </c>
      <c r="Z240">
        <v>0</v>
      </c>
    </row>
    <row r="241" spans="1:26">
      <c r="A241" s="1">
        <f>HYPERLINK("https://cms.ls-nyc.org/matter/dynamic-profile/view/1858039","18-1858039")</f>
        <v>0</v>
      </c>
      <c r="B241" t="s">
        <v>26</v>
      </c>
      <c r="C241" t="s">
        <v>54</v>
      </c>
      <c r="D241" t="s">
        <v>274</v>
      </c>
      <c r="E241" t="s">
        <v>652</v>
      </c>
      <c r="F241" t="s">
        <v>1104</v>
      </c>
      <c r="G241" t="s">
        <v>1330</v>
      </c>
      <c r="H241" t="s">
        <v>1375</v>
      </c>
      <c r="I241" t="s">
        <v>1379</v>
      </c>
      <c r="J241" t="s">
        <v>1383</v>
      </c>
      <c r="K241" t="s">
        <v>1385</v>
      </c>
      <c r="M241" t="s">
        <v>1391</v>
      </c>
      <c r="P241" t="s">
        <v>1400</v>
      </c>
      <c r="Q241">
        <v>0</v>
      </c>
      <c r="R241">
        <v>0</v>
      </c>
      <c r="S241">
        <v>0</v>
      </c>
      <c r="T241">
        <v>0</v>
      </c>
      <c r="U241" t="s">
        <v>1404</v>
      </c>
      <c r="V241" t="s">
        <v>1404</v>
      </c>
      <c r="W241">
        <v>0</v>
      </c>
      <c r="X241">
        <v>0</v>
      </c>
      <c r="Y241">
        <v>0</v>
      </c>
      <c r="Z241">
        <v>0</v>
      </c>
    </row>
    <row r="242" spans="1:26">
      <c r="A242" s="1">
        <f>HYPERLINK("https://cms.ls-nyc.org/matter/dynamic-profile/view/1858128","18-1858128")</f>
        <v>0</v>
      </c>
      <c r="B242" t="s">
        <v>27</v>
      </c>
      <c r="C242" t="s">
        <v>32</v>
      </c>
      <c r="D242" t="s">
        <v>275</v>
      </c>
      <c r="E242" t="s">
        <v>705</v>
      </c>
      <c r="F242" t="s">
        <v>1105</v>
      </c>
      <c r="G242" t="s">
        <v>1292</v>
      </c>
      <c r="H242" t="s">
        <v>1375</v>
      </c>
      <c r="I242" t="s">
        <v>1379</v>
      </c>
      <c r="J242" t="s">
        <v>1382</v>
      </c>
      <c r="K242" t="s">
        <v>1385</v>
      </c>
      <c r="M242" t="s">
        <v>1390</v>
      </c>
      <c r="P242" t="s">
        <v>1397</v>
      </c>
      <c r="Q242">
        <v>0</v>
      </c>
      <c r="R242">
        <v>0</v>
      </c>
      <c r="S242">
        <v>0</v>
      </c>
      <c r="T242">
        <v>0</v>
      </c>
      <c r="U242" t="s">
        <v>1404</v>
      </c>
      <c r="V242" t="s">
        <v>1404</v>
      </c>
      <c r="W242">
        <v>0</v>
      </c>
      <c r="X242">
        <v>0</v>
      </c>
      <c r="Y242">
        <v>0</v>
      </c>
      <c r="Z242">
        <v>0</v>
      </c>
    </row>
    <row r="243" spans="1:26">
      <c r="A243" s="1">
        <f>HYPERLINK("https://cms.ls-nyc.org/matter/dynamic-profile/view/1858229","18-1858229")</f>
        <v>0</v>
      </c>
      <c r="B243" t="s">
        <v>28</v>
      </c>
      <c r="C243" t="s">
        <v>52</v>
      </c>
      <c r="D243" t="s">
        <v>276</v>
      </c>
      <c r="E243" t="s">
        <v>602</v>
      </c>
      <c r="F243" t="s">
        <v>1106</v>
      </c>
      <c r="G243" t="s">
        <v>1292</v>
      </c>
      <c r="H243" t="s">
        <v>1375</v>
      </c>
      <c r="I243" t="s">
        <v>1379</v>
      </c>
      <c r="J243" t="s">
        <v>1382</v>
      </c>
      <c r="K243" t="s">
        <v>1385</v>
      </c>
      <c r="M243" t="s">
        <v>1391</v>
      </c>
      <c r="P243" t="s">
        <v>1399</v>
      </c>
      <c r="Q243">
        <v>0</v>
      </c>
      <c r="R243">
        <v>0</v>
      </c>
      <c r="S243">
        <v>0</v>
      </c>
      <c r="T243">
        <v>0</v>
      </c>
      <c r="U243" t="s">
        <v>1404</v>
      </c>
      <c r="V243" t="s">
        <v>1404</v>
      </c>
      <c r="W243">
        <v>0</v>
      </c>
      <c r="X243">
        <v>0</v>
      </c>
      <c r="Y243">
        <v>0</v>
      </c>
      <c r="Z243">
        <v>0</v>
      </c>
    </row>
    <row r="244" spans="1:26">
      <c r="A244" s="1">
        <f>HYPERLINK("https://cms.ls-nyc.org/matter/dynamic-profile/view/1858311","18-1858311")</f>
        <v>0</v>
      </c>
      <c r="B244" t="s">
        <v>26</v>
      </c>
      <c r="C244" t="s">
        <v>31</v>
      </c>
      <c r="D244" t="s">
        <v>277</v>
      </c>
      <c r="E244" t="s">
        <v>706</v>
      </c>
      <c r="F244" t="s">
        <v>1106</v>
      </c>
      <c r="G244" t="s">
        <v>1230</v>
      </c>
      <c r="H244" t="s">
        <v>1375</v>
      </c>
      <c r="I244" t="s">
        <v>1379</v>
      </c>
      <c r="J244" t="s">
        <v>1382</v>
      </c>
      <c r="K244" t="s">
        <v>1385</v>
      </c>
      <c r="M244" t="s">
        <v>1390</v>
      </c>
      <c r="P244" t="s">
        <v>1398</v>
      </c>
      <c r="Q244">
        <v>0</v>
      </c>
      <c r="R244">
        <v>0</v>
      </c>
      <c r="S244">
        <v>19088.88</v>
      </c>
      <c r="T244">
        <v>443</v>
      </c>
      <c r="U244" t="s">
        <v>1458</v>
      </c>
      <c r="V244" t="s">
        <v>1586</v>
      </c>
      <c r="W244">
        <v>19088.88</v>
      </c>
      <c r="X244">
        <v>443</v>
      </c>
      <c r="Y244">
        <v>0</v>
      </c>
      <c r="Z244">
        <v>0</v>
      </c>
    </row>
    <row r="245" spans="1:26">
      <c r="A245" s="1">
        <f>HYPERLINK("https://cms.ls-nyc.org/matter/dynamic-profile/view/1858569","18-1858569")</f>
        <v>0</v>
      </c>
      <c r="B245" t="s">
        <v>27</v>
      </c>
      <c r="C245" t="s">
        <v>43</v>
      </c>
      <c r="D245" t="s">
        <v>278</v>
      </c>
      <c r="E245" t="s">
        <v>707</v>
      </c>
      <c r="F245" t="s">
        <v>1107</v>
      </c>
      <c r="G245" t="s">
        <v>1219</v>
      </c>
      <c r="H245" t="s">
        <v>1375</v>
      </c>
      <c r="I245" t="s">
        <v>1378</v>
      </c>
      <c r="J245" t="s">
        <v>1382</v>
      </c>
      <c r="K245" t="s">
        <v>1385</v>
      </c>
      <c r="M245" t="s">
        <v>1390</v>
      </c>
      <c r="P245" t="s">
        <v>1398</v>
      </c>
      <c r="Q245">
        <v>0</v>
      </c>
      <c r="R245">
        <v>0</v>
      </c>
      <c r="S245">
        <v>21209</v>
      </c>
      <c r="T245">
        <v>773</v>
      </c>
      <c r="U245" t="s">
        <v>1406</v>
      </c>
      <c r="V245" t="s">
        <v>1587</v>
      </c>
      <c r="W245">
        <v>8185</v>
      </c>
      <c r="X245">
        <v>773</v>
      </c>
      <c r="Y245">
        <v>0</v>
      </c>
      <c r="Z245">
        <v>13024</v>
      </c>
    </row>
    <row r="246" spans="1:26">
      <c r="A246" s="1">
        <f>HYPERLINK("https://cms.ls-nyc.org/matter/dynamic-profile/view/1858595","18-1858595")</f>
        <v>0</v>
      </c>
      <c r="B246" t="s">
        <v>26</v>
      </c>
      <c r="C246" t="s">
        <v>56</v>
      </c>
      <c r="D246" t="s">
        <v>279</v>
      </c>
      <c r="E246" t="s">
        <v>708</v>
      </c>
      <c r="F246" t="s">
        <v>1107</v>
      </c>
      <c r="G246" t="s">
        <v>1330</v>
      </c>
      <c r="H246" t="s">
        <v>1375</v>
      </c>
      <c r="I246" t="s">
        <v>1379</v>
      </c>
      <c r="J246" t="s">
        <v>1383</v>
      </c>
      <c r="K246" t="s">
        <v>1385</v>
      </c>
      <c r="M246" t="s">
        <v>1391</v>
      </c>
      <c r="P246" t="s">
        <v>1400</v>
      </c>
      <c r="Q246">
        <v>0</v>
      </c>
      <c r="R246">
        <v>0</v>
      </c>
      <c r="S246">
        <v>0</v>
      </c>
      <c r="T246">
        <v>0</v>
      </c>
      <c r="U246" t="s">
        <v>1404</v>
      </c>
      <c r="V246" t="s">
        <v>1404</v>
      </c>
      <c r="W246">
        <v>0</v>
      </c>
      <c r="X246">
        <v>0</v>
      </c>
      <c r="Y246">
        <v>0</v>
      </c>
      <c r="Z246">
        <v>0</v>
      </c>
    </row>
    <row r="247" spans="1:26">
      <c r="A247" s="1">
        <f>HYPERLINK("https://cms.ls-nyc.org/matter/dynamic-profile/view/1858716","18-1858716")</f>
        <v>0</v>
      </c>
      <c r="B247" t="s">
        <v>27</v>
      </c>
      <c r="C247" t="s">
        <v>43</v>
      </c>
      <c r="D247" t="s">
        <v>280</v>
      </c>
      <c r="E247" t="s">
        <v>709</v>
      </c>
      <c r="F247" t="s">
        <v>1108</v>
      </c>
      <c r="G247" t="s">
        <v>1334</v>
      </c>
      <c r="H247" t="s">
        <v>1375</v>
      </c>
      <c r="I247" t="s">
        <v>1379</v>
      </c>
      <c r="J247" t="s">
        <v>1382</v>
      </c>
      <c r="K247" t="s">
        <v>1385</v>
      </c>
      <c r="M247" t="s">
        <v>1390</v>
      </c>
      <c r="P247" t="s">
        <v>1397</v>
      </c>
      <c r="Q247">
        <v>0</v>
      </c>
      <c r="R247">
        <v>0</v>
      </c>
      <c r="S247">
        <v>0</v>
      </c>
      <c r="T247">
        <v>0</v>
      </c>
      <c r="U247" t="s">
        <v>1404</v>
      </c>
      <c r="V247" t="s">
        <v>1404</v>
      </c>
      <c r="W247">
        <v>0</v>
      </c>
      <c r="X247">
        <v>0</v>
      </c>
      <c r="Y247">
        <v>0</v>
      </c>
      <c r="Z247">
        <v>0</v>
      </c>
    </row>
    <row r="248" spans="1:26">
      <c r="A248" s="1">
        <f>HYPERLINK("https://cms.ls-nyc.org/matter/dynamic-profile/view/1858930","18-1858930")</f>
        <v>0</v>
      </c>
      <c r="B248" t="s">
        <v>27</v>
      </c>
      <c r="C248" t="s">
        <v>43</v>
      </c>
      <c r="D248" t="s">
        <v>281</v>
      </c>
      <c r="E248" t="s">
        <v>710</v>
      </c>
      <c r="F248" t="s">
        <v>1109</v>
      </c>
      <c r="G248" t="s">
        <v>1305</v>
      </c>
      <c r="H248" t="s">
        <v>1375</v>
      </c>
      <c r="I248" t="s">
        <v>1379</v>
      </c>
      <c r="J248" t="s">
        <v>1382</v>
      </c>
      <c r="K248" t="s">
        <v>1385</v>
      </c>
      <c r="M248" t="s">
        <v>1390</v>
      </c>
      <c r="P248" t="s">
        <v>1398</v>
      </c>
      <c r="Q248">
        <v>0</v>
      </c>
      <c r="R248">
        <v>0</v>
      </c>
      <c r="S248">
        <v>23664</v>
      </c>
      <c r="T248">
        <v>773</v>
      </c>
      <c r="U248" t="s">
        <v>1406</v>
      </c>
      <c r="V248" t="s">
        <v>1588</v>
      </c>
      <c r="W248">
        <v>23664</v>
      </c>
      <c r="X248">
        <v>773</v>
      </c>
      <c r="Y248">
        <v>0</v>
      </c>
      <c r="Z248">
        <v>0</v>
      </c>
    </row>
    <row r="249" spans="1:26">
      <c r="A249" s="1">
        <f>HYPERLINK("https://cms.ls-nyc.org/matter/dynamic-profile/view/1858986","18-1858986")</f>
        <v>0</v>
      </c>
      <c r="B249" t="s">
        <v>26</v>
      </c>
      <c r="C249" t="s">
        <v>46</v>
      </c>
      <c r="D249" t="s">
        <v>247</v>
      </c>
      <c r="E249" t="s">
        <v>602</v>
      </c>
      <c r="F249" t="s">
        <v>1110</v>
      </c>
      <c r="G249" t="s">
        <v>1307</v>
      </c>
      <c r="H249" t="s">
        <v>1375</v>
      </c>
      <c r="I249" t="s">
        <v>1379</v>
      </c>
      <c r="J249" t="s">
        <v>1382</v>
      </c>
      <c r="K249" t="s">
        <v>1385</v>
      </c>
      <c r="M249" t="s">
        <v>1390</v>
      </c>
      <c r="P249" t="s">
        <v>1397</v>
      </c>
      <c r="Q249">
        <v>0</v>
      </c>
      <c r="R249">
        <v>0</v>
      </c>
      <c r="S249">
        <v>0</v>
      </c>
      <c r="T249">
        <v>0</v>
      </c>
      <c r="U249" t="s">
        <v>1404</v>
      </c>
      <c r="V249" t="s">
        <v>1404</v>
      </c>
      <c r="W249">
        <v>0</v>
      </c>
      <c r="X249">
        <v>0</v>
      </c>
      <c r="Y249">
        <v>0</v>
      </c>
      <c r="Z249">
        <v>0</v>
      </c>
    </row>
    <row r="250" spans="1:26">
      <c r="A250" s="1">
        <f>HYPERLINK("https://cms.ls-nyc.org/matter/dynamic-profile/view/1859043","18-1859043")</f>
        <v>0</v>
      </c>
      <c r="B250" t="s">
        <v>26</v>
      </c>
      <c r="C250" t="s">
        <v>46</v>
      </c>
      <c r="D250" t="s">
        <v>113</v>
      </c>
      <c r="E250" t="s">
        <v>539</v>
      </c>
      <c r="F250" t="s">
        <v>1110</v>
      </c>
      <c r="G250" t="s">
        <v>1338</v>
      </c>
      <c r="H250" t="s">
        <v>1375</v>
      </c>
      <c r="I250" t="s">
        <v>1379</v>
      </c>
      <c r="J250" t="s">
        <v>1383</v>
      </c>
      <c r="K250" t="s">
        <v>1385</v>
      </c>
      <c r="M250" t="s">
        <v>1390</v>
      </c>
      <c r="P250" t="s">
        <v>1398</v>
      </c>
      <c r="Q250">
        <v>0</v>
      </c>
      <c r="R250">
        <v>0</v>
      </c>
      <c r="S250">
        <v>0</v>
      </c>
      <c r="T250">
        <v>0</v>
      </c>
      <c r="U250" t="s">
        <v>1408</v>
      </c>
      <c r="V250" t="s">
        <v>1589</v>
      </c>
      <c r="W250">
        <v>6</v>
      </c>
      <c r="X250">
        <v>750</v>
      </c>
      <c r="Y250">
        <v>0</v>
      </c>
      <c r="Z250">
        <v>2000</v>
      </c>
    </row>
    <row r="251" spans="1:26">
      <c r="A251" s="1">
        <f>HYPERLINK("https://cms.ls-nyc.org/matter/dynamic-profile/view/1859203","18-1859203")</f>
        <v>0</v>
      </c>
      <c r="B251" t="s">
        <v>26</v>
      </c>
      <c r="C251" t="s">
        <v>31</v>
      </c>
      <c r="D251" t="s">
        <v>282</v>
      </c>
      <c r="E251" t="s">
        <v>711</v>
      </c>
      <c r="F251" t="s">
        <v>1111</v>
      </c>
      <c r="G251" t="s">
        <v>1339</v>
      </c>
      <c r="H251" t="s">
        <v>1375</v>
      </c>
      <c r="I251" t="s">
        <v>1379</v>
      </c>
      <c r="J251" t="s">
        <v>1383</v>
      </c>
      <c r="K251" t="s">
        <v>1385</v>
      </c>
      <c r="M251" t="s">
        <v>1390</v>
      </c>
      <c r="P251" t="s">
        <v>1398</v>
      </c>
      <c r="Q251">
        <v>0</v>
      </c>
      <c r="R251">
        <v>0</v>
      </c>
      <c r="S251">
        <v>19846</v>
      </c>
      <c r="T251">
        <v>812</v>
      </c>
      <c r="U251" t="s">
        <v>1459</v>
      </c>
      <c r="V251" t="s">
        <v>1590</v>
      </c>
      <c r="W251">
        <v>21546</v>
      </c>
      <c r="X251">
        <v>0</v>
      </c>
      <c r="Y251">
        <v>812</v>
      </c>
      <c r="Z251">
        <v>12709</v>
      </c>
    </row>
    <row r="252" spans="1:26">
      <c r="A252" s="1">
        <f>HYPERLINK("https://cms.ls-nyc.org/matter/dynamic-profile/view/1859252","18-1859252")</f>
        <v>0</v>
      </c>
      <c r="B252" t="s">
        <v>27</v>
      </c>
      <c r="C252" t="s">
        <v>32</v>
      </c>
      <c r="D252" t="s">
        <v>283</v>
      </c>
      <c r="E252" t="s">
        <v>712</v>
      </c>
      <c r="F252" t="s">
        <v>1111</v>
      </c>
      <c r="G252" t="s">
        <v>1186</v>
      </c>
      <c r="H252" t="s">
        <v>1375</v>
      </c>
      <c r="I252" t="s">
        <v>1379</v>
      </c>
      <c r="J252" t="s">
        <v>1382</v>
      </c>
      <c r="K252" t="s">
        <v>1385</v>
      </c>
      <c r="M252" t="s">
        <v>1391</v>
      </c>
      <c r="P252" t="s">
        <v>1400</v>
      </c>
      <c r="Q252">
        <v>0</v>
      </c>
      <c r="R252">
        <v>0</v>
      </c>
      <c r="S252">
        <v>0</v>
      </c>
      <c r="T252">
        <v>0</v>
      </c>
      <c r="U252" t="s">
        <v>1404</v>
      </c>
      <c r="V252" t="s">
        <v>1404</v>
      </c>
      <c r="W252">
        <v>0</v>
      </c>
      <c r="X252">
        <v>0</v>
      </c>
      <c r="Y252">
        <v>0</v>
      </c>
      <c r="Z252">
        <v>0</v>
      </c>
    </row>
    <row r="253" spans="1:26">
      <c r="A253" s="1">
        <f>HYPERLINK("https://cms.ls-nyc.org/matter/dynamic-profile/view/1859259","18-1859259")</f>
        <v>0</v>
      </c>
      <c r="B253" t="s">
        <v>27</v>
      </c>
      <c r="C253" t="s">
        <v>37</v>
      </c>
      <c r="D253" t="s">
        <v>284</v>
      </c>
      <c r="E253" t="s">
        <v>580</v>
      </c>
      <c r="F253" t="s">
        <v>1111</v>
      </c>
      <c r="G253" t="s">
        <v>1292</v>
      </c>
      <c r="H253" t="s">
        <v>1375</v>
      </c>
      <c r="I253" t="s">
        <v>1379</v>
      </c>
      <c r="J253" t="s">
        <v>1382</v>
      </c>
      <c r="K253" t="s">
        <v>1385</v>
      </c>
      <c r="M253" t="s">
        <v>1389</v>
      </c>
      <c r="P253" t="s">
        <v>1400</v>
      </c>
      <c r="Q253">
        <v>0</v>
      </c>
      <c r="R253">
        <v>0</v>
      </c>
      <c r="S253">
        <v>0</v>
      </c>
      <c r="T253">
        <v>0</v>
      </c>
      <c r="U253" t="s">
        <v>1404</v>
      </c>
      <c r="V253" t="s">
        <v>1404</v>
      </c>
      <c r="W253">
        <v>0</v>
      </c>
      <c r="X253">
        <v>0</v>
      </c>
      <c r="Y253">
        <v>0</v>
      </c>
      <c r="Z253">
        <v>0</v>
      </c>
    </row>
    <row r="254" spans="1:26">
      <c r="A254" s="1">
        <f>HYPERLINK("https://cms.ls-nyc.org/matter/dynamic-profile/view/1859304","18-1859304")</f>
        <v>0</v>
      </c>
      <c r="B254" t="s">
        <v>27</v>
      </c>
      <c r="C254" t="s">
        <v>32</v>
      </c>
      <c r="D254" t="s">
        <v>96</v>
      </c>
      <c r="E254" t="s">
        <v>713</v>
      </c>
      <c r="F254" t="s">
        <v>1112</v>
      </c>
      <c r="G254" t="s">
        <v>1291</v>
      </c>
      <c r="H254" t="s">
        <v>1375</v>
      </c>
      <c r="I254" t="s">
        <v>1379</v>
      </c>
      <c r="J254" t="s">
        <v>1382</v>
      </c>
      <c r="K254" t="s">
        <v>1385</v>
      </c>
      <c r="M254" t="s">
        <v>1390</v>
      </c>
      <c r="P254" t="s">
        <v>1398</v>
      </c>
      <c r="Q254">
        <v>0</v>
      </c>
      <c r="R254">
        <v>0</v>
      </c>
      <c r="S254">
        <v>21829</v>
      </c>
      <c r="T254">
        <v>654</v>
      </c>
      <c r="U254" t="s">
        <v>1460</v>
      </c>
      <c r="V254" t="s">
        <v>1591</v>
      </c>
      <c r="W254">
        <v>21829</v>
      </c>
      <c r="X254">
        <v>214</v>
      </c>
      <c r="Y254">
        <v>440</v>
      </c>
      <c r="Z254">
        <v>13991.43</v>
      </c>
    </row>
    <row r="255" spans="1:26">
      <c r="A255" s="1">
        <f>HYPERLINK("https://cms.ls-nyc.org/matter/dynamic-profile/view/1859661","18-1859661")</f>
        <v>0</v>
      </c>
      <c r="B255" t="s">
        <v>27</v>
      </c>
      <c r="C255" t="s">
        <v>32</v>
      </c>
      <c r="D255" t="s">
        <v>285</v>
      </c>
      <c r="E255" t="s">
        <v>714</v>
      </c>
      <c r="F255" t="s">
        <v>1113</v>
      </c>
      <c r="G255" t="s">
        <v>1240</v>
      </c>
      <c r="H255" t="s">
        <v>1375</v>
      </c>
      <c r="I255" t="s">
        <v>1379</v>
      </c>
      <c r="J255" t="s">
        <v>1383</v>
      </c>
      <c r="K255" t="s">
        <v>1385</v>
      </c>
      <c r="M255" t="s">
        <v>1394</v>
      </c>
      <c r="P255" t="s">
        <v>1399</v>
      </c>
      <c r="Q255">
        <v>0</v>
      </c>
      <c r="R255">
        <v>0</v>
      </c>
      <c r="S255">
        <v>0</v>
      </c>
      <c r="T255">
        <v>0</v>
      </c>
      <c r="U255" t="s">
        <v>1404</v>
      </c>
      <c r="V255" t="s">
        <v>1404</v>
      </c>
      <c r="W255">
        <v>0</v>
      </c>
      <c r="X255">
        <v>0</v>
      </c>
      <c r="Y255">
        <v>0</v>
      </c>
      <c r="Z255">
        <v>0</v>
      </c>
    </row>
    <row r="256" spans="1:26">
      <c r="A256" s="1">
        <f>HYPERLINK("https://cms.ls-nyc.org/matter/dynamic-profile/view/1859952","18-1859952")</f>
        <v>0</v>
      </c>
      <c r="B256" t="s">
        <v>26</v>
      </c>
      <c r="C256" t="s">
        <v>46</v>
      </c>
      <c r="D256" t="s">
        <v>286</v>
      </c>
      <c r="E256" t="s">
        <v>715</v>
      </c>
      <c r="F256" t="s">
        <v>1114</v>
      </c>
      <c r="G256" t="s">
        <v>1271</v>
      </c>
      <c r="H256" t="s">
        <v>1375</v>
      </c>
      <c r="I256" t="s">
        <v>1379</v>
      </c>
      <c r="J256" t="s">
        <v>1382</v>
      </c>
      <c r="K256" t="s">
        <v>1385</v>
      </c>
      <c r="M256" t="s">
        <v>1390</v>
      </c>
      <c r="P256" t="s">
        <v>1398</v>
      </c>
      <c r="Q256">
        <v>0</v>
      </c>
      <c r="R256">
        <v>0</v>
      </c>
      <c r="S256">
        <v>0</v>
      </c>
      <c r="T256">
        <v>0</v>
      </c>
      <c r="U256" t="s">
        <v>1408</v>
      </c>
      <c r="V256" t="s">
        <v>1592</v>
      </c>
      <c r="W256">
        <v>30570</v>
      </c>
      <c r="X256">
        <v>750</v>
      </c>
      <c r="Y256">
        <v>0</v>
      </c>
      <c r="Z256">
        <v>0</v>
      </c>
    </row>
    <row r="257" spans="1:26">
      <c r="A257" s="1">
        <f>HYPERLINK("https://cms.ls-nyc.org/matter/dynamic-profile/view/1860060","18-1860060")</f>
        <v>0</v>
      </c>
      <c r="B257" t="s">
        <v>26</v>
      </c>
      <c r="C257" t="s">
        <v>51</v>
      </c>
      <c r="D257" t="s">
        <v>287</v>
      </c>
      <c r="E257" t="s">
        <v>716</v>
      </c>
      <c r="F257" t="s">
        <v>1115</v>
      </c>
      <c r="G257" t="s">
        <v>1235</v>
      </c>
      <c r="H257" t="s">
        <v>1375</v>
      </c>
      <c r="I257" t="s">
        <v>1379</v>
      </c>
      <c r="J257" t="s">
        <v>1382</v>
      </c>
      <c r="K257" t="s">
        <v>1385</v>
      </c>
      <c r="M257" t="s">
        <v>1390</v>
      </c>
      <c r="P257" t="s">
        <v>1398</v>
      </c>
      <c r="Q257">
        <v>0</v>
      </c>
      <c r="R257">
        <v>0</v>
      </c>
      <c r="S257">
        <v>23000</v>
      </c>
      <c r="T257">
        <v>750</v>
      </c>
      <c r="U257" t="s">
        <v>1408</v>
      </c>
      <c r="V257" t="s">
        <v>1593</v>
      </c>
      <c r="W257">
        <v>23000</v>
      </c>
      <c r="X257">
        <v>750</v>
      </c>
      <c r="Y257">
        <v>0</v>
      </c>
      <c r="Z257">
        <v>0</v>
      </c>
    </row>
    <row r="258" spans="1:26">
      <c r="A258" s="1">
        <f>HYPERLINK("https://cms.ls-nyc.org/matter/dynamic-profile/view/1860132","18-1860132")</f>
        <v>0</v>
      </c>
      <c r="B258" t="s">
        <v>27</v>
      </c>
      <c r="C258" t="s">
        <v>32</v>
      </c>
      <c r="D258" t="s">
        <v>288</v>
      </c>
      <c r="E258" t="s">
        <v>717</v>
      </c>
      <c r="F258" t="s">
        <v>1116</v>
      </c>
      <c r="G258" t="s">
        <v>1292</v>
      </c>
      <c r="H258" t="s">
        <v>1375</v>
      </c>
      <c r="I258" t="s">
        <v>1379</v>
      </c>
      <c r="J258" t="s">
        <v>1382</v>
      </c>
      <c r="K258" t="s">
        <v>1385</v>
      </c>
      <c r="M258" t="s">
        <v>1390</v>
      </c>
      <c r="P258" t="s">
        <v>1398</v>
      </c>
      <c r="Q258">
        <v>0</v>
      </c>
      <c r="R258">
        <v>0</v>
      </c>
      <c r="S258">
        <v>25110</v>
      </c>
      <c r="T258">
        <v>837</v>
      </c>
      <c r="U258" t="s">
        <v>1405</v>
      </c>
      <c r="V258" t="s">
        <v>1594</v>
      </c>
      <c r="W258">
        <v>25110</v>
      </c>
      <c r="X258">
        <v>837</v>
      </c>
      <c r="Y258">
        <v>0</v>
      </c>
      <c r="Z258">
        <v>11940</v>
      </c>
    </row>
    <row r="259" spans="1:26">
      <c r="A259" s="1">
        <f>HYPERLINK("https://cms.ls-nyc.org/matter/dynamic-profile/view/1860218","18-1860218")</f>
        <v>0</v>
      </c>
      <c r="B259" t="s">
        <v>26</v>
      </c>
      <c r="C259" t="s">
        <v>54</v>
      </c>
      <c r="D259" t="s">
        <v>289</v>
      </c>
      <c r="E259" t="s">
        <v>718</v>
      </c>
      <c r="F259" t="s">
        <v>1117</v>
      </c>
      <c r="G259" t="s">
        <v>1330</v>
      </c>
      <c r="H259" t="s">
        <v>1375</v>
      </c>
      <c r="I259" t="s">
        <v>1379</v>
      </c>
      <c r="J259" t="s">
        <v>1382</v>
      </c>
      <c r="K259" t="s">
        <v>1385</v>
      </c>
      <c r="M259" t="s">
        <v>1391</v>
      </c>
      <c r="P259" t="s">
        <v>1400</v>
      </c>
      <c r="Q259">
        <v>0</v>
      </c>
      <c r="R259">
        <v>0</v>
      </c>
      <c r="S259">
        <v>0</v>
      </c>
      <c r="T259">
        <v>0</v>
      </c>
      <c r="U259" t="s">
        <v>1404</v>
      </c>
      <c r="V259" t="s">
        <v>1404</v>
      </c>
      <c r="W259">
        <v>0</v>
      </c>
      <c r="X259">
        <v>0</v>
      </c>
      <c r="Y259">
        <v>0</v>
      </c>
      <c r="Z259">
        <v>0</v>
      </c>
    </row>
    <row r="260" spans="1:26">
      <c r="A260" s="1">
        <f>HYPERLINK("https://cms.ls-nyc.org/matter/dynamic-profile/view/1860288","18-1860288")</f>
        <v>0</v>
      </c>
      <c r="B260" t="s">
        <v>27</v>
      </c>
      <c r="C260" t="s">
        <v>32</v>
      </c>
      <c r="D260" t="s">
        <v>108</v>
      </c>
      <c r="E260" t="s">
        <v>546</v>
      </c>
      <c r="F260" t="s">
        <v>1118</v>
      </c>
      <c r="G260" t="s">
        <v>1329</v>
      </c>
      <c r="H260" t="s">
        <v>1375</v>
      </c>
      <c r="I260" t="s">
        <v>1379</v>
      </c>
      <c r="J260" t="s">
        <v>1383</v>
      </c>
      <c r="K260" t="s">
        <v>1385</v>
      </c>
      <c r="M260" t="s">
        <v>1390</v>
      </c>
      <c r="P260" t="s">
        <v>1398</v>
      </c>
      <c r="Q260">
        <v>0</v>
      </c>
      <c r="R260">
        <v>0</v>
      </c>
      <c r="S260">
        <v>26353</v>
      </c>
      <c r="T260">
        <v>849</v>
      </c>
      <c r="U260" t="s">
        <v>1461</v>
      </c>
      <c r="V260" t="s">
        <v>1595</v>
      </c>
      <c r="W260">
        <v>26353</v>
      </c>
      <c r="X260">
        <v>0</v>
      </c>
      <c r="Y260">
        <v>849</v>
      </c>
      <c r="Z260">
        <v>0</v>
      </c>
    </row>
    <row r="261" spans="1:26">
      <c r="A261" s="1">
        <f>HYPERLINK("https://cms.ls-nyc.org/matter/dynamic-profile/view/1860589","18-1860589")</f>
        <v>0</v>
      </c>
      <c r="B261" t="s">
        <v>27</v>
      </c>
      <c r="C261" t="s">
        <v>43</v>
      </c>
      <c r="D261" t="s">
        <v>290</v>
      </c>
      <c r="E261" t="s">
        <v>719</v>
      </c>
      <c r="F261" t="s">
        <v>1119</v>
      </c>
      <c r="G261" t="s">
        <v>1340</v>
      </c>
      <c r="H261" t="s">
        <v>1375</v>
      </c>
      <c r="I261" t="s">
        <v>1379</v>
      </c>
      <c r="J261" t="s">
        <v>1382</v>
      </c>
      <c r="K261" t="s">
        <v>1385</v>
      </c>
      <c r="M261" t="s">
        <v>1390</v>
      </c>
      <c r="P261" t="s">
        <v>1397</v>
      </c>
      <c r="Q261">
        <v>0</v>
      </c>
      <c r="R261">
        <v>0</v>
      </c>
      <c r="S261">
        <v>0</v>
      </c>
      <c r="T261">
        <v>0</v>
      </c>
      <c r="U261" t="s">
        <v>1404</v>
      </c>
      <c r="V261" t="s">
        <v>1404</v>
      </c>
      <c r="W261">
        <v>0</v>
      </c>
      <c r="X261">
        <v>0</v>
      </c>
      <c r="Y261">
        <v>0</v>
      </c>
      <c r="Z261">
        <v>0</v>
      </c>
    </row>
    <row r="262" spans="1:26">
      <c r="A262" s="1">
        <f>HYPERLINK("https://cms.ls-nyc.org/matter/dynamic-profile/view/1860627","18-1860627")</f>
        <v>0</v>
      </c>
      <c r="B262" t="s">
        <v>26</v>
      </c>
      <c r="C262" t="s">
        <v>56</v>
      </c>
      <c r="D262" t="s">
        <v>291</v>
      </c>
      <c r="E262" t="s">
        <v>720</v>
      </c>
      <c r="F262" t="s">
        <v>1119</v>
      </c>
      <c r="G262" t="s">
        <v>1218</v>
      </c>
      <c r="H262" t="s">
        <v>1375</v>
      </c>
      <c r="I262" t="s">
        <v>1379</v>
      </c>
      <c r="J262" t="s">
        <v>1383</v>
      </c>
      <c r="K262" t="s">
        <v>1385</v>
      </c>
      <c r="M262" t="s">
        <v>1390</v>
      </c>
      <c r="P262" t="s">
        <v>1398</v>
      </c>
      <c r="Q262">
        <v>0</v>
      </c>
      <c r="R262">
        <v>0</v>
      </c>
      <c r="S262">
        <v>16721</v>
      </c>
      <c r="T262">
        <v>500</v>
      </c>
      <c r="U262" t="s">
        <v>1425</v>
      </c>
      <c r="V262" t="s">
        <v>1596</v>
      </c>
      <c r="W262">
        <v>4753.38</v>
      </c>
      <c r="X262">
        <v>500</v>
      </c>
      <c r="Y262">
        <v>0</v>
      </c>
      <c r="Z262">
        <v>11968</v>
      </c>
    </row>
    <row r="263" spans="1:26">
      <c r="A263" s="1">
        <f>HYPERLINK("https://cms.ls-nyc.org/matter/dynamic-profile/view/1860777","18-1860777")</f>
        <v>0</v>
      </c>
      <c r="B263" t="s">
        <v>26</v>
      </c>
      <c r="C263" t="s">
        <v>54</v>
      </c>
      <c r="D263" t="s">
        <v>292</v>
      </c>
      <c r="E263" t="s">
        <v>721</v>
      </c>
      <c r="F263" t="s">
        <v>1120</v>
      </c>
      <c r="G263" t="s">
        <v>1296</v>
      </c>
      <c r="H263" t="s">
        <v>1375</v>
      </c>
      <c r="I263" t="s">
        <v>1379</v>
      </c>
      <c r="J263" t="s">
        <v>1382</v>
      </c>
      <c r="K263" t="s">
        <v>1385</v>
      </c>
      <c r="M263" t="s">
        <v>1389</v>
      </c>
      <c r="P263" t="s">
        <v>1400</v>
      </c>
      <c r="Q263">
        <v>0</v>
      </c>
      <c r="R263">
        <v>0</v>
      </c>
      <c r="S263">
        <v>0</v>
      </c>
      <c r="T263">
        <v>0</v>
      </c>
      <c r="U263" t="s">
        <v>1404</v>
      </c>
      <c r="V263" t="s">
        <v>1404</v>
      </c>
      <c r="W263">
        <v>0</v>
      </c>
      <c r="X263">
        <v>0</v>
      </c>
      <c r="Y263">
        <v>0</v>
      </c>
      <c r="Z263">
        <v>0</v>
      </c>
    </row>
    <row r="264" spans="1:26">
      <c r="A264" s="1">
        <f>HYPERLINK("https://cms.ls-nyc.org/matter/dynamic-profile/view/1860940","18-1860940")</f>
        <v>0</v>
      </c>
      <c r="B264" t="s">
        <v>26</v>
      </c>
      <c r="C264" t="s">
        <v>31</v>
      </c>
      <c r="D264" t="s">
        <v>293</v>
      </c>
      <c r="E264" t="s">
        <v>537</v>
      </c>
      <c r="F264" t="s">
        <v>1121</v>
      </c>
      <c r="G264" t="s">
        <v>1341</v>
      </c>
      <c r="H264" t="s">
        <v>1375</v>
      </c>
      <c r="I264" t="s">
        <v>1379</v>
      </c>
      <c r="J264" t="s">
        <v>1383</v>
      </c>
      <c r="K264" t="s">
        <v>1385</v>
      </c>
      <c r="M264" t="s">
        <v>1389</v>
      </c>
      <c r="P264" t="s">
        <v>1400</v>
      </c>
      <c r="Q264">
        <v>0</v>
      </c>
      <c r="R264">
        <v>0</v>
      </c>
      <c r="S264">
        <v>0</v>
      </c>
      <c r="T264">
        <v>0</v>
      </c>
      <c r="U264" t="s">
        <v>1404</v>
      </c>
      <c r="V264" t="s">
        <v>1404</v>
      </c>
      <c r="W264">
        <v>0</v>
      </c>
      <c r="X264">
        <v>0</v>
      </c>
      <c r="Y264">
        <v>0</v>
      </c>
      <c r="Z264">
        <v>0</v>
      </c>
    </row>
    <row r="265" spans="1:26">
      <c r="A265" s="1">
        <f>HYPERLINK("https://cms.ls-nyc.org/matter/dynamic-profile/view/1861116","18-1861116")</f>
        <v>0</v>
      </c>
      <c r="B265" t="s">
        <v>26</v>
      </c>
      <c r="C265" t="s">
        <v>51</v>
      </c>
      <c r="D265" t="s">
        <v>294</v>
      </c>
      <c r="E265" t="s">
        <v>722</v>
      </c>
      <c r="F265" t="s">
        <v>1122</v>
      </c>
      <c r="G265" t="s">
        <v>1318</v>
      </c>
      <c r="H265" t="s">
        <v>1378</v>
      </c>
      <c r="I265" t="s">
        <v>1379</v>
      </c>
      <c r="J265" t="s">
        <v>1383</v>
      </c>
      <c r="K265" t="s">
        <v>1385</v>
      </c>
      <c r="M265" t="s">
        <v>1389</v>
      </c>
      <c r="P265" t="s">
        <v>1400</v>
      </c>
      <c r="Q265">
        <v>0</v>
      </c>
      <c r="R265">
        <v>0</v>
      </c>
      <c r="S265">
        <v>0</v>
      </c>
      <c r="T265">
        <v>0</v>
      </c>
      <c r="U265" t="s">
        <v>1404</v>
      </c>
      <c r="V265" t="s">
        <v>1404</v>
      </c>
      <c r="W265">
        <v>0</v>
      </c>
      <c r="X265">
        <v>0</v>
      </c>
      <c r="Y265">
        <v>0</v>
      </c>
      <c r="Z265">
        <v>0</v>
      </c>
    </row>
    <row r="266" spans="1:26">
      <c r="A266" s="1">
        <f>HYPERLINK("https://cms.ls-nyc.org/matter/dynamic-profile/view/1861180","18-1861180")</f>
        <v>0</v>
      </c>
      <c r="B266" t="s">
        <v>26</v>
      </c>
      <c r="C266" t="s">
        <v>31</v>
      </c>
      <c r="D266" t="s">
        <v>295</v>
      </c>
      <c r="E266" t="s">
        <v>723</v>
      </c>
      <c r="F266" t="s">
        <v>1122</v>
      </c>
      <c r="G266" t="s">
        <v>1342</v>
      </c>
      <c r="H266" t="s">
        <v>1375</v>
      </c>
      <c r="I266" t="s">
        <v>1379</v>
      </c>
      <c r="J266" t="s">
        <v>1382</v>
      </c>
      <c r="K266" t="s">
        <v>1385</v>
      </c>
      <c r="M266" t="s">
        <v>1390</v>
      </c>
      <c r="P266" t="s">
        <v>1403</v>
      </c>
      <c r="Q266">
        <v>0</v>
      </c>
      <c r="R266">
        <v>0</v>
      </c>
      <c r="S266">
        <v>0</v>
      </c>
      <c r="T266">
        <v>0</v>
      </c>
      <c r="U266" t="s">
        <v>1404</v>
      </c>
      <c r="V266" t="s">
        <v>1404</v>
      </c>
      <c r="W266">
        <v>0</v>
      </c>
      <c r="X266">
        <v>0</v>
      </c>
      <c r="Y266">
        <v>0</v>
      </c>
      <c r="Z266">
        <v>0</v>
      </c>
    </row>
    <row r="267" spans="1:26">
      <c r="A267" s="1">
        <f>HYPERLINK("https://cms.ls-nyc.org/matter/dynamic-profile/view/1861503","18-1861503")</f>
        <v>0</v>
      </c>
      <c r="B267" t="s">
        <v>27</v>
      </c>
      <c r="C267" t="s">
        <v>50</v>
      </c>
      <c r="D267" t="s">
        <v>296</v>
      </c>
      <c r="E267" t="s">
        <v>661</v>
      </c>
      <c r="F267" t="s">
        <v>1123</v>
      </c>
      <c r="G267" t="s">
        <v>1292</v>
      </c>
      <c r="H267" t="s">
        <v>1375</v>
      </c>
      <c r="I267" t="s">
        <v>1379</v>
      </c>
      <c r="J267" t="s">
        <v>1382</v>
      </c>
      <c r="K267" t="s">
        <v>1385</v>
      </c>
      <c r="M267" t="s">
        <v>1390</v>
      </c>
      <c r="P267" t="s">
        <v>1398</v>
      </c>
      <c r="Q267">
        <v>0</v>
      </c>
      <c r="R267">
        <v>0</v>
      </c>
      <c r="S267">
        <v>7500</v>
      </c>
      <c r="T267">
        <v>750</v>
      </c>
      <c r="U267" t="s">
        <v>1408</v>
      </c>
      <c r="V267" t="s">
        <v>1597</v>
      </c>
      <c r="W267">
        <v>7500</v>
      </c>
      <c r="X267">
        <v>750</v>
      </c>
      <c r="Y267">
        <v>0</v>
      </c>
      <c r="Z267">
        <v>0</v>
      </c>
    </row>
    <row r="268" spans="1:26">
      <c r="A268" s="1">
        <f>HYPERLINK("https://cms.ls-nyc.org/matter/dynamic-profile/view/1861553","18-1861553")</f>
        <v>0</v>
      </c>
      <c r="B268" t="s">
        <v>26</v>
      </c>
      <c r="C268" t="s">
        <v>46</v>
      </c>
      <c r="D268" t="s">
        <v>156</v>
      </c>
      <c r="E268" t="s">
        <v>724</v>
      </c>
      <c r="F268" t="s">
        <v>1123</v>
      </c>
      <c r="G268" t="s">
        <v>1292</v>
      </c>
      <c r="H268" t="s">
        <v>1375</v>
      </c>
      <c r="I268" t="s">
        <v>1379</v>
      </c>
      <c r="J268" t="s">
        <v>1382</v>
      </c>
      <c r="K268" t="s">
        <v>1385</v>
      </c>
      <c r="M268" t="s">
        <v>1390</v>
      </c>
      <c r="P268" t="s">
        <v>1398</v>
      </c>
      <c r="Q268">
        <v>0</v>
      </c>
      <c r="R268">
        <v>0</v>
      </c>
      <c r="S268">
        <v>0</v>
      </c>
      <c r="T268">
        <v>0</v>
      </c>
      <c r="U268" t="s">
        <v>1408</v>
      </c>
      <c r="V268" t="s">
        <v>1598</v>
      </c>
      <c r="W268">
        <v>18750</v>
      </c>
      <c r="X268">
        <v>750</v>
      </c>
      <c r="Y268">
        <v>0</v>
      </c>
      <c r="Z268">
        <v>0</v>
      </c>
    </row>
    <row r="269" spans="1:26">
      <c r="A269" s="1">
        <f>HYPERLINK("https://cms.ls-nyc.org/matter/dynamic-profile/view/1861599","18-1861599")</f>
        <v>0</v>
      </c>
      <c r="B269" t="s">
        <v>27</v>
      </c>
      <c r="C269" t="s">
        <v>48</v>
      </c>
      <c r="D269" t="s">
        <v>222</v>
      </c>
      <c r="E269" t="s">
        <v>725</v>
      </c>
      <c r="F269" t="s">
        <v>1123</v>
      </c>
      <c r="G269" t="s">
        <v>1280</v>
      </c>
      <c r="H269" t="s">
        <v>1375</v>
      </c>
      <c r="I269" t="s">
        <v>1379</v>
      </c>
      <c r="J269" t="s">
        <v>1383</v>
      </c>
      <c r="K269" t="s">
        <v>1385</v>
      </c>
      <c r="L269" t="s">
        <v>1385</v>
      </c>
      <c r="M269" t="s">
        <v>1390</v>
      </c>
      <c r="P269" t="s">
        <v>1398</v>
      </c>
      <c r="Q269">
        <v>0</v>
      </c>
      <c r="R269">
        <v>0</v>
      </c>
      <c r="S269">
        <v>32693.8</v>
      </c>
      <c r="T269">
        <v>1656</v>
      </c>
      <c r="U269" t="s">
        <v>1462</v>
      </c>
      <c r="V269" t="s">
        <v>1599</v>
      </c>
      <c r="W269">
        <v>32693.8</v>
      </c>
      <c r="X269">
        <v>0</v>
      </c>
      <c r="Y269">
        <v>1656</v>
      </c>
      <c r="Z269">
        <v>0</v>
      </c>
    </row>
    <row r="270" spans="1:26">
      <c r="A270" s="1">
        <f>HYPERLINK("https://cms.ls-nyc.org/matter/dynamic-profile/view/1861642","18-1861642")</f>
        <v>0</v>
      </c>
      <c r="B270" t="s">
        <v>26</v>
      </c>
      <c r="C270" t="s">
        <v>46</v>
      </c>
      <c r="D270" t="s">
        <v>297</v>
      </c>
      <c r="E270" t="s">
        <v>726</v>
      </c>
      <c r="F270" t="s">
        <v>1124</v>
      </c>
      <c r="G270" t="s">
        <v>1194</v>
      </c>
      <c r="H270" t="s">
        <v>1375</v>
      </c>
      <c r="I270" t="s">
        <v>1379</v>
      </c>
      <c r="J270" t="s">
        <v>1383</v>
      </c>
      <c r="K270" t="s">
        <v>1385</v>
      </c>
      <c r="M270" t="s">
        <v>1389</v>
      </c>
      <c r="P270" t="s">
        <v>1400</v>
      </c>
      <c r="Q270">
        <v>0</v>
      </c>
      <c r="R270">
        <v>0</v>
      </c>
      <c r="S270">
        <v>0</v>
      </c>
      <c r="T270">
        <v>0</v>
      </c>
      <c r="U270" t="s">
        <v>1404</v>
      </c>
      <c r="V270" t="s">
        <v>1404</v>
      </c>
      <c r="W270">
        <v>0</v>
      </c>
      <c r="X270">
        <v>0</v>
      </c>
      <c r="Y270">
        <v>0</v>
      </c>
      <c r="Z270">
        <v>0</v>
      </c>
    </row>
    <row r="271" spans="1:26">
      <c r="A271" s="1">
        <f>HYPERLINK("https://cms.ls-nyc.org/matter/dynamic-profile/view/1861649","18-1861649")</f>
        <v>0</v>
      </c>
      <c r="B271" t="s">
        <v>26</v>
      </c>
      <c r="C271" t="s">
        <v>56</v>
      </c>
      <c r="D271" t="s">
        <v>298</v>
      </c>
      <c r="E271" t="s">
        <v>727</v>
      </c>
      <c r="F271" t="s">
        <v>1124</v>
      </c>
      <c r="G271" t="s">
        <v>1218</v>
      </c>
      <c r="H271" t="s">
        <v>1375</v>
      </c>
      <c r="I271" t="s">
        <v>1379</v>
      </c>
      <c r="J271" t="s">
        <v>1383</v>
      </c>
      <c r="K271" t="s">
        <v>1385</v>
      </c>
      <c r="M271" t="s">
        <v>1390</v>
      </c>
      <c r="P271" t="s">
        <v>1397</v>
      </c>
      <c r="Q271">
        <v>0</v>
      </c>
      <c r="R271">
        <v>0</v>
      </c>
      <c r="S271">
        <v>0</v>
      </c>
      <c r="T271">
        <v>0</v>
      </c>
      <c r="U271" t="s">
        <v>1404</v>
      </c>
      <c r="V271" t="s">
        <v>1404</v>
      </c>
      <c r="W271">
        <v>0</v>
      </c>
      <c r="X271">
        <v>0</v>
      </c>
      <c r="Y271">
        <v>0</v>
      </c>
      <c r="Z271">
        <v>0</v>
      </c>
    </row>
    <row r="272" spans="1:26">
      <c r="A272" s="1">
        <f>HYPERLINK("https://cms.ls-nyc.org/matter/dynamic-profile/view/1861742","18-1861742")</f>
        <v>0</v>
      </c>
      <c r="B272" t="s">
        <v>26</v>
      </c>
      <c r="C272" t="s">
        <v>54</v>
      </c>
      <c r="D272" t="s">
        <v>299</v>
      </c>
      <c r="E272" t="s">
        <v>728</v>
      </c>
      <c r="F272" t="s">
        <v>1124</v>
      </c>
      <c r="G272" t="s">
        <v>1296</v>
      </c>
      <c r="H272" t="s">
        <v>1375</v>
      </c>
      <c r="I272" t="s">
        <v>1379</v>
      </c>
      <c r="J272" t="s">
        <v>1382</v>
      </c>
      <c r="K272" t="s">
        <v>1385</v>
      </c>
      <c r="M272" t="s">
        <v>1389</v>
      </c>
      <c r="P272" t="s">
        <v>1400</v>
      </c>
      <c r="Q272">
        <v>0</v>
      </c>
      <c r="R272">
        <v>0</v>
      </c>
      <c r="S272">
        <v>0</v>
      </c>
      <c r="T272">
        <v>0</v>
      </c>
      <c r="U272" t="s">
        <v>1404</v>
      </c>
      <c r="V272" t="s">
        <v>1404</v>
      </c>
      <c r="W272">
        <v>0</v>
      </c>
      <c r="X272">
        <v>0</v>
      </c>
      <c r="Y272">
        <v>0</v>
      </c>
      <c r="Z272">
        <v>0</v>
      </c>
    </row>
    <row r="273" spans="1:26">
      <c r="A273" s="1">
        <f>HYPERLINK("https://cms.ls-nyc.org/matter/dynamic-profile/view/1861829","18-1861829")</f>
        <v>0</v>
      </c>
      <c r="B273" t="s">
        <v>26</v>
      </c>
      <c r="C273" t="s">
        <v>54</v>
      </c>
      <c r="D273" t="s">
        <v>300</v>
      </c>
      <c r="E273" t="s">
        <v>729</v>
      </c>
      <c r="F273" t="s">
        <v>1125</v>
      </c>
      <c r="G273" t="s">
        <v>1296</v>
      </c>
      <c r="H273" t="s">
        <v>1375</v>
      </c>
      <c r="I273" t="s">
        <v>1379</v>
      </c>
      <c r="J273" t="s">
        <v>1383</v>
      </c>
      <c r="K273" t="s">
        <v>1385</v>
      </c>
      <c r="M273" t="s">
        <v>1389</v>
      </c>
      <c r="P273" t="s">
        <v>1400</v>
      </c>
      <c r="Q273">
        <v>0</v>
      </c>
      <c r="R273">
        <v>0</v>
      </c>
      <c r="S273">
        <v>0</v>
      </c>
      <c r="T273">
        <v>0</v>
      </c>
      <c r="U273" t="s">
        <v>1404</v>
      </c>
      <c r="V273" t="s">
        <v>1404</v>
      </c>
      <c r="W273">
        <v>0</v>
      </c>
      <c r="X273">
        <v>0</v>
      </c>
      <c r="Y273">
        <v>0</v>
      </c>
      <c r="Z273">
        <v>0</v>
      </c>
    </row>
    <row r="274" spans="1:26">
      <c r="A274" s="1">
        <f>HYPERLINK("https://cms.ls-nyc.org/matter/dynamic-profile/view/1861919","18-1861919")</f>
        <v>0</v>
      </c>
      <c r="B274" t="s">
        <v>26</v>
      </c>
      <c r="C274" t="s">
        <v>54</v>
      </c>
      <c r="D274" t="s">
        <v>301</v>
      </c>
      <c r="E274" t="s">
        <v>730</v>
      </c>
      <c r="F274" t="s">
        <v>1126</v>
      </c>
      <c r="G274" t="s">
        <v>1330</v>
      </c>
      <c r="H274" t="s">
        <v>1376</v>
      </c>
      <c r="I274" t="s">
        <v>1379</v>
      </c>
      <c r="J274" t="s">
        <v>1383</v>
      </c>
      <c r="K274" t="s">
        <v>1385</v>
      </c>
      <c r="M274" t="s">
        <v>1389</v>
      </c>
      <c r="P274" t="s">
        <v>1400</v>
      </c>
      <c r="Q274">
        <v>0</v>
      </c>
      <c r="R274">
        <v>0</v>
      </c>
      <c r="S274">
        <v>0</v>
      </c>
      <c r="T274">
        <v>0</v>
      </c>
      <c r="U274" t="s">
        <v>1404</v>
      </c>
      <c r="V274" t="s">
        <v>1404</v>
      </c>
      <c r="W274">
        <v>0</v>
      </c>
      <c r="X274">
        <v>0</v>
      </c>
      <c r="Y274">
        <v>0</v>
      </c>
      <c r="Z274">
        <v>0</v>
      </c>
    </row>
    <row r="275" spans="1:26">
      <c r="A275" s="1">
        <f>HYPERLINK("https://cms.ls-nyc.org/matter/dynamic-profile/view/1861951","18-1861951")</f>
        <v>0</v>
      </c>
      <c r="B275" t="s">
        <v>26</v>
      </c>
      <c r="C275" t="s">
        <v>46</v>
      </c>
      <c r="D275" t="s">
        <v>302</v>
      </c>
      <c r="E275" t="s">
        <v>731</v>
      </c>
      <c r="F275" t="s">
        <v>1126</v>
      </c>
      <c r="G275" t="s">
        <v>1194</v>
      </c>
      <c r="H275" t="s">
        <v>1375</v>
      </c>
      <c r="I275" t="s">
        <v>1379</v>
      </c>
      <c r="J275" t="s">
        <v>1383</v>
      </c>
      <c r="K275" t="s">
        <v>1385</v>
      </c>
      <c r="M275" t="s">
        <v>1389</v>
      </c>
      <c r="P275" t="s">
        <v>1400</v>
      </c>
      <c r="Q275">
        <v>0</v>
      </c>
      <c r="R275">
        <v>0</v>
      </c>
      <c r="S275">
        <v>0</v>
      </c>
      <c r="T275">
        <v>0</v>
      </c>
      <c r="U275" t="s">
        <v>1404</v>
      </c>
      <c r="V275" t="s">
        <v>1404</v>
      </c>
      <c r="W275">
        <v>0</v>
      </c>
      <c r="X275">
        <v>0</v>
      </c>
      <c r="Y275">
        <v>0</v>
      </c>
      <c r="Z275">
        <v>0</v>
      </c>
    </row>
    <row r="276" spans="1:26">
      <c r="A276" s="1">
        <f>HYPERLINK("https://cms.ls-nyc.org/matter/dynamic-profile/view/1861973","18-1861973")</f>
        <v>0</v>
      </c>
      <c r="B276" t="s">
        <v>26</v>
      </c>
      <c r="C276" t="s">
        <v>58</v>
      </c>
      <c r="D276" t="s">
        <v>160</v>
      </c>
      <c r="E276" t="s">
        <v>732</v>
      </c>
      <c r="F276" t="s">
        <v>1126</v>
      </c>
      <c r="G276" t="s">
        <v>1305</v>
      </c>
      <c r="H276" t="s">
        <v>1375</v>
      </c>
      <c r="I276" t="s">
        <v>1379</v>
      </c>
      <c r="J276" t="s">
        <v>1383</v>
      </c>
      <c r="K276" t="s">
        <v>1385</v>
      </c>
      <c r="M276" t="s">
        <v>1390</v>
      </c>
      <c r="P276" t="s">
        <v>1397</v>
      </c>
      <c r="Q276">
        <v>0</v>
      </c>
      <c r="R276">
        <v>0</v>
      </c>
      <c r="S276">
        <v>0</v>
      </c>
      <c r="T276">
        <v>0</v>
      </c>
      <c r="U276" t="s">
        <v>1404</v>
      </c>
      <c r="V276" t="s">
        <v>1404</v>
      </c>
      <c r="W276">
        <v>0</v>
      </c>
      <c r="X276">
        <v>0</v>
      </c>
      <c r="Y276">
        <v>0</v>
      </c>
      <c r="Z276">
        <v>0</v>
      </c>
    </row>
    <row r="277" spans="1:26">
      <c r="A277" s="1">
        <f>HYPERLINK("https://cms.ls-nyc.org/matter/dynamic-profile/view/1862060","18-1862060")</f>
        <v>0</v>
      </c>
      <c r="B277" t="s">
        <v>26</v>
      </c>
      <c r="C277" t="s">
        <v>30</v>
      </c>
      <c r="D277" t="s">
        <v>303</v>
      </c>
      <c r="E277" t="s">
        <v>733</v>
      </c>
      <c r="F277" t="s">
        <v>1127</v>
      </c>
      <c r="G277" t="s">
        <v>1312</v>
      </c>
      <c r="H277" t="s">
        <v>1378</v>
      </c>
      <c r="I277" t="s">
        <v>1379</v>
      </c>
      <c r="J277" t="s">
        <v>1383</v>
      </c>
      <c r="K277" t="s">
        <v>1385</v>
      </c>
      <c r="M277" t="s">
        <v>1389</v>
      </c>
      <c r="P277" t="s">
        <v>1400</v>
      </c>
      <c r="Q277">
        <v>0</v>
      </c>
      <c r="R277">
        <v>0</v>
      </c>
      <c r="S277">
        <v>0</v>
      </c>
      <c r="T277">
        <v>0</v>
      </c>
      <c r="U277" t="s">
        <v>1404</v>
      </c>
      <c r="V277" t="s">
        <v>1404</v>
      </c>
      <c r="W277">
        <v>0</v>
      </c>
      <c r="X277">
        <v>0</v>
      </c>
      <c r="Y277">
        <v>0</v>
      </c>
      <c r="Z277">
        <v>0</v>
      </c>
    </row>
    <row r="278" spans="1:26">
      <c r="A278" s="1">
        <f>HYPERLINK("https://cms.ls-nyc.org/matter/dynamic-profile/view/1862194","18-1862194")</f>
        <v>0</v>
      </c>
      <c r="B278" t="s">
        <v>26</v>
      </c>
      <c r="C278" t="s">
        <v>31</v>
      </c>
      <c r="D278" t="s">
        <v>154</v>
      </c>
      <c r="E278" t="s">
        <v>734</v>
      </c>
      <c r="F278" t="s">
        <v>1128</v>
      </c>
      <c r="G278" t="s">
        <v>1305</v>
      </c>
      <c r="H278" t="s">
        <v>1375</v>
      </c>
      <c r="I278" t="s">
        <v>1379</v>
      </c>
      <c r="J278" t="s">
        <v>1382</v>
      </c>
      <c r="K278" t="s">
        <v>1385</v>
      </c>
      <c r="M278" t="s">
        <v>1390</v>
      </c>
      <c r="P278" t="s">
        <v>1398</v>
      </c>
      <c r="Q278">
        <v>0</v>
      </c>
      <c r="R278">
        <v>0</v>
      </c>
      <c r="S278">
        <v>7966</v>
      </c>
      <c r="T278">
        <v>355</v>
      </c>
      <c r="U278" t="s">
        <v>1463</v>
      </c>
      <c r="V278" t="s">
        <v>1600</v>
      </c>
      <c r="W278">
        <v>7968</v>
      </c>
      <c r="X278">
        <v>355</v>
      </c>
      <c r="Y278">
        <v>0</v>
      </c>
      <c r="Z278">
        <v>0</v>
      </c>
    </row>
    <row r="279" spans="1:26">
      <c r="A279" s="1">
        <f>HYPERLINK("https://cms.ls-nyc.org/matter/dynamic-profile/view/1862290","18-1862290")</f>
        <v>0</v>
      </c>
      <c r="B279" t="s">
        <v>26</v>
      </c>
      <c r="C279" t="s">
        <v>51</v>
      </c>
      <c r="D279" t="s">
        <v>304</v>
      </c>
      <c r="E279" t="s">
        <v>735</v>
      </c>
      <c r="F279" t="s">
        <v>1129</v>
      </c>
      <c r="G279" t="s">
        <v>1235</v>
      </c>
      <c r="H279" t="s">
        <v>1375</v>
      </c>
      <c r="I279" t="s">
        <v>1379</v>
      </c>
      <c r="J279" t="s">
        <v>1383</v>
      </c>
      <c r="K279" t="s">
        <v>1385</v>
      </c>
      <c r="M279" t="s">
        <v>1390</v>
      </c>
      <c r="P279" t="s">
        <v>1398</v>
      </c>
      <c r="Q279">
        <v>0</v>
      </c>
      <c r="R279">
        <v>0</v>
      </c>
      <c r="S279">
        <v>0</v>
      </c>
      <c r="T279">
        <v>802.99</v>
      </c>
      <c r="U279" t="s">
        <v>1464</v>
      </c>
      <c r="V279" t="s">
        <v>1601</v>
      </c>
      <c r="W279">
        <v>803</v>
      </c>
      <c r="X279">
        <v>669.3</v>
      </c>
      <c r="Y279">
        <v>0</v>
      </c>
      <c r="Z279">
        <v>268</v>
      </c>
    </row>
    <row r="280" spans="1:26">
      <c r="A280" s="1">
        <f>HYPERLINK("https://cms.ls-nyc.org/matter/dynamic-profile/view/1862327","18-1862327")</f>
        <v>0</v>
      </c>
      <c r="B280" t="s">
        <v>26</v>
      </c>
      <c r="C280" t="s">
        <v>46</v>
      </c>
      <c r="D280" t="s">
        <v>305</v>
      </c>
      <c r="E280" t="s">
        <v>736</v>
      </c>
      <c r="F280" t="s">
        <v>1129</v>
      </c>
      <c r="G280" t="s">
        <v>1292</v>
      </c>
      <c r="H280" t="s">
        <v>1375</v>
      </c>
      <c r="I280" t="s">
        <v>1379</v>
      </c>
      <c r="J280" t="s">
        <v>1383</v>
      </c>
      <c r="K280" t="s">
        <v>1385</v>
      </c>
      <c r="M280" t="s">
        <v>1390</v>
      </c>
      <c r="P280" t="s">
        <v>1398</v>
      </c>
      <c r="Q280">
        <v>0</v>
      </c>
      <c r="R280">
        <v>0</v>
      </c>
      <c r="S280">
        <v>0</v>
      </c>
      <c r="T280">
        <v>0</v>
      </c>
      <c r="U280" t="s">
        <v>1465</v>
      </c>
      <c r="V280" t="s">
        <v>1602</v>
      </c>
      <c r="W280">
        <v>37107</v>
      </c>
      <c r="X280">
        <v>0</v>
      </c>
      <c r="Y280">
        <v>1197</v>
      </c>
      <c r="Z280">
        <v>10000</v>
      </c>
    </row>
    <row r="281" spans="1:26">
      <c r="A281" s="1">
        <f>HYPERLINK("https://cms.ls-nyc.org/matter/dynamic-profile/view/1862345","18-1862345")</f>
        <v>0</v>
      </c>
      <c r="B281" t="s">
        <v>27</v>
      </c>
      <c r="C281" t="s">
        <v>48</v>
      </c>
      <c r="D281" t="s">
        <v>96</v>
      </c>
      <c r="E281" t="s">
        <v>627</v>
      </c>
      <c r="F281" t="s">
        <v>1129</v>
      </c>
      <c r="G281" t="s">
        <v>1254</v>
      </c>
      <c r="H281" t="s">
        <v>1375</v>
      </c>
      <c r="I281" t="s">
        <v>1379</v>
      </c>
      <c r="J281" t="s">
        <v>1382</v>
      </c>
      <c r="K281" t="s">
        <v>1385</v>
      </c>
      <c r="L281" t="s">
        <v>1388</v>
      </c>
      <c r="M281" t="s">
        <v>1389</v>
      </c>
      <c r="P281" t="s">
        <v>1400</v>
      </c>
      <c r="Q281">
        <v>0</v>
      </c>
      <c r="R281">
        <v>0</v>
      </c>
      <c r="S281">
        <v>0</v>
      </c>
      <c r="T281">
        <v>0</v>
      </c>
      <c r="U281" t="s">
        <v>1404</v>
      </c>
      <c r="V281" t="s">
        <v>1404</v>
      </c>
      <c r="W281">
        <v>0</v>
      </c>
      <c r="X281">
        <v>0</v>
      </c>
      <c r="Y281">
        <v>0</v>
      </c>
      <c r="Z281">
        <v>0</v>
      </c>
    </row>
    <row r="282" spans="1:26">
      <c r="A282" s="1">
        <f>HYPERLINK("https://cms.ls-nyc.org/matter/dynamic-profile/view/1862352","18-1862352")</f>
        <v>0</v>
      </c>
      <c r="B282" t="s">
        <v>26</v>
      </c>
      <c r="C282" t="s">
        <v>54</v>
      </c>
      <c r="D282" t="s">
        <v>306</v>
      </c>
      <c r="E282" t="s">
        <v>737</v>
      </c>
      <c r="F282" t="s">
        <v>1129</v>
      </c>
      <c r="G282" t="s">
        <v>1296</v>
      </c>
      <c r="H282" t="s">
        <v>1375</v>
      </c>
      <c r="I282" t="s">
        <v>1379</v>
      </c>
      <c r="J282" t="s">
        <v>1383</v>
      </c>
      <c r="K282" t="s">
        <v>1385</v>
      </c>
      <c r="M282" t="s">
        <v>1389</v>
      </c>
      <c r="P282" t="s">
        <v>1400</v>
      </c>
      <c r="Q282">
        <v>0</v>
      </c>
      <c r="R282">
        <v>0</v>
      </c>
      <c r="S282">
        <v>0</v>
      </c>
      <c r="T282">
        <v>0</v>
      </c>
      <c r="U282" t="s">
        <v>1404</v>
      </c>
      <c r="V282" t="s">
        <v>1404</v>
      </c>
      <c r="W282">
        <v>0</v>
      </c>
      <c r="X282">
        <v>0</v>
      </c>
      <c r="Y282">
        <v>0</v>
      </c>
      <c r="Z282">
        <v>0</v>
      </c>
    </row>
    <row r="283" spans="1:26">
      <c r="A283" s="1">
        <f>HYPERLINK("https://cms.ls-nyc.org/matter/dynamic-profile/view/1862355","18-1862355")</f>
        <v>0</v>
      </c>
      <c r="B283" t="s">
        <v>26</v>
      </c>
      <c r="C283" t="s">
        <v>55</v>
      </c>
      <c r="D283" t="s">
        <v>307</v>
      </c>
      <c r="E283" t="s">
        <v>738</v>
      </c>
      <c r="F283" t="s">
        <v>1129</v>
      </c>
      <c r="G283" t="s">
        <v>1296</v>
      </c>
      <c r="H283" t="s">
        <v>1375</v>
      </c>
      <c r="I283" t="s">
        <v>1379</v>
      </c>
      <c r="J283" t="s">
        <v>1382</v>
      </c>
      <c r="K283" t="s">
        <v>1385</v>
      </c>
      <c r="M283" t="s">
        <v>1389</v>
      </c>
      <c r="P283" t="s">
        <v>1400</v>
      </c>
      <c r="Q283">
        <v>0</v>
      </c>
      <c r="R283">
        <v>0</v>
      </c>
      <c r="S283">
        <v>0</v>
      </c>
      <c r="T283">
        <v>0</v>
      </c>
      <c r="U283" t="s">
        <v>1404</v>
      </c>
      <c r="V283" t="s">
        <v>1404</v>
      </c>
      <c r="W283">
        <v>0</v>
      </c>
      <c r="X283">
        <v>0</v>
      </c>
      <c r="Y283">
        <v>0</v>
      </c>
      <c r="Z283">
        <v>0</v>
      </c>
    </row>
    <row r="284" spans="1:26">
      <c r="A284" s="1">
        <f>HYPERLINK("https://cms.ls-nyc.org/matter/dynamic-profile/view/1862471","18-1862471")</f>
        <v>0</v>
      </c>
      <c r="B284" t="s">
        <v>26</v>
      </c>
      <c r="C284" t="s">
        <v>54</v>
      </c>
      <c r="D284" t="s">
        <v>308</v>
      </c>
      <c r="E284" t="s">
        <v>739</v>
      </c>
      <c r="F284" t="s">
        <v>1130</v>
      </c>
      <c r="G284" t="s">
        <v>1330</v>
      </c>
      <c r="H284" t="s">
        <v>1375</v>
      </c>
      <c r="I284" t="s">
        <v>1379</v>
      </c>
      <c r="J284" t="s">
        <v>1382</v>
      </c>
      <c r="K284" t="s">
        <v>1385</v>
      </c>
      <c r="M284" t="s">
        <v>1391</v>
      </c>
      <c r="P284" t="s">
        <v>1400</v>
      </c>
      <c r="Q284">
        <v>0</v>
      </c>
      <c r="R284">
        <v>0</v>
      </c>
      <c r="S284">
        <v>0</v>
      </c>
      <c r="T284">
        <v>0</v>
      </c>
      <c r="U284" t="s">
        <v>1404</v>
      </c>
      <c r="V284" t="s">
        <v>1404</v>
      </c>
      <c r="W284">
        <v>0</v>
      </c>
      <c r="X284">
        <v>0</v>
      </c>
      <c r="Y284">
        <v>0</v>
      </c>
      <c r="Z284">
        <v>0</v>
      </c>
    </row>
    <row r="285" spans="1:26">
      <c r="A285" s="1">
        <f>HYPERLINK("https://cms.ls-nyc.org/matter/dynamic-profile/view/1862531","18-1862531")</f>
        <v>0</v>
      </c>
      <c r="B285" t="s">
        <v>27</v>
      </c>
      <c r="C285" t="s">
        <v>38</v>
      </c>
      <c r="D285" t="s">
        <v>309</v>
      </c>
      <c r="E285" t="s">
        <v>740</v>
      </c>
      <c r="F285" t="s">
        <v>1131</v>
      </c>
      <c r="G285" t="s">
        <v>1343</v>
      </c>
      <c r="H285" t="s">
        <v>1378</v>
      </c>
      <c r="I285" t="s">
        <v>1379</v>
      </c>
      <c r="J285" t="s">
        <v>1383</v>
      </c>
      <c r="K285" t="s">
        <v>1385</v>
      </c>
      <c r="M285" t="s">
        <v>1391</v>
      </c>
      <c r="P285" t="s">
        <v>1400</v>
      </c>
      <c r="Q285">
        <v>0</v>
      </c>
      <c r="R285">
        <v>0</v>
      </c>
      <c r="S285">
        <v>0</v>
      </c>
      <c r="T285">
        <v>0</v>
      </c>
      <c r="U285" t="s">
        <v>1404</v>
      </c>
      <c r="V285" t="s">
        <v>1404</v>
      </c>
      <c r="W285">
        <v>0</v>
      </c>
      <c r="X285">
        <v>0</v>
      </c>
      <c r="Y285">
        <v>0</v>
      </c>
      <c r="Z285">
        <v>0</v>
      </c>
    </row>
    <row r="286" spans="1:26">
      <c r="A286" s="1">
        <f>HYPERLINK("https://cms.ls-nyc.org/matter/dynamic-profile/view/1862702","18-1862702")</f>
        <v>0</v>
      </c>
      <c r="B286" t="s">
        <v>26</v>
      </c>
      <c r="C286" t="s">
        <v>46</v>
      </c>
      <c r="D286" t="s">
        <v>310</v>
      </c>
      <c r="E286" t="s">
        <v>741</v>
      </c>
      <c r="F286" t="s">
        <v>1132</v>
      </c>
      <c r="G286" t="s">
        <v>1292</v>
      </c>
      <c r="H286" t="s">
        <v>1375</v>
      </c>
      <c r="I286" t="s">
        <v>1379</v>
      </c>
      <c r="J286" t="s">
        <v>1383</v>
      </c>
      <c r="K286" t="s">
        <v>1385</v>
      </c>
      <c r="M286" t="s">
        <v>1390</v>
      </c>
      <c r="P286" t="s">
        <v>1398</v>
      </c>
      <c r="Q286">
        <v>0</v>
      </c>
      <c r="R286">
        <v>0</v>
      </c>
      <c r="S286">
        <v>0</v>
      </c>
      <c r="T286">
        <v>0</v>
      </c>
      <c r="U286" t="s">
        <v>1408</v>
      </c>
      <c r="V286" t="s">
        <v>1603</v>
      </c>
      <c r="W286">
        <v>2250</v>
      </c>
      <c r="X286">
        <v>750</v>
      </c>
      <c r="Y286">
        <v>0</v>
      </c>
      <c r="Z286">
        <v>0</v>
      </c>
    </row>
    <row r="287" spans="1:26">
      <c r="A287" s="1">
        <f>HYPERLINK("https://cms.ls-nyc.org/matter/dynamic-profile/view/1862703","18-1862703")</f>
        <v>0</v>
      </c>
      <c r="B287" t="s">
        <v>27</v>
      </c>
      <c r="C287" t="s">
        <v>43</v>
      </c>
      <c r="D287" t="s">
        <v>311</v>
      </c>
      <c r="E287" t="s">
        <v>742</v>
      </c>
      <c r="F287" t="s">
        <v>1132</v>
      </c>
      <c r="G287" t="s">
        <v>1194</v>
      </c>
      <c r="H287" t="s">
        <v>1375</v>
      </c>
      <c r="I287" t="s">
        <v>1379</v>
      </c>
      <c r="J287" t="s">
        <v>1383</v>
      </c>
      <c r="K287" t="s">
        <v>1385</v>
      </c>
      <c r="M287" t="s">
        <v>1390</v>
      </c>
      <c r="P287" t="s">
        <v>1398</v>
      </c>
      <c r="Q287">
        <v>0</v>
      </c>
      <c r="R287">
        <v>0</v>
      </c>
      <c r="S287">
        <v>18979</v>
      </c>
      <c r="T287">
        <v>773</v>
      </c>
      <c r="U287" t="s">
        <v>1406</v>
      </c>
      <c r="V287" t="s">
        <v>1604</v>
      </c>
      <c r="W287">
        <v>8067</v>
      </c>
      <c r="X287">
        <v>773</v>
      </c>
      <c r="Y287">
        <v>0</v>
      </c>
      <c r="Z287">
        <v>10912</v>
      </c>
    </row>
    <row r="288" spans="1:26">
      <c r="A288" s="1">
        <f>HYPERLINK("https://cms.ls-nyc.org/matter/dynamic-profile/view/1862705","18-1862705")</f>
        <v>0</v>
      </c>
      <c r="B288" t="s">
        <v>27</v>
      </c>
      <c r="C288" t="s">
        <v>33</v>
      </c>
      <c r="D288" t="s">
        <v>312</v>
      </c>
      <c r="E288" t="s">
        <v>554</v>
      </c>
      <c r="F288" t="s">
        <v>1132</v>
      </c>
      <c r="G288" t="s">
        <v>1280</v>
      </c>
      <c r="H288" t="s">
        <v>1375</v>
      </c>
      <c r="I288" t="s">
        <v>1379</v>
      </c>
      <c r="J288" t="s">
        <v>1382</v>
      </c>
      <c r="K288" t="s">
        <v>1385</v>
      </c>
      <c r="M288" t="s">
        <v>1390</v>
      </c>
      <c r="P288" t="s">
        <v>1398</v>
      </c>
      <c r="Q288">
        <v>0</v>
      </c>
      <c r="R288">
        <v>0</v>
      </c>
      <c r="S288">
        <v>14000</v>
      </c>
      <c r="T288">
        <v>587</v>
      </c>
      <c r="U288" t="s">
        <v>1466</v>
      </c>
      <c r="V288" t="s">
        <v>1605</v>
      </c>
      <c r="W288">
        <v>14000</v>
      </c>
      <c r="X288">
        <v>587</v>
      </c>
      <c r="Y288">
        <v>0</v>
      </c>
      <c r="Z288">
        <v>0</v>
      </c>
    </row>
    <row r="289" spans="1:26">
      <c r="A289" s="1">
        <f>HYPERLINK("https://cms.ls-nyc.org/matter/dynamic-profile/view/1862712","18-1862712")</f>
        <v>0</v>
      </c>
      <c r="B289" t="s">
        <v>26</v>
      </c>
      <c r="C289" t="s">
        <v>46</v>
      </c>
      <c r="D289" t="s">
        <v>183</v>
      </c>
      <c r="E289" t="s">
        <v>743</v>
      </c>
      <c r="F289" t="s">
        <v>1132</v>
      </c>
      <c r="G289" t="s">
        <v>1271</v>
      </c>
      <c r="H289" t="s">
        <v>1375</v>
      </c>
      <c r="I289" t="s">
        <v>1379</v>
      </c>
      <c r="J289" t="s">
        <v>1382</v>
      </c>
      <c r="K289" t="s">
        <v>1385</v>
      </c>
      <c r="M289" t="s">
        <v>1390</v>
      </c>
      <c r="P289" t="s">
        <v>1398</v>
      </c>
      <c r="Q289">
        <v>0</v>
      </c>
      <c r="R289">
        <v>0</v>
      </c>
      <c r="S289">
        <v>0</v>
      </c>
      <c r="T289">
        <v>0</v>
      </c>
      <c r="U289" t="s">
        <v>1408</v>
      </c>
      <c r="V289" t="s">
        <v>1404</v>
      </c>
      <c r="W289">
        <v>0</v>
      </c>
      <c r="X289">
        <v>750</v>
      </c>
      <c r="Y289">
        <v>0</v>
      </c>
      <c r="Z289">
        <v>0</v>
      </c>
    </row>
    <row r="290" spans="1:26">
      <c r="A290" s="1">
        <f>HYPERLINK("https://cms.ls-nyc.org/matter/dynamic-profile/view/1862726","18-1862726")</f>
        <v>0</v>
      </c>
      <c r="B290" t="s">
        <v>26</v>
      </c>
      <c r="C290" t="s">
        <v>54</v>
      </c>
      <c r="D290" t="s">
        <v>313</v>
      </c>
      <c r="E290" t="s">
        <v>744</v>
      </c>
      <c r="F290" t="s">
        <v>1132</v>
      </c>
      <c r="G290" t="s">
        <v>1330</v>
      </c>
      <c r="H290" t="s">
        <v>1375</v>
      </c>
      <c r="I290" t="s">
        <v>1379</v>
      </c>
      <c r="J290" t="s">
        <v>1382</v>
      </c>
      <c r="K290" t="s">
        <v>1385</v>
      </c>
      <c r="M290" t="s">
        <v>1391</v>
      </c>
      <c r="P290" t="s">
        <v>1400</v>
      </c>
      <c r="Q290">
        <v>0</v>
      </c>
      <c r="R290">
        <v>0</v>
      </c>
      <c r="S290">
        <v>0</v>
      </c>
      <c r="T290">
        <v>0</v>
      </c>
      <c r="U290" t="s">
        <v>1404</v>
      </c>
      <c r="V290" t="s">
        <v>1404</v>
      </c>
      <c r="W290">
        <v>0</v>
      </c>
      <c r="X290">
        <v>0</v>
      </c>
      <c r="Y290">
        <v>0</v>
      </c>
      <c r="Z290">
        <v>0</v>
      </c>
    </row>
    <row r="291" spans="1:26">
      <c r="A291" s="1">
        <f>HYPERLINK("https://cms.ls-nyc.org/matter/dynamic-profile/view/1862974","18-1862974")</f>
        <v>0</v>
      </c>
      <c r="B291" t="s">
        <v>26</v>
      </c>
      <c r="C291" t="s">
        <v>54</v>
      </c>
      <c r="D291" t="s">
        <v>314</v>
      </c>
      <c r="E291" t="s">
        <v>745</v>
      </c>
      <c r="F291" t="s">
        <v>1133</v>
      </c>
      <c r="G291" t="s">
        <v>1296</v>
      </c>
      <c r="H291" t="s">
        <v>1375</v>
      </c>
      <c r="I291" t="s">
        <v>1379</v>
      </c>
      <c r="J291" t="s">
        <v>1383</v>
      </c>
      <c r="K291" t="s">
        <v>1385</v>
      </c>
      <c r="M291" t="s">
        <v>1389</v>
      </c>
      <c r="P291" t="s">
        <v>1400</v>
      </c>
      <c r="Q291">
        <v>0</v>
      </c>
      <c r="R291">
        <v>0</v>
      </c>
      <c r="S291">
        <v>0</v>
      </c>
      <c r="T291">
        <v>0</v>
      </c>
      <c r="U291" t="s">
        <v>1404</v>
      </c>
      <c r="V291" t="s">
        <v>1404</v>
      </c>
      <c r="W291">
        <v>0</v>
      </c>
      <c r="X291">
        <v>0</v>
      </c>
      <c r="Y291">
        <v>0</v>
      </c>
      <c r="Z291">
        <v>0</v>
      </c>
    </row>
    <row r="292" spans="1:26">
      <c r="A292" s="1">
        <f>HYPERLINK("https://cms.ls-nyc.org/matter/dynamic-profile/view/1863047","18-1863047")</f>
        <v>0</v>
      </c>
      <c r="B292" t="s">
        <v>27</v>
      </c>
      <c r="C292" t="s">
        <v>43</v>
      </c>
      <c r="D292" t="s">
        <v>221</v>
      </c>
      <c r="E292" t="s">
        <v>746</v>
      </c>
      <c r="F292" t="s">
        <v>1133</v>
      </c>
      <c r="G292" t="s">
        <v>1299</v>
      </c>
      <c r="H292" t="s">
        <v>1375</v>
      </c>
      <c r="I292" t="s">
        <v>1379</v>
      </c>
      <c r="J292" t="s">
        <v>1383</v>
      </c>
      <c r="K292" t="s">
        <v>1385</v>
      </c>
      <c r="M292" t="s">
        <v>1390</v>
      </c>
      <c r="P292" t="s">
        <v>1398</v>
      </c>
      <c r="Q292">
        <v>0</v>
      </c>
      <c r="R292">
        <v>0</v>
      </c>
      <c r="S292">
        <v>60000</v>
      </c>
      <c r="T292">
        <v>1538</v>
      </c>
      <c r="U292" t="s">
        <v>1467</v>
      </c>
      <c r="V292" t="s">
        <v>1606</v>
      </c>
      <c r="W292">
        <v>61000</v>
      </c>
      <c r="X292">
        <v>0</v>
      </c>
      <c r="Y292">
        <v>1538</v>
      </c>
      <c r="Z292">
        <v>0</v>
      </c>
    </row>
    <row r="293" spans="1:26">
      <c r="A293" s="1">
        <f>HYPERLINK("https://cms.ls-nyc.org/matter/dynamic-profile/view/1863347","18-1863347")</f>
        <v>0</v>
      </c>
      <c r="B293" t="s">
        <v>26</v>
      </c>
      <c r="C293" t="s">
        <v>31</v>
      </c>
      <c r="D293" t="s">
        <v>298</v>
      </c>
      <c r="E293" t="s">
        <v>505</v>
      </c>
      <c r="F293" t="s">
        <v>1134</v>
      </c>
      <c r="G293" t="s">
        <v>1193</v>
      </c>
      <c r="H293" t="s">
        <v>1378</v>
      </c>
      <c r="I293" t="s">
        <v>1380</v>
      </c>
      <c r="J293" t="s">
        <v>1382</v>
      </c>
      <c r="K293" t="s">
        <v>1385</v>
      </c>
      <c r="M293" t="s">
        <v>1390</v>
      </c>
      <c r="P293" t="s">
        <v>1398</v>
      </c>
      <c r="Q293">
        <v>0</v>
      </c>
      <c r="R293">
        <v>0</v>
      </c>
      <c r="S293">
        <v>0</v>
      </c>
      <c r="T293">
        <v>837</v>
      </c>
      <c r="U293" t="s">
        <v>1405</v>
      </c>
      <c r="V293" t="s">
        <v>1404</v>
      </c>
      <c r="W293">
        <v>0</v>
      </c>
      <c r="X293">
        <v>837</v>
      </c>
      <c r="Y293">
        <v>0</v>
      </c>
      <c r="Z293">
        <v>0</v>
      </c>
    </row>
    <row r="294" spans="1:26">
      <c r="A294" s="1">
        <f>HYPERLINK("https://cms.ls-nyc.org/matter/dynamic-profile/view/1863519","18-1863519")</f>
        <v>0</v>
      </c>
      <c r="B294" t="s">
        <v>28</v>
      </c>
      <c r="C294" t="s">
        <v>52</v>
      </c>
      <c r="D294" t="s">
        <v>315</v>
      </c>
      <c r="E294" t="s">
        <v>579</v>
      </c>
      <c r="F294" t="s">
        <v>1135</v>
      </c>
      <c r="G294" t="s">
        <v>1305</v>
      </c>
      <c r="H294" t="s">
        <v>1375</v>
      </c>
      <c r="I294" t="s">
        <v>1379</v>
      </c>
      <c r="J294" t="s">
        <v>1382</v>
      </c>
      <c r="K294" t="s">
        <v>1385</v>
      </c>
      <c r="M294" t="s">
        <v>1390</v>
      </c>
      <c r="P294" t="s">
        <v>1403</v>
      </c>
      <c r="Q294">
        <v>0</v>
      </c>
      <c r="R294">
        <v>0</v>
      </c>
      <c r="S294">
        <v>0</v>
      </c>
      <c r="T294">
        <v>0</v>
      </c>
      <c r="U294" t="s">
        <v>1404</v>
      </c>
      <c r="V294" t="s">
        <v>1404</v>
      </c>
      <c r="W294">
        <v>0</v>
      </c>
      <c r="X294">
        <v>0</v>
      </c>
      <c r="Y294">
        <v>0</v>
      </c>
      <c r="Z294">
        <v>0</v>
      </c>
    </row>
    <row r="295" spans="1:26">
      <c r="A295" s="1">
        <f>HYPERLINK("https://cms.ls-nyc.org/matter/dynamic-profile/view/1863529","18-1863529")</f>
        <v>0</v>
      </c>
      <c r="B295" t="s">
        <v>26</v>
      </c>
      <c r="C295" t="s">
        <v>30</v>
      </c>
      <c r="D295" t="s">
        <v>316</v>
      </c>
      <c r="E295" t="s">
        <v>747</v>
      </c>
      <c r="F295" t="s">
        <v>1135</v>
      </c>
      <c r="G295" t="s">
        <v>1298</v>
      </c>
      <c r="H295" t="s">
        <v>1378</v>
      </c>
      <c r="I295" t="s">
        <v>1379</v>
      </c>
      <c r="J295" t="s">
        <v>1383</v>
      </c>
      <c r="K295" t="s">
        <v>1385</v>
      </c>
      <c r="M295" t="s">
        <v>1389</v>
      </c>
      <c r="P295" t="s">
        <v>1399</v>
      </c>
      <c r="Q295">
        <v>0</v>
      </c>
      <c r="R295">
        <v>0</v>
      </c>
      <c r="S295">
        <v>0</v>
      </c>
      <c r="T295">
        <v>0</v>
      </c>
      <c r="U295" t="s">
        <v>1404</v>
      </c>
      <c r="V295" t="s">
        <v>1404</v>
      </c>
      <c r="W295">
        <v>0</v>
      </c>
      <c r="X295">
        <v>0</v>
      </c>
      <c r="Y295">
        <v>0</v>
      </c>
      <c r="Z295">
        <v>0</v>
      </c>
    </row>
    <row r="296" spans="1:26">
      <c r="A296" s="1">
        <f>HYPERLINK("https://cms.ls-nyc.org/matter/dynamic-profile/view/1863604","18-1863604")</f>
        <v>0</v>
      </c>
      <c r="B296" t="s">
        <v>28</v>
      </c>
      <c r="C296" t="s">
        <v>52</v>
      </c>
      <c r="D296" t="s">
        <v>317</v>
      </c>
      <c r="E296" t="s">
        <v>501</v>
      </c>
      <c r="F296" t="s">
        <v>1135</v>
      </c>
      <c r="G296" t="s">
        <v>1292</v>
      </c>
      <c r="H296" t="s">
        <v>1375</v>
      </c>
      <c r="I296" t="s">
        <v>1379</v>
      </c>
      <c r="J296" t="s">
        <v>1382</v>
      </c>
      <c r="K296" t="s">
        <v>1385</v>
      </c>
      <c r="M296" t="s">
        <v>1390</v>
      </c>
      <c r="P296" t="s">
        <v>1398</v>
      </c>
      <c r="Q296">
        <v>0</v>
      </c>
      <c r="R296">
        <v>0</v>
      </c>
      <c r="S296">
        <v>12032</v>
      </c>
      <c r="T296">
        <v>750</v>
      </c>
      <c r="U296" t="s">
        <v>1408</v>
      </c>
      <c r="V296" t="s">
        <v>1607</v>
      </c>
      <c r="W296">
        <v>12032</v>
      </c>
      <c r="X296">
        <v>750</v>
      </c>
      <c r="Y296">
        <v>0</v>
      </c>
      <c r="Z296">
        <v>10902</v>
      </c>
    </row>
    <row r="297" spans="1:26">
      <c r="A297" s="1">
        <f>HYPERLINK("https://cms.ls-nyc.org/matter/dynamic-profile/view/1863701","18-1863701")</f>
        <v>0</v>
      </c>
      <c r="B297" t="s">
        <v>26</v>
      </c>
      <c r="C297" t="s">
        <v>46</v>
      </c>
      <c r="D297" t="s">
        <v>318</v>
      </c>
      <c r="E297" t="s">
        <v>748</v>
      </c>
      <c r="F297" t="s">
        <v>1136</v>
      </c>
      <c r="G297" t="s">
        <v>1292</v>
      </c>
      <c r="H297" t="s">
        <v>1375</v>
      </c>
      <c r="I297" t="s">
        <v>1379</v>
      </c>
      <c r="J297" t="s">
        <v>1383</v>
      </c>
      <c r="K297" t="s">
        <v>1385</v>
      </c>
      <c r="M297" t="s">
        <v>1390</v>
      </c>
      <c r="P297" t="s">
        <v>1397</v>
      </c>
      <c r="Q297">
        <v>0</v>
      </c>
      <c r="R297">
        <v>0</v>
      </c>
      <c r="S297">
        <v>0</v>
      </c>
      <c r="T297">
        <v>0</v>
      </c>
      <c r="U297" t="s">
        <v>1404</v>
      </c>
      <c r="V297" t="s">
        <v>1404</v>
      </c>
      <c r="W297">
        <v>0</v>
      </c>
      <c r="X297">
        <v>0</v>
      </c>
      <c r="Y297">
        <v>0</v>
      </c>
      <c r="Z297">
        <v>0</v>
      </c>
    </row>
    <row r="298" spans="1:26">
      <c r="A298" s="1">
        <f>HYPERLINK("https://cms.ls-nyc.org/matter/dynamic-profile/view/1863807","18-1863807")</f>
        <v>0</v>
      </c>
      <c r="B298" t="s">
        <v>26</v>
      </c>
      <c r="C298" t="s">
        <v>55</v>
      </c>
      <c r="D298" t="s">
        <v>319</v>
      </c>
      <c r="E298" t="s">
        <v>749</v>
      </c>
      <c r="F298" t="s">
        <v>1137</v>
      </c>
      <c r="G298" t="s">
        <v>1330</v>
      </c>
      <c r="H298" t="s">
        <v>1375</v>
      </c>
      <c r="I298" t="s">
        <v>1379</v>
      </c>
      <c r="J298" t="s">
        <v>1382</v>
      </c>
      <c r="K298" t="s">
        <v>1385</v>
      </c>
      <c r="M298" t="s">
        <v>1389</v>
      </c>
      <c r="P298" t="s">
        <v>1400</v>
      </c>
      <c r="Q298">
        <v>0</v>
      </c>
      <c r="R298">
        <v>0</v>
      </c>
      <c r="S298">
        <v>0</v>
      </c>
      <c r="T298">
        <v>0</v>
      </c>
      <c r="U298" t="s">
        <v>1404</v>
      </c>
      <c r="V298" t="s">
        <v>1404</v>
      </c>
      <c r="W298">
        <v>0</v>
      </c>
      <c r="X298">
        <v>0</v>
      </c>
      <c r="Y298">
        <v>0</v>
      </c>
      <c r="Z298">
        <v>0</v>
      </c>
    </row>
    <row r="299" spans="1:26">
      <c r="A299" s="1">
        <f>HYPERLINK("https://cms.ls-nyc.org/matter/dynamic-profile/view/1863829","18-1863829")</f>
        <v>0</v>
      </c>
      <c r="B299" t="s">
        <v>26</v>
      </c>
      <c r="C299" t="s">
        <v>54</v>
      </c>
      <c r="D299" t="s">
        <v>320</v>
      </c>
      <c r="E299" t="s">
        <v>584</v>
      </c>
      <c r="F299" t="s">
        <v>1137</v>
      </c>
      <c r="G299" t="s">
        <v>1296</v>
      </c>
      <c r="H299" t="s">
        <v>1375</v>
      </c>
      <c r="I299" t="s">
        <v>1379</v>
      </c>
      <c r="J299" t="s">
        <v>1382</v>
      </c>
      <c r="K299" t="s">
        <v>1385</v>
      </c>
      <c r="M299" t="s">
        <v>1391</v>
      </c>
      <c r="P299" t="s">
        <v>1400</v>
      </c>
      <c r="Q299">
        <v>0</v>
      </c>
      <c r="R299">
        <v>0</v>
      </c>
      <c r="S299">
        <v>0</v>
      </c>
      <c r="T299">
        <v>0</v>
      </c>
      <c r="U299" t="s">
        <v>1404</v>
      </c>
      <c r="V299" t="s">
        <v>1404</v>
      </c>
      <c r="W299">
        <v>0</v>
      </c>
      <c r="X299">
        <v>0</v>
      </c>
      <c r="Y299">
        <v>0</v>
      </c>
      <c r="Z299">
        <v>0</v>
      </c>
    </row>
    <row r="300" spans="1:26">
      <c r="A300" s="1">
        <f>HYPERLINK("https://cms.ls-nyc.org/matter/dynamic-profile/view/1864006","18-1864006")</f>
        <v>0</v>
      </c>
      <c r="B300" t="s">
        <v>28</v>
      </c>
      <c r="C300" t="s">
        <v>34</v>
      </c>
      <c r="D300" t="s">
        <v>147</v>
      </c>
      <c r="E300" t="s">
        <v>750</v>
      </c>
      <c r="F300" t="s">
        <v>1138</v>
      </c>
      <c r="G300" t="s">
        <v>1319</v>
      </c>
      <c r="H300" t="s">
        <v>1375</v>
      </c>
      <c r="I300" t="s">
        <v>1379</v>
      </c>
      <c r="J300" t="s">
        <v>1382</v>
      </c>
      <c r="K300" t="s">
        <v>1385</v>
      </c>
      <c r="M300" t="s">
        <v>1390</v>
      </c>
      <c r="P300" t="s">
        <v>1398</v>
      </c>
      <c r="Q300">
        <v>0</v>
      </c>
      <c r="R300">
        <v>0</v>
      </c>
      <c r="S300">
        <v>6599</v>
      </c>
      <c r="T300">
        <v>773</v>
      </c>
      <c r="U300" t="s">
        <v>1434</v>
      </c>
      <c r="V300" t="s">
        <v>1608</v>
      </c>
      <c r="W300">
        <v>6599</v>
      </c>
      <c r="X300">
        <v>753</v>
      </c>
      <c r="Y300">
        <v>0</v>
      </c>
      <c r="Z300">
        <v>0</v>
      </c>
    </row>
    <row r="301" spans="1:26">
      <c r="A301" s="1">
        <f>HYPERLINK("https://cms.ls-nyc.org/matter/dynamic-profile/view/1864050","18-1864050")</f>
        <v>0</v>
      </c>
      <c r="B301" t="s">
        <v>26</v>
      </c>
      <c r="C301" t="s">
        <v>54</v>
      </c>
      <c r="D301" t="s">
        <v>321</v>
      </c>
      <c r="E301" t="s">
        <v>661</v>
      </c>
      <c r="F301" t="s">
        <v>1139</v>
      </c>
      <c r="G301" t="s">
        <v>1330</v>
      </c>
      <c r="H301" t="s">
        <v>1375</v>
      </c>
      <c r="I301" t="s">
        <v>1379</v>
      </c>
      <c r="J301" t="s">
        <v>1383</v>
      </c>
      <c r="K301" t="s">
        <v>1385</v>
      </c>
      <c r="M301" t="s">
        <v>1391</v>
      </c>
      <c r="P301" t="s">
        <v>1400</v>
      </c>
      <c r="Q301">
        <v>0</v>
      </c>
      <c r="R301">
        <v>0</v>
      </c>
      <c r="S301">
        <v>0</v>
      </c>
      <c r="T301">
        <v>0</v>
      </c>
      <c r="U301" t="s">
        <v>1404</v>
      </c>
      <c r="V301" t="s">
        <v>1404</v>
      </c>
      <c r="W301">
        <v>0</v>
      </c>
      <c r="X301">
        <v>0</v>
      </c>
      <c r="Y301">
        <v>0</v>
      </c>
      <c r="Z301">
        <v>0</v>
      </c>
    </row>
    <row r="302" spans="1:26">
      <c r="A302" s="1">
        <f>HYPERLINK("https://cms.ls-nyc.org/matter/dynamic-profile/view/1864051","18-1864051")</f>
        <v>0</v>
      </c>
      <c r="B302" t="s">
        <v>27</v>
      </c>
      <c r="C302" t="s">
        <v>32</v>
      </c>
      <c r="D302" t="s">
        <v>247</v>
      </c>
      <c r="E302" t="s">
        <v>751</v>
      </c>
      <c r="F302" t="s">
        <v>1139</v>
      </c>
      <c r="G302" t="s">
        <v>1292</v>
      </c>
      <c r="H302" t="s">
        <v>1375</v>
      </c>
      <c r="I302" t="s">
        <v>1379</v>
      </c>
      <c r="J302" t="s">
        <v>1383</v>
      </c>
      <c r="K302" t="s">
        <v>1385</v>
      </c>
      <c r="M302" t="s">
        <v>1394</v>
      </c>
      <c r="P302" t="s">
        <v>1399</v>
      </c>
      <c r="Q302">
        <v>0</v>
      </c>
      <c r="R302">
        <v>0</v>
      </c>
      <c r="S302">
        <v>0</v>
      </c>
      <c r="T302">
        <v>0</v>
      </c>
      <c r="U302" t="s">
        <v>1404</v>
      </c>
      <c r="V302" t="s">
        <v>1404</v>
      </c>
      <c r="W302">
        <v>0</v>
      </c>
      <c r="X302">
        <v>0</v>
      </c>
      <c r="Y302">
        <v>0</v>
      </c>
      <c r="Z302">
        <v>0</v>
      </c>
    </row>
    <row r="303" spans="1:26">
      <c r="A303" s="1">
        <f>HYPERLINK("https://cms.ls-nyc.org/matter/dynamic-profile/view/1864180","18-1864180")</f>
        <v>0</v>
      </c>
      <c r="B303" t="s">
        <v>28</v>
      </c>
      <c r="C303" t="s">
        <v>34</v>
      </c>
      <c r="D303" t="s">
        <v>322</v>
      </c>
      <c r="E303" t="s">
        <v>752</v>
      </c>
      <c r="F303" t="s">
        <v>1139</v>
      </c>
      <c r="G303" t="s">
        <v>1227</v>
      </c>
      <c r="H303" t="s">
        <v>1375</v>
      </c>
      <c r="I303" t="s">
        <v>1379</v>
      </c>
      <c r="J303" t="s">
        <v>1382</v>
      </c>
      <c r="K303" t="s">
        <v>1385</v>
      </c>
      <c r="M303" t="s">
        <v>1390</v>
      </c>
      <c r="P303" t="s">
        <v>1398</v>
      </c>
      <c r="Q303">
        <v>0</v>
      </c>
      <c r="R303">
        <v>0</v>
      </c>
      <c r="S303">
        <v>0</v>
      </c>
      <c r="T303">
        <v>773</v>
      </c>
      <c r="U303" t="s">
        <v>1406</v>
      </c>
      <c r="V303" t="s">
        <v>1404</v>
      </c>
      <c r="W303">
        <v>0</v>
      </c>
      <c r="X303">
        <v>773</v>
      </c>
      <c r="Y303">
        <v>0</v>
      </c>
      <c r="Z303">
        <v>0</v>
      </c>
    </row>
    <row r="304" spans="1:26">
      <c r="A304" s="1">
        <f>HYPERLINK("https://cms.ls-nyc.org/matter/dynamic-profile/view/1864201","18-1864201")</f>
        <v>0</v>
      </c>
      <c r="B304" t="s">
        <v>26</v>
      </c>
      <c r="C304" t="s">
        <v>54</v>
      </c>
      <c r="D304" t="s">
        <v>180</v>
      </c>
      <c r="E304" t="s">
        <v>753</v>
      </c>
      <c r="F304" t="s">
        <v>1139</v>
      </c>
      <c r="G304" t="s">
        <v>1296</v>
      </c>
      <c r="H304" t="s">
        <v>1375</v>
      </c>
      <c r="I304" t="s">
        <v>1379</v>
      </c>
      <c r="J304" t="s">
        <v>1384</v>
      </c>
      <c r="K304" t="s">
        <v>1385</v>
      </c>
      <c r="M304" t="s">
        <v>1389</v>
      </c>
      <c r="P304" t="s">
        <v>1400</v>
      </c>
      <c r="Q304">
        <v>0</v>
      </c>
      <c r="R304">
        <v>0</v>
      </c>
      <c r="S304">
        <v>0</v>
      </c>
      <c r="T304">
        <v>0</v>
      </c>
      <c r="U304" t="s">
        <v>1404</v>
      </c>
      <c r="V304" t="s">
        <v>1404</v>
      </c>
      <c r="W304">
        <v>0</v>
      </c>
      <c r="X304">
        <v>0</v>
      </c>
      <c r="Y304">
        <v>0</v>
      </c>
      <c r="Z304">
        <v>0</v>
      </c>
    </row>
    <row r="305" spans="1:26">
      <c r="A305" s="1">
        <f>HYPERLINK("https://cms.ls-nyc.org/matter/dynamic-profile/view/1864217","18-1864217")</f>
        <v>0</v>
      </c>
      <c r="B305" t="s">
        <v>26</v>
      </c>
      <c r="C305" t="s">
        <v>55</v>
      </c>
      <c r="D305" t="s">
        <v>323</v>
      </c>
      <c r="E305" t="s">
        <v>754</v>
      </c>
      <c r="F305" t="s">
        <v>1140</v>
      </c>
      <c r="G305" t="s">
        <v>1330</v>
      </c>
      <c r="H305" t="s">
        <v>1375</v>
      </c>
      <c r="I305" t="s">
        <v>1379</v>
      </c>
      <c r="J305" t="s">
        <v>1383</v>
      </c>
      <c r="K305" t="s">
        <v>1385</v>
      </c>
      <c r="M305" t="s">
        <v>1391</v>
      </c>
      <c r="P305" t="s">
        <v>1400</v>
      </c>
      <c r="Q305">
        <v>0</v>
      </c>
      <c r="R305">
        <v>0</v>
      </c>
      <c r="S305">
        <v>0</v>
      </c>
      <c r="T305">
        <v>0</v>
      </c>
      <c r="U305" t="s">
        <v>1404</v>
      </c>
      <c r="V305" t="s">
        <v>1404</v>
      </c>
      <c r="W305">
        <v>0</v>
      </c>
      <c r="X305">
        <v>0</v>
      </c>
      <c r="Y305">
        <v>0</v>
      </c>
      <c r="Z305">
        <v>0</v>
      </c>
    </row>
    <row r="306" spans="1:26">
      <c r="A306" s="1">
        <f>HYPERLINK("https://cms.ls-nyc.org/matter/dynamic-profile/view/1864235","18-1864235")</f>
        <v>0</v>
      </c>
      <c r="B306" t="s">
        <v>26</v>
      </c>
      <c r="C306" t="s">
        <v>51</v>
      </c>
      <c r="D306" t="s">
        <v>258</v>
      </c>
      <c r="E306" t="s">
        <v>755</v>
      </c>
      <c r="F306" t="s">
        <v>1140</v>
      </c>
      <c r="G306" t="s">
        <v>1250</v>
      </c>
      <c r="H306" t="s">
        <v>1375</v>
      </c>
      <c r="I306" t="s">
        <v>1380</v>
      </c>
      <c r="J306" t="s">
        <v>1382</v>
      </c>
      <c r="K306" t="s">
        <v>1385</v>
      </c>
      <c r="M306" t="s">
        <v>1390</v>
      </c>
      <c r="P306" t="s">
        <v>1398</v>
      </c>
      <c r="Q306">
        <v>0</v>
      </c>
      <c r="R306">
        <v>0</v>
      </c>
      <c r="S306">
        <v>0</v>
      </c>
      <c r="T306">
        <v>749.99</v>
      </c>
      <c r="U306" t="s">
        <v>1408</v>
      </c>
      <c r="V306" t="s">
        <v>1404</v>
      </c>
      <c r="W306">
        <v>0</v>
      </c>
      <c r="X306">
        <v>750</v>
      </c>
      <c r="Y306">
        <v>0</v>
      </c>
      <c r="Z306">
        <v>0</v>
      </c>
    </row>
    <row r="307" spans="1:26">
      <c r="A307" s="1">
        <f>HYPERLINK("https://cms.ls-nyc.org/matter/dynamic-profile/view/1864293","18-1864293")</f>
        <v>0</v>
      </c>
      <c r="B307" t="s">
        <v>26</v>
      </c>
      <c r="C307" t="s">
        <v>54</v>
      </c>
      <c r="D307" t="s">
        <v>324</v>
      </c>
      <c r="E307" t="s">
        <v>756</v>
      </c>
      <c r="F307" t="s">
        <v>1140</v>
      </c>
      <c r="G307" t="s">
        <v>1330</v>
      </c>
      <c r="H307" t="s">
        <v>1375</v>
      </c>
      <c r="I307" t="s">
        <v>1379</v>
      </c>
      <c r="J307" t="s">
        <v>1382</v>
      </c>
      <c r="K307" t="s">
        <v>1385</v>
      </c>
      <c r="M307" t="s">
        <v>1391</v>
      </c>
      <c r="P307" t="s">
        <v>1400</v>
      </c>
      <c r="Q307">
        <v>0</v>
      </c>
      <c r="R307">
        <v>0</v>
      </c>
      <c r="S307">
        <v>0</v>
      </c>
      <c r="T307">
        <v>0</v>
      </c>
      <c r="U307" t="s">
        <v>1404</v>
      </c>
      <c r="V307" t="s">
        <v>1404</v>
      </c>
      <c r="W307">
        <v>0</v>
      </c>
      <c r="X307">
        <v>0</v>
      </c>
      <c r="Y307">
        <v>0</v>
      </c>
      <c r="Z307">
        <v>0</v>
      </c>
    </row>
    <row r="308" spans="1:26">
      <c r="A308" s="1">
        <f>HYPERLINK("https://cms.ls-nyc.org/matter/dynamic-profile/view/1864323","18-1864323")</f>
        <v>0</v>
      </c>
      <c r="B308" t="s">
        <v>26</v>
      </c>
      <c r="C308" t="s">
        <v>59</v>
      </c>
      <c r="D308" t="s">
        <v>325</v>
      </c>
      <c r="E308" t="s">
        <v>757</v>
      </c>
      <c r="F308" t="s">
        <v>1141</v>
      </c>
      <c r="G308" t="s">
        <v>1219</v>
      </c>
      <c r="H308" t="s">
        <v>1378</v>
      </c>
      <c r="I308" t="s">
        <v>1378</v>
      </c>
      <c r="J308" t="s">
        <v>1383</v>
      </c>
      <c r="K308" t="s">
        <v>1385</v>
      </c>
      <c r="M308" t="s">
        <v>1389</v>
      </c>
      <c r="P308" t="s">
        <v>1400</v>
      </c>
      <c r="Q308">
        <v>0</v>
      </c>
      <c r="R308">
        <v>0</v>
      </c>
      <c r="S308">
        <v>0</v>
      </c>
      <c r="T308">
        <v>0</v>
      </c>
      <c r="U308" t="s">
        <v>1404</v>
      </c>
      <c r="V308" t="s">
        <v>1404</v>
      </c>
      <c r="W308">
        <v>0</v>
      </c>
      <c r="X308">
        <v>0</v>
      </c>
      <c r="Y308">
        <v>0</v>
      </c>
      <c r="Z308">
        <v>0</v>
      </c>
    </row>
    <row r="309" spans="1:26">
      <c r="A309" s="1">
        <f>HYPERLINK("https://cms.ls-nyc.org/matter/dynamic-profile/view/1864464","18-1864464")</f>
        <v>0</v>
      </c>
      <c r="B309" t="s">
        <v>26</v>
      </c>
      <c r="C309" t="s">
        <v>51</v>
      </c>
      <c r="D309" t="s">
        <v>326</v>
      </c>
      <c r="E309" t="s">
        <v>758</v>
      </c>
      <c r="F309" t="s">
        <v>1142</v>
      </c>
      <c r="G309" t="s">
        <v>1238</v>
      </c>
      <c r="H309" t="s">
        <v>1375</v>
      </c>
      <c r="I309" t="s">
        <v>1379</v>
      </c>
      <c r="J309" t="s">
        <v>1382</v>
      </c>
      <c r="K309" t="s">
        <v>1385</v>
      </c>
      <c r="M309" t="s">
        <v>1390</v>
      </c>
      <c r="P309" t="s">
        <v>1398</v>
      </c>
      <c r="Q309">
        <v>0</v>
      </c>
      <c r="R309">
        <v>0</v>
      </c>
      <c r="S309">
        <v>22917</v>
      </c>
      <c r="T309">
        <v>750</v>
      </c>
      <c r="U309" t="s">
        <v>1408</v>
      </c>
      <c r="V309" t="s">
        <v>1609</v>
      </c>
      <c r="W309">
        <v>22917</v>
      </c>
      <c r="X309">
        <v>750</v>
      </c>
      <c r="Y309">
        <v>0</v>
      </c>
      <c r="Z309">
        <v>0</v>
      </c>
    </row>
    <row r="310" spans="1:26">
      <c r="A310" s="1">
        <f>HYPERLINK("https://cms.ls-nyc.org/matter/dynamic-profile/view/1864609","18-1864609")</f>
        <v>0</v>
      </c>
      <c r="B310" t="s">
        <v>26</v>
      </c>
      <c r="C310" t="s">
        <v>51</v>
      </c>
      <c r="D310" t="s">
        <v>140</v>
      </c>
      <c r="E310" t="s">
        <v>563</v>
      </c>
      <c r="F310" t="s">
        <v>1143</v>
      </c>
      <c r="G310" t="s">
        <v>1218</v>
      </c>
      <c r="H310" t="s">
        <v>1375</v>
      </c>
      <c r="I310" t="s">
        <v>1379</v>
      </c>
      <c r="J310" t="s">
        <v>1382</v>
      </c>
      <c r="K310" t="s">
        <v>1385</v>
      </c>
      <c r="M310" t="s">
        <v>1390</v>
      </c>
      <c r="P310" t="s">
        <v>1398</v>
      </c>
      <c r="Q310">
        <v>529</v>
      </c>
      <c r="R310">
        <v>21394</v>
      </c>
      <c r="S310">
        <v>0</v>
      </c>
      <c r="T310">
        <v>0</v>
      </c>
      <c r="U310" t="s">
        <v>1468</v>
      </c>
      <c r="V310" t="s">
        <v>1610</v>
      </c>
      <c r="W310">
        <v>21394</v>
      </c>
      <c r="X310">
        <v>529</v>
      </c>
      <c r="Y310">
        <v>0</v>
      </c>
      <c r="Z310">
        <v>0</v>
      </c>
    </row>
    <row r="311" spans="1:26">
      <c r="A311" s="1">
        <f>HYPERLINK("https://cms.ls-nyc.org/matter/dynamic-profile/view/1864626","18-1864626")</f>
        <v>0</v>
      </c>
      <c r="B311" t="s">
        <v>26</v>
      </c>
      <c r="C311" t="s">
        <v>54</v>
      </c>
      <c r="D311" t="s">
        <v>327</v>
      </c>
      <c r="E311" t="s">
        <v>599</v>
      </c>
      <c r="F311" t="s">
        <v>1143</v>
      </c>
      <c r="G311" t="s">
        <v>1296</v>
      </c>
      <c r="H311" t="s">
        <v>1375</v>
      </c>
      <c r="I311" t="s">
        <v>1379</v>
      </c>
      <c r="J311" t="s">
        <v>1382</v>
      </c>
      <c r="K311" t="s">
        <v>1385</v>
      </c>
      <c r="M311" t="s">
        <v>1391</v>
      </c>
      <c r="P311" t="s">
        <v>1400</v>
      </c>
      <c r="Q311">
        <v>0</v>
      </c>
      <c r="R311">
        <v>0</v>
      </c>
      <c r="S311">
        <v>0</v>
      </c>
      <c r="T311">
        <v>0</v>
      </c>
      <c r="U311" t="s">
        <v>1404</v>
      </c>
      <c r="V311" t="s">
        <v>1404</v>
      </c>
      <c r="W311">
        <v>0</v>
      </c>
      <c r="X311">
        <v>0</v>
      </c>
      <c r="Y311">
        <v>0</v>
      </c>
      <c r="Z311">
        <v>0</v>
      </c>
    </row>
    <row r="312" spans="1:26">
      <c r="A312" s="1">
        <f>HYPERLINK("https://cms.ls-nyc.org/matter/dynamic-profile/view/1864758","18-1864758")</f>
        <v>0</v>
      </c>
      <c r="B312" t="s">
        <v>26</v>
      </c>
      <c r="C312" t="s">
        <v>54</v>
      </c>
      <c r="D312" t="s">
        <v>328</v>
      </c>
      <c r="E312" t="s">
        <v>759</v>
      </c>
      <c r="F312" t="s">
        <v>1144</v>
      </c>
      <c r="G312" t="s">
        <v>1330</v>
      </c>
      <c r="H312" t="s">
        <v>1375</v>
      </c>
      <c r="I312" t="s">
        <v>1379</v>
      </c>
      <c r="J312" t="s">
        <v>1382</v>
      </c>
      <c r="K312" t="s">
        <v>1385</v>
      </c>
      <c r="M312" t="s">
        <v>1391</v>
      </c>
      <c r="P312" t="s">
        <v>1400</v>
      </c>
      <c r="Q312">
        <v>0</v>
      </c>
      <c r="R312">
        <v>0</v>
      </c>
      <c r="S312">
        <v>0</v>
      </c>
      <c r="T312">
        <v>0</v>
      </c>
      <c r="U312" t="s">
        <v>1404</v>
      </c>
      <c r="V312" t="s">
        <v>1404</v>
      </c>
      <c r="W312">
        <v>0</v>
      </c>
      <c r="X312">
        <v>0</v>
      </c>
      <c r="Y312">
        <v>0</v>
      </c>
      <c r="Z312">
        <v>0</v>
      </c>
    </row>
    <row r="313" spans="1:26">
      <c r="A313" s="1">
        <f>HYPERLINK("https://cms.ls-nyc.org/matter/dynamic-profile/view/1865027","18-1865027")</f>
        <v>0</v>
      </c>
      <c r="B313" t="s">
        <v>29</v>
      </c>
      <c r="C313" t="s">
        <v>42</v>
      </c>
      <c r="D313" t="s">
        <v>329</v>
      </c>
      <c r="E313" t="s">
        <v>687</v>
      </c>
      <c r="F313" t="s">
        <v>1145</v>
      </c>
      <c r="G313" t="s">
        <v>1344</v>
      </c>
      <c r="H313" t="s">
        <v>1375</v>
      </c>
      <c r="I313" t="s">
        <v>1379</v>
      </c>
      <c r="J313" t="s">
        <v>1382</v>
      </c>
      <c r="K313" t="s">
        <v>1385</v>
      </c>
      <c r="M313" t="s">
        <v>1389</v>
      </c>
      <c r="P313" t="s">
        <v>1399</v>
      </c>
      <c r="Q313">
        <v>0</v>
      </c>
      <c r="R313">
        <v>0</v>
      </c>
      <c r="S313">
        <v>0</v>
      </c>
      <c r="T313">
        <v>0</v>
      </c>
      <c r="U313" t="s">
        <v>1404</v>
      </c>
      <c r="V313" t="s">
        <v>1404</v>
      </c>
      <c r="W313">
        <v>0</v>
      </c>
      <c r="X313">
        <v>0</v>
      </c>
      <c r="Y313">
        <v>0</v>
      </c>
      <c r="Z313">
        <v>0</v>
      </c>
    </row>
    <row r="314" spans="1:26">
      <c r="A314" s="1">
        <f>HYPERLINK("https://cms.ls-nyc.org/matter/dynamic-profile/view/1865155","18-1865155")</f>
        <v>0</v>
      </c>
      <c r="B314" t="s">
        <v>26</v>
      </c>
      <c r="C314" t="s">
        <v>56</v>
      </c>
      <c r="D314" t="s">
        <v>330</v>
      </c>
      <c r="E314" t="s">
        <v>760</v>
      </c>
      <c r="F314" t="s">
        <v>1146</v>
      </c>
      <c r="G314" t="s">
        <v>1220</v>
      </c>
      <c r="H314" t="s">
        <v>1375</v>
      </c>
      <c r="I314" t="s">
        <v>1379</v>
      </c>
      <c r="J314" t="s">
        <v>1382</v>
      </c>
      <c r="K314" t="s">
        <v>1385</v>
      </c>
      <c r="M314" t="s">
        <v>1390</v>
      </c>
      <c r="P314" t="s">
        <v>1398</v>
      </c>
      <c r="Q314">
        <v>0</v>
      </c>
      <c r="R314">
        <v>0</v>
      </c>
      <c r="S314">
        <v>22857</v>
      </c>
      <c r="T314">
        <v>773</v>
      </c>
      <c r="U314" t="s">
        <v>1406</v>
      </c>
      <c r="V314" t="s">
        <v>1611</v>
      </c>
      <c r="W314">
        <v>15817</v>
      </c>
      <c r="X314">
        <v>773</v>
      </c>
      <c r="Y314">
        <v>0</v>
      </c>
      <c r="Z314">
        <v>7040</v>
      </c>
    </row>
    <row r="315" spans="1:26">
      <c r="A315" s="1">
        <f>HYPERLINK("https://cms.ls-nyc.org/matter/dynamic-profile/view/1865336","18-1865336")</f>
        <v>0</v>
      </c>
      <c r="B315" t="s">
        <v>26</v>
      </c>
      <c r="C315" t="s">
        <v>54</v>
      </c>
      <c r="D315" t="s">
        <v>331</v>
      </c>
      <c r="E315" t="s">
        <v>761</v>
      </c>
      <c r="F315" t="s">
        <v>1147</v>
      </c>
      <c r="G315" t="s">
        <v>1296</v>
      </c>
      <c r="H315" t="s">
        <v>1375</v>
      </c>
      <c r="I315" t="s">
        <v>1379</v>
      </c>
      <c r="J315" t="s">
        <v>1382</v>
      </c>
      <c r="K315" t="s">
        <v>1385</v>
      </c>
      <c r="M315" t="s">
        <v>1389</v>
      </c>
      <c r="P315" t="s">
        <v>1400</v>
      </c>
      <c r="Q315">
        <v>0</v>
      </c>
      <c r="R315">
        <v>0</v>
      </c>
      <c r="S315">
        <v>0</v>
      </c>
      <c r="T315">
        <v>0</v>
      </c>
      <c r="U315" t="s">
        <v>1404</v>
      </c>
      <c r="V315" t="s">
        <v>1404</v>
      </c>
      <c r="W315">
        <v>0</v>
      </c>
      <c r="X315">
        <v>0</v>
      </c>
      <c r="Y315">
        <v>0</v>
      </c>
      <c r="Z315">
        <v>0</v>
      </c>
    </row>
    <row r="316" spans="1:26">
      <c r="A316" s="1">
        <f>HYPERLINK("https://cms.ls-nyc.org/matter/dynamic-profile/view/1865426","18-1865426")</f>
        <v>0</v>
      </c>
      <c r="B316" t="s">
        <v>26</v>
      </c>
      <c r="C316" t="s">
        <v>54</v>
      </c>
      <c r="D316" t="s">
        <v>148</v>
      </c>
      <c r="E316" t="s">
        <v>762</v>
      </c>
      <c r="F316" t="s">
        <v>1148</v>
      </c>
      <c r="G316" t="s">
        <v>1330</v>
      </c>
      <c r="H316" t="s">
        <v>1375</v>
      </c>
      <c r="I316" t="s">
        <v>1379</v>
      </c>
      <c r="J316" t="s">
        <v>1383</v>
      </c>
      <c r="K316" t="s">
        <v>1385</v>
      </c>
      <c r="M316" t="s">
        <v>1391</v>
      </c>
      <c r="P316" t="s">
        <v>1400</v>
      </c>
      <c r="Q316">
        <v>0</v>
      </c>
      <c r="R316">
        <v>0</v>
      </c>
      <c r="S316">
        <v>0</v>
      </c>
      <c r="T316">
        <v>0</v>
      </c>
      <c r="U316" t="s">
        <v>1404</v>
      </c>
      <c r="V316" t="s">
        <v>1404</v>
      </c>
      <c r="W316">
        <v>0</v>
      </c>
      <c r="X316">
        <v>0</v>
      </c>
      <c r="Y316">
        <v>0</v>
      </c>
      <c r="Z316">
        <v>0</v>
      </c>
    </row>
    <row r="317" spans="1:26">
      <c r="A317" s="1">
        <f>HYPERLINK("https://cms.ls-nyc.org/matter/dynamic-profile/view/1865483","18-1865483")</f>
        <v>0</v>
      </c>
      <c r="B317" t="s">
        <v>27</v>
      </c>
      <c r="C317" t="s">
        <v>33</v>
      </c>
      <c r="D317" t="s">
        <v>332</v>
      </c>
      <c r="E317" t="s">
        <v>763</v>
      </c>
      <c r="F317" t="s">
        <v>1148</v>
      </c>
      <c r="G317" t="s">
        <v>1280</v>
      </c>
      <c r="H317" t="s">
        <v>1375</v>
      </c>
      <c r="I317" t="s">
        <v>1379</v>
      </c>
      <c r="J317" t="s">
        <v>1382</v>
      </c>
      <c r="K317" t="s">
        <v>1385</v>
      </c>
      <c r="M317" t="s">
        <v>1390</v>
      </c>
      <c r="P317" t="s">
        <v>1398</v>
      </c>
      <c r="Q317">
        <v>0</v>
      </c>
      <c r="R317">
        <v>0</v>
      </c>
      <c r="S317">
        <v>0</v>
      </c>
      <c r="T317">
        <v>500</v>
      </c>
      <c r="U317" t="s">
        <v>1425</v>
      </c>
      <c r="V317" t="s">
        <v>1404</v>
      </c>
      <c r="W317">
        <v>0</v>
      </c>
      <c r="X317">
        <v>500</v>
      </c>
      <c r="Y317">
        <v>0</v>
      </c>
      <c r="Z317">
        <v>0</v>
      </c>
    </row>
    <row r="318" spans="1:26">
      <c r="A318" s="1">
        <f>HYPERLINK("https://cms.ls-nyc.org/matter/dynamic-profile/view/1865634","18-1865634")</f>
        <v>0</v>
      </c>
      <c r="B318" t="s">
        <v>26</v>
      </c>
      <c r="C318" t="s">
        <v>54</v>
      </c>
      <c r="D318" t="s">
        <v>333</v>
      </c>
      <c r="E318" t="s">
        <v>584</v>
      </c>
      <c r="F318" t="s">
        <v>1149</v>
      </c>
      <c r="G318" t="s">
        <v>1296</v>
      </c>
      <c r="H318" t="s">
        <v>1375</v>
      </c>
      <c r="I318" t="s">
        <v>1379</v>
      </c>
      <c r="J318" t="s">
        <v>1383</v>
      </c>
      <c r="K318" t="s">
        <v>1385</v>
      </c>
      <c r="M318" t="s">
        <v>1389</v>
      </c>
      <c r="P318" t="s">
        <v>1400</v>
      </c>
      <c r="Q318">
        <v>0</v>
      </c>
      <c r="R318">
        <v>0</v>
      </c>
      <c r="S318">
        <v>0</v>
      </c>
      <c r="T318">
        <v>0</v>
      </c>
      <c r="U318" t="s">
        <v>1404</v>
      </c>
      <c r="V318" t="s">
        <v>1404</v>
      </c>
      <c r="W318">
        <v>0</v>
      </c>
      <c r="X318">
        <v>0</v>
      </c>
      <c r="Y318">
        <v>0</v>
      </c>
      <c r="Z318">
        <v>0</v>
      </c>
    </row>
    <row r="319" spans="1:26">
      <c r="A319" s="1">
        <f>HYPERLINK("https://cms.ls-nyc.org/matter/dynamic-profile/view/1865760","18-1865760")</f>
        <v>0</v>
      </c>
      <c r="B319" t="s">
        <v>26</v>
      </c>
      <c r="C319" t="s">
        <v>54</v>
      </c>
      <c r="D319" t="s">
        <v>258</v>
      </c>
      <c r="E319" t="s">
        <v>627</v>
      </c>
      <c r="F319" t="s">
        <v>1150</v>
      </c>
      <c r="G319" t="s">
        <v>1330</v>
      </c>
      <c r="H319" t="s">
        <v>1375</v>
      </c>
      <c r="I319" t="s">
        <v>1379</v>
      </c>
      <c r="J319" t="s">
        <v>1382</v>
      </c>
      <c r="K319" t="s">
        <v>1385</v>
      </c>
      <c r="M319" t="s">
        <v>1391</v>
      </c>
      <c r="P319" t="s">
        <v>1400</v>
      </c>
      <c r="Q319">
        <v>0</v>
      </c>
      <c r="R319">
        <v>0</v>
      </c>
      <c r="S319">
        <v>0</v>
      </c>
      <c r="T319">
        <v>0</v>
      </c>
      <c r="U319" t="s">
        <v>1404</v>
      </c>
      <c r="V319" t="s">
        <v>1404</v>
      </c>
      <c r="W319">
        <v>0</v>
      </c>
      <c r="X319">
        <v>0</v>
      </c>
      <c r="Y319">
        <v>0</v>
      </c>
      <c r="Z319">
        <v>0</v>
      </c>
    </row>
    <row r="320" spans="1:26">
      <c r="A320" s="1">
        <f>HYPERLINK("https://cms.ls-nyc.org/matter/dynamic-profile/view/1865877","18-1865877")</f>
        <v>0</v>
      </c>
      <c r="B320" t="s">
        <v>28</v>
      </c>
      <c r="C320" t="s">
        <v>36</v>
      </c>
      <c r="D320" t="s">
        <v>334</v>
      </c>
      <c r="E320" t="s">
        <v>764</v>
      </c>
      <c r="F320" t="s">
        <v>1151</v>
      </c>
      <c r="G320" t="s">
        <v>1296</v>
      </c>
      <c r="H320" t="s">
        <v>1378</v>
      </c>
      <c r="I320" t="s">
        <v>1380</v>
      </c>
      <c r="J320" t="s">
        <v>1382</v>
      </c>
      <c r="K320" t="s">
        <v>1385</v>
      </c>
      <c r="M320" t="s">
        <v>1391</v>
      </c>
      <c r="P320" t="s">
        <v>1400</v>
      </c>
      <c r="Q320">
        <v>0</v>
      </c>
      <c r="R320">
        <v>0</v>
      </c>
      <c r="S320">
        <v>0</v>
      </c>
      <c r="T320">
        <v>0</v>
      </c>
      <c r="U320" t="s">
        <v>1404</v>
      </c>
      <c r="V320" t="s">
        <v>1404</v>
      </c>
      <c r="W320">
        <v>0</v>
      </c>
      <c r="X320">
        <v>0</v>
      </c>
      <c r="Y320">
        <v>0</v>
      </c>
      <c r="Z320">
        <v>0</v>
      </c>
    </row>
    <row r="321" spans="1:26">
      <c r="A321" s="1">
        <f>HYPERLINK("https://cms.ls-nyc.org/matter/dynamic-profile/view/1865938","18-1865938")</f>
        <v>0</v>
      </c>
      <c r="B321" t="s">
        <v>29</v>
      </c>
      <c r="C321" t="s">
        <v>47</v>
      </c>
      <c r="D321" t="s">
        <v>335</v>
      </c>
      <c r="E321" t="s">
        <v>765</v>
      </c>
      <c r="F321" t="s">
        <v>1152</v>
      </c>
      <c r="G321" t="s">
        <v>1252</v>
      </c>
      <c r="H321" t="s">
        <v>1378</v>
      </c>
      <c r="I321" t="s">
        <v>1379</v>
      </c>
      <c r="J321" t="s">
        <v>1382</v>
      </c>
      <c r="K321" t="s">
        <v>1385</v>
      </c>
      <c r="M321" t="s">
        <v>1389</v>
      </c>
      <c r="P321" t="s">
        <v>1400</v>
      </c>
      <c r="Q321">
        <v>0</v>
      </c>
      <c r="R321">
        <v>0</v>
      </c>
      <c r="S321">
        <v>0</v>
      </c>
      <c r="T321">
        <v>0</v>
      </c>
      <c r="U321" t="s">
        <v>1404</v>
      </c>
      <c r="V321" t="s">
        <v>1404</v>
      </c>
      <c r="W321">
        <v>0</v>
      </c>
      <c r="X321">
        <v>0</v>
      </c>
      <c r="Y321">
        <v>0</v>
      </c>
      <c r="Z321">
        <v>0</v>
      </c>
    </row>
    <row r="322" spans="1:26">
      <c r="A322" s="1">
        <f>HYPERLINK("https://cms.ls-nyc.org/matter/dynamic-profile/view/1865972","18-1865972")</f>
        <v>0</v>
      </c>
      <c r="B322" t="s">
        <v>26</v>
      </c>
      <c r="C322" t="s">
        <v>54</v>
      </c>
      <c r="D322" t="s">
        <v>336</v>
      </c>
      <c r="E322" t="s">
        <v>766</v>
      </c>
      <c r="F322" t="s">
        <v>1153</v>
      </c>
      <c r="G322" t="s">
        <v>1330</v>
      </c>
      <c r="H322" t="s">
        <v>1375</v>
      </c>
      <c r="I322" t="s">
        <v>1379</v>
      </c>
      <c r="J322" t="s">
        <v>1382</v>
      </c>
      <c r="K322" t="s">
        <v>1385</v>
      </c>
      <c r="M322" t="s">
        <v>1391</v>
      </c>
      <c r="P322" t="s">
        <v>1400</v>
      </c>
      <c r="Q322">
        <v>0</v>
      </c>
      <c r="R322">
        <v>0</v>
      </c>
      <c r="S322">
        <v>0</v>
      </c>
      <c r="T322">
        <v>0</v>
      </c>
      <c r="U322" t="s">
        <v>1404</v>
      </c>
      <c r="V322" t="s">
        <v>1404</v>
      </c>
      <c r="W322">
        <v>0</v>
      </c>
      <c r="X322">
        <v>0</v>
      </c>
      <c r="Y322">
        <v>0</v>
      </c>
      <c r="Z322">
        <v>0</v>
      </c>
    </row>
    <row r="323" spans="1:26">
      <c r="A323" s="1">
        <f>HYPERLINK("https://cms.ls-nyc.org/matter/dynamic-profile/view/1866087","18-1866087")</f>
        <v>0</v>
      </c>
      <c r="B323" t="s">
        <v>26</v>
      </c>
      <c r="C323" t="s">
        <v>54</v>
      </c>
      <c r="D323" t="s">
        <v>337</v>
      </c>
      <c r="E323" t="s">
        <v>767</v>
      </c>
      <c r="F323" t="s">
        <v>1152</v>
      </c>
      <c r="G323" t="s">
        <v>1330</v>
      </c>
      <c r="H323" t="s">
        <v>1375</v>
      </c>
      <c r="I323" t="s">
        <v>1379</v>
      </c>
      <c r="J323" t="s">
        <v>1383</v>
      </c>
      <c r="K323" t="s">
        <v>1385</v>
      </c>
      <c r="M323" t="s">
        <v>1391</v>
      </c>
      <c r="P323" t="s">
        <v>1400</v>
      </c>
      <c r="Q323">
        <v>0</v>
      </c>
      <c r="R323">
        <v>0</v>
      </c>
      <c r="S323">
        <v>0</v>
      </c>
      <c r="T323">
        <v>0</v>
      </c>
      <c r="U323" t="s">
        <v>1404</v>
      </c>
      <c r="V323" t="s">
        <v>1404</v>
      </c>
      <c r="W323">
        <v>0</v>
      </c>
      <c r="X323">
        <v>0</v>
      </c>
      <c r="Y323">
        <v>0</v>
      </c>
      <c r="Z323">
        <v>0</v>
      </c>
    </row>
    <row r="324" spans="1:26">
      <c r="A324" s="1">
        <f>HYPERLINK("https://cms.ls-nyc.org/matter/dynamic-profile/view/1866306","18-1866306")</f>
        <v>0</v>
      </c>
      <c r="B324" t="s">
        <v>27</v>
      </c>
      <c r="C324" t="s">
        <v>50</v>
      </c>
      <c r="D324" t="s">
        <v>282</v>
      </c>
      <c r="E324" t="s">
        <v>768</v>
      </c>
      <c r="F324" t="s">
        <v>1154</v>
      </c>
      <c r="G324" t="s">
        <v>1292</v>
      </c>
      <c r="H324" t="s">
        <v>1375</v>
      </c>
      <c r="I324" t="s">
        <v>1379</v>
      </c>
      <c r="J324" t="s">
        <v>1382</v>
      </c>
      <c r="K324" t="s">
        <v>1385</v>
      </c>
      <c r="M324" t="s">
        <v>1390</v>
      </c>
      <c r="P324" t="s">
        <v>1398</v>
      </c>
      <c r="Q324">
        <v>0</v>
      </c>
      <c r="R324">
        <v>0</v>
      </c>
      <c r="S324">
        <v>22500</v>
      </c>
      <c r="T324">
        <v>750</v>
      </c>
      <c r="U324" t="s">
        <v>1408</v>
      </c>
      <c r="V324" t="s">
        <v>1612</v>
      </c>
      <c r="W324">
        <v>22500</v>
      </c>
      <c r="X324">
        <v>750</v>
      </c>
      <c r="Y324">
        <v>0</v>
      </c>
      <c r="Z324">
        <v>0</v>
      </c>
    </row>
    <row r="325" spans="1:26">
      <c r="A325" s="1">
        <f>HYPERLINK("https://cms.ls-nyc.org/matter/dynamic-profile/view/1866551","18-1866551")</f>
        <v>0</v>
      </c>
      <c r="B325" t="s">
        <v>26</v>
      </c>
      <c r="C325" t="s">
        <v>54</v>
      </c>
      <c r="D325" t="s">
        <v>179</v>
      </c>
      <c r="E325" t="s">
        <v>769</v>
      </c>
      <c r="F325" t="s">
        <v>1155</v>
      </c>
      <c r="G325" t="s">
        <v>1330</v>
      </c>
      <c r="H325" t="s">
        <v>1375</v>
      </c>
      <c r="I325" t="s">
        <v>1379</v>
      </c>
      <c r="J325" t="s">
        <v>1383</v>
      </c>
      <c r="K325" t="s">
        <v>1385</v>
      </c>
      <c r="M325" t="s">
        <v>1391</v>
      </c>
      <c r="P325" t="s">
        <v>1400</v>
      </c>
      <c r="Q325">
        <v>0</v>
      </c>
      <c r="R325">
        <v>0</v>
      </c>
      <c r="S325">
        <v>0</v>
      </c>
      <c r="T325">
        <v>0</v>
      </c>
      <c r="U325" t="s">
        <v>1404</v>
      </c>
      <c r="V325" t="s">
        <v>1404</v>
      </c>
      <c r="W325">
        <v>0</v>
      </c>
      <c r="X325">
        <v>0</v>
      </c>
      <c r="Y325">
        <v>0</v>
      </c>
      <c r="Z325">
        <v>0</v>
      </c>
    </row>
    <row r="326" spans="1:26">
      <c r="A326" s="1">
        <f>HYPERLINK("https://cms.ls-nyc.org/matter/dynamic-profile/view/1866554","18-1866554")</f>
        <v>0</v>
      </c>
      <c r="B326" t="s">
        <v>26</v>
      </c>
      <c r="C326" t="s">
        <v>31</v>
      </c>
      <c r="D326" t="s">
        <v>338</v>
      </c>
      <c r="E326" t="s">
        <v>751</v>
      </c>
      <c r="F326" t="s">
        <v>1155</v>
      </c>
      <c r="G326" t="s">
        <v>1213</v>
      </c>
      <c r="H326" t="s">
        <v>1375</v>
      </c>
      <c r="I326" t="s">
        <v>1379</v>
      </c>
      <c r="J326" t="s">
        <v>1382</v>
      </c>
      <c r="K326" t="s">
        <v>1385</v>
      </c>
      <c r="M326" t="s">
        <v>1390</v>
      </c>
      <c r="P326" t="s">
        <v>1398</v>
      </c>
      <c r="Q326">
        <v>0</v>
      </c>
      <c r="R326">
        <v>0</v>
      </c>
      <c r="S326">
        <v>1093</v>
      </c>
      <c r="T326">
        <v>569</v>
      </c>
      <c r="U326" t="s">
        <v>1426</v>
      </c>
      <c r="V326" t="s">
        <v>1613</v>
      </c>
      <c r="W326">
        <v>1093</v>
      </c>
      <c r="X326">
        <v>489</v>
      </c>
      <c r="Y326">
        <v>368</v>
      </c>
      <c r="Z326">
        <v>0</v>
      </c>
    </row>
    <row r="327" spans="1:26">
      <c r="A327" s="1">
        <f>HYPERLINK("https://cms.ls-nyc.org/matter/dynamic-profile/view/1866771","18-1866771")</f>
        <v>0</v>
      </c>
      <c r="B327" t="s">
        <v>26</v>
      </c>
      <c r="C327" t="s">
        <v>56</v>
      </c>
      <c r="D327" t="s">
        <v>339</v>
      </c>
      <c r="E327" t="s">
        <v>770</v>
      </c>
      <c r="F327" t="s">
        <v>1156</v>
      </c>
      <c r="G327" t="s">
        <v>1204</v>
      </c>
      <c r="H327" t="s">
        <v>1378</v>
      </c>
      <c r="I327" t="s">
        <v>1379</v>
      </c>
      <c r="J327" t="s">
        <v>1383</v>
      </c>
      <c r="K327" t="s">
        <v>1385</v>
      </c>
      <c r="M327" t="s">
        <v>1391</v>
      </c>
      <c r="P327" t="s">
        <v>1400</v>
      </c>
      <c r="Q327">
        <v>0</v>
      </c>
      <c r="R327">
        <v>0</v>
      </c>
      <c r="S327">
        <v>0</v>
      </c>
      <c r="T327">
        <v>0</v>
      </c>
      <c r="U327" t="s">
        <v>1404</v>
      </c>
      <c r="V327" t="s">
        <v>1404</v>
      </c>
      <c r="W327">
        <v>0</v>
      </c>
      <c r="X327">
        <v>0</v>
      </c>
      <c r="Y327">
        <v>0</v>
      </c>
      <c r="Z327">
        <v>0</v>
      </c>
    </row>
    <row r="328" spans="1:26">
      <c r="A328" s="1">
        <f>HYPERLINK("https://cms.ls-nyc.org/matter/dynamic-profile/view/1867013","18-1867013")</f>
        <v>0</v>
      </c>
      <c r="B328" t="s">
        <v>26</v>
      </c>
      <c r="C328" t="s">
        <v>30</v>
      </c>
      <c r="D328" t="s">
        <v>340</v>
      </c>
      <c r="E328" t="s">
        <v>680</v>
      </c>
      <c r="F328" t="s">
        <v>1157</v>
      </c>
      <c r="G328" t="s">
        <v>1284</v>
      </c>
      <c r="H328" t="s">
        <v>1375</v>
      </c>
      <c r="I328" t="s">
        <v>1379</v>
      </c>
      <c r="J328" t="s">
        <v>1382</v>
      </c>
      <c r="K328" t="s">
        <v>1385</v>
      </c>
      <c r="M328" t="s">
        <v>1390</v>
      </c>
      <c r="P328" t="s">
        <v>1398</v>
      </c>
      <c r="Q328">
        <v>0</v>
      </c>
      <c r="R328">
        <v>0</v>
      </c>
      <c r="S328">
        <v>25861</v>
      </c>
      <c r="T328">
        <v>801</v>
      </c>
      <c r="U328" t="s">
        <v>1469</v>
      </c>
      <c r="V328" t="s">
        <v>1614</v>
      </c>
      <c r="W328">
        <v>22441</v>
      </c>
      <c r="X328">
        <v>89</v>
      </c>
      <c r="Y328">
        <v>712</v>
      </c>
      <c r="Z328">
        <v>3420</v>
      </c>
    </row>
    <row r="329" spans="1:26">
      <c r="A329" s="1">
        <f>HYPERLINK("https://cms.ls-nyc.org/matter/dynamic-profile/view/1867180","18-1867180")</f>
        <v>0</v>
      </c>
      <c r="B329" t="s">
        <v>26</v>
      </c>
      <c r="C329" t="s">
        <v>53</v>
      </c>
      <c r="D329" t="s">
        <v>315</v>
      </c>
      <c r="E329" t="s">
        <v>771</v>
      </c>
      <c r="F329" t="s">
        <v>1158</v>
      </c>
      <c r="G329" t="s">
        <v>1292</v>
      </c>
      <c r="H329" t="s">
        <v>1375</v>
      </c>
      <c r="I329" t="s">
        <v>1379</v>
      </c>
      <c r="J329" t="s">
        <v>1383</v>
      </c>
      <c r="K329" t="s">
        <v>1385</v>
      </c>
      <c r="M329" t="s">
        <v>1390</v>
      </c>
      <c r="P329" t="s">
        <v>1397</v>
      </c>
      <c r="Q329">
        <v>0</v>
      </c>
      <c r="R329">
        <v>0</v>
      </c>
      <c r="S329">
        <v>0</v>
      </c>
      <c r="T329">
        <v>0</v>
      </c>
      <c r="U329" t="s">
        <v>1404</v>
      </c>
      <c r="V329" t="s">
        <v>1404</v>
      </c>
      <c r="W329">
        <v>0</v>
      </c>
      <c r="X329">
        <v>0</v>
      </c>
      <c r="Y329">
        <v>0</v>
      </c>
      <c r="Z329">
        <v>0</v>
      </c>
    </row>
    <row r="330" spans="1:26">
      <c r="A330" s="1">
        <f>HYPERLINK("https://cms.ls-nyc.org/matter/dynamic-profile/view/1867186","18-1867186")</f>
        <v>0</v>
      </c>
      <c r="B330" t="s">
        <v>28</v>
      </c>
      <c r="C330" t="s">
        <v>36</v>
      </c>
      <c r="D330" t="s">
        <v>341</v>
      </c>
      <c r="E330" t="s">
        <v>772</v>
      </c>
      <c r="F330" t="s">
        <v>1158</v>
      </c>
      <c r="G330" t="s">
        <v>1296</v>
      </c>
      <c r="H330" t="s">
        <v>1378</v>
      </c>
      <c r="I330" t="s">
        <v>1379</v>
      </c>
      <c r="J330" t="s">
        <v>1383</v>
      </c>
      <c r="K330" t="s">
        <v>1385</v>
      </c>
      <c r="M330" t="s">
        <v>1391</v>
      </c>
      <c r="P330" t="s">
        <v>1400</v>
      </c>
      <c r="Q330">
        <v>0</v>
      </c>
      <c r="R330">
        <v>0</v>
      </c>
      <c r="S330">
        <v>0</v>
      </c>
      <c r="T330">
        <v>0</v>
      </c>
      <c r="U330" t="s">
        <v>1404</v>
      </c>
      <c r="V330" t="s">
        <v>1404</v>
      </c>
      <c r="W330">
        <v>0</v>
      </c>
      <c r="X330">
        <v>0</v>
      </c>
      <c r="Y330">
        <v>0</v>
      </c>
      <c r="Z330">
        <v>0</v>
      </c>
    </row>
    <row r="331" spans="1:26">
      <c r="A331" s="1">
        <f>HYPERLINK("https://cms.ls-nyc.org/matter/dynamic-profile/view/1867224","18-1867224")</f>
        <v>0</v>
      </c>
      <c r="B331" t="s">
        <v>26</v>
      </c>
      <c r="C331" t="s">
        <v>46</v>
      </c>
      <c r="D331" t="s">
        <v>131</v>
      </c>
      <c r="E331" t="s">
        <v>117</v>
      </c>
      <c r="F331" t="s">
        <v>1159</v>
      </c>
      <c r="G331" t="s">
        <v>1292</v>
      </c>
      <c r="H331" t="s">
        <v>1375</v>
      </c>
      <c r="I331" t="s">
        <v>1379</v>
      </c>
      <c r="J331" t="s">
        <v>1383</v>
      </c>
      <c r="K331" t="s">
        <v>1385</v>
      </c>
      <c r="M331" t="s">
        <v>1390</v>
      </c>
      <c r="P331" t="s">
        <v>1398</v>
      </c>
      <c r="Q331">
        <v>0</v>
      </c>
      <c r="R331">
        <v>0</v>
      </c>
      <c r="S331">
        <v>0</v>
      </c>
      <c r="T331">
        <v>0</v>
      </c>
      <c r="U331" t="s">
        <v>1408</v>
      </c>
      <c r="V331" t="s">
        <v>1497</v>
      </c>
      <c r="W331">
        <v>18000</v>
      </c>
      <c r="X331">
        <v>750</v>
      </c>
      <c r="Y331">
        <v>0</v>
      </c>
      <c r="Z331">
        <v>0</v>
      </c>
    </row>
    <row r="332" spans="1:26">
      <c r="A332" s="1">
        <f>HYPERLINK("https://cms.ls-nyc.org/matter/dynamic-profile/view/1867226","18-1867226")</f>
        <v>0</v>
      </c>
      <c r="B332" t="s">
        <v>26</v>
      </c>
      <c r="C332" t="s">
        <v>54</v>
      </c>
      <c r="D332" t="s">
        <v>342</v>
      </c>
      <c r="E332" t="s">
        <v>773</v>
      </c>
      <c r="F332" t="s">
        <v>1159</v>
      </c>
      <c r="G332" t="s">
        <v>1330</v>
      </c>
      <c r="H332" t="s">
        <v>1375</v>
      </c>
      <c r="I332" t="s">
        <v>1379</v>
      </c>
      <c r="J332" t="s">
        <v>1382</v>
      </c>
      <c r="K332" t="s">
        <v>1385</v>
      </c>
      <c r="M332" t="s">
        <v>1391</v>
      </c>
      <c r="P332" t="s">
        <v>1400</v>
      </c>
      <c r="Q332">
        <v>0</v>
      </c>
      <c r="R332">
        <v>0</v>
      </c>
      <c r="S332">
        <v>0</v>
      </c>
      <c r="T332">
        <v>0</v>
      </c>
      <c r="U332" t="s">
        <v>1404</v>
      </c>
      <c r="V332" t="s">
        <v>1404</v>
      </c>
      <c r="W332">
        <v>0</v>
      </c>
      <c r="X332">
        <v>0</v>
      </c>
      <c r="Y332">
        <v>0</v>
      </c>
      <c r="Z332">
        <v>0</v>
      </c>
    </row>
    <row r="333" spans="1:26">
      <c r="A333" s="1">
        <f>HYPERLINK("https://cms.ls-nyc.org/matter/dynamic-profile/view/1867228","18-1867228")</f>
        <v>0</v>
      </c>
      <c r="B333" t="s">
        <v>29</v>
      </c>
      <c r="C333" t="s">
        <v>40</v>
      </c>
      <c r="D333" t="s">
        <v>343</v>
      </c>
      <c r="E333" t="s">
        <v>505</v>
      </c>
      <c r="F333" t="s">
        <v>1159</v>
      </c>
      <c r="G333" t="s">
        <v>1227</v>
      </c>
      <c r="H333" t="s">
        <v>1375</v>
      </c>
      <c r="I333" t="s">
        <v>1379</v>
      </c>
      <c r="J333" t="s">
        <v>1383</v>
      </c>
      <c r="K333" t="s">
        <v>1386</v>
      </c>
      <c r="L333" t="s">
        <v>1385</v>
      </c>
      <c r="M333" t="s">
        <v>1389</v>
      </c>
      <c r="P333" t="s">
        <v>1400</v>
      </c>
      <c r="Q333">
        <v>0</v>
      </c>
      <c r="R333">
        <v>0</v>
      </c>
      <c r="S333">
        <v>0</v>
      </c>
      <c r="T333">
        <v>0</v>
      </c>
      <c r="U333" t="s">
        <v>1404</v>
      </c>
      <c r="V333" t="s">
        <v>1404</v>
      </c>
      <c r="W333">
        <v>0</v>
      </c>
      <c r="X333">
        <v>0</v>
      </c>
      <c r="Y333">
        <v>0</v>
      </c>
      <c r="Z333">
        <v>0</v>
      </c>
    </row>
    <row r="334" spans="1:26">
      <c r="A334" s="1">
        <f>HYPERLINK("https://cms.ls-nyc.org/matter/dynamic-profile/view/1867247","18-1867247")</f>
        <v>0</v>
      </c>
      <c r="B334" t="s">
        <v>26</v>
      </c>
      <c r="C334" t="s">
        <v>46</v>
      </c>
      <c r="D334" t="s">
        <v>265</v>
      </c>
      <c r="E334" t="s">
        <v>774</v>
      </c>
      <c r="F334" t="s">
        <v>1159</v>
      </c>
      <c r="G334" t="s">
        <v>1326</v>
      </c>
      <c r="H334" t="s">
        <v>1375</v>
      </c>
      <c r="I334" t="s">
        <v>1379</v>
      </c>
      <c r="J334" t="s">
        <v>1382</v>
      </c>
      <c r="K334" t="s">
        <v>1385</v>
      </c>
      <c r="M334" t="s">
        <v>1390</v>
      </c>
      <c r="P334" t="s">
        <v>1397</v>
      </c>
      <c r="Q334">
        <v>0</v>
      </c>
      <c r="R334">
        <v>0</v>
      </c>
      <c r="S334">
        <v>0</v>
      </c>
      <c r="T334">
        <v>0</v>
      </c>
      <c r="U334" t="s">
        <v>1404</v>
      </c>
      <c r="V334" t="s">
        <v>1404</v>
      </c>
      <c r="W334">
        <v>0</v>
      </c>
      <c r="X334">
        <v>0</v>
      </c>
      <c r="Y334">
        <v>0</v>
      </c>
      <c r="Z334">
        <v>0</v>
      </c>
    </row>
    <row r="335" spans="1:26">
      <c r="A335" s="1">
        <f>HYPERLINK("https://cms.ls-nyc.org/matter/dynamic-profile/view/1867551","18-1867551")</f>
        <v>0</v>
      </c>
      <c r="B335" t="s">
        <v>26</v>
      </c>
      <c r="C335" t="s">
        <v>56</v>
      </c>
      <c r="D335" t="s">
        <v>344</v>
      </c>
      <c r="E335" t="s">
        <v>775</v>
      </c>
      <c r="F335" t="s">
        <v>1115</v>
      </c>
      <c r="G335" t="s">
        <v>1218</v>
      </c>
      <c r="H335" t="s">
        <v>1375</v>
      </c>
      <c r="I335" t="s">
        <v>1379</v>
      </c>
      <c r="J335" t="s">
        <v>1382</v>
      </c>
      <c r="K335" t="s">
        <v>1385</v>
      </c>
      <c r="M335" t="s">
        <v>1390</v>
      </c>
      <c r="P335" t="s">
        <v>1398</v>
      </c>
      <c r="Q335">
        <v>0</v>
      </c>
      <c r="R335">
        <v>0</v>
      </c>
      <c r="S335">
        <v>20452</v>
      </c>
      <c r="T335">
        <v>758</v>
      </c>
      <c r="U335" t="s">
        <v>1470</v>
      </c>
      <c r="V335" t="s">
        <v>1615</v>
      </c>
      <c r="W335">
        <v>20452</v>
      </c>
      <c r="X335">
        <v>758</v>
      </c>
      <c r="Y335">
        <v>0</v>
      </c>
      <c r="Z335">
        <v>0</v>
      </c>
    </row>
    <row r="336" spans="1:26">
      <c r="A336" s="1">
        <f>HYPERLINK("https://cms.ls-nyc.org/matter/dynamic-profile/view/1867591","18-1867591")</f>
        <v>0</v>
      </c>
      <c r="B336" t="s">
        <v>26</v>
      </c>
      <c r="C336" t="s">
        <v>56</v>
      </c>
      <c r="D336" t="s">
        <v>311</v>
      </c>
      <c r="E336" t="s">
        <v>776</v>
      </c>
      <c r="F336" t="s">
        <v>1115</v>
      </c>
      <c r="G336" t="s">
        <v>1253</v>
      </c>
      <c r="H336" t="s">
        <v>1377</v>
      </c>
      <c r="I336" t="s">
        <v>1379</v>
      </c>
      <c r="J336" t="s">
        <v>1382</v>
      </c>
      <c r="K336" t="s">
        <v>1385</v>
      </c>
      <c r="M336" t="s">
        <v>1389</v>
      </c>
      <c r="P336" t="s">
        <v>1400</v>
      </c>
      <c r="Q336">
        <v>0</v>
      </c>
      <c r="R336">
        <v>0</v>
      </c>
      <c r="S336">
        <v>0</v>
      </c>
      <c r="T336">
        <v>0</v>
      </c>
      <c r="U336" t="s">
        <v>1404</v>
      </c>
      <c r="V336" t="s">
        <v>1404</v>
      </c>
      <c r="W336">
        <v>0</v>
      </c>
      <c r="X336">
        <v>0</v>
      </c>
      <c r="Y336">
        <v>0</v>
      </c>
      <c r="Z336">
        <v>0</v>
      </c>
    </row>
    <row r="337" spans="1:26">
      <c r="A337" s="1">
        <f>HYPERLINK("https://cms.ls-nyc.org/matter/dynamic-profile/view/1867636","18-1867636")</f>
        <v>0</v>
      </c>
      <c r="B337" t="s">
        <v>26</v>
      </c>
      <c r="C337" t="s">
        <v>31</v>
      </c>
      <c r="D337" t="s">
        <v>345</v>
      </c>
      <c r="E337" t="s">
        <v>777</v>
      </c>
      <c r="F337" t="s">
        <v>1160</v>
      </c>
      <c r="G337" t="s">
        <v>1345</v>
      </c>
      <c r="H337" t="s">
        <v>1375</v>
      </c>
      <c r="I337" t="s">
        <v>1379</v>
      </c>
      <c r="J337" t="s">
        <v>1382</v>
      </c>
      <c r="K337" t="s">
        <v>1385</v>
      </c>
      <c r="M337" t="s">
        <v>1390</v>
      </c>
      <c r="P337" t="s">
        <v>1398</v>
      </c>
      <c r="Q337">
        <v>0</v>
      </c>
      <c r="R337">
        <v>0</v>
      </c>
      <c r="S337">
        <v>30241.69</v>
      </c>
      <c r="T337">
        <v>794</v>
      </c>
      <c r="U337" t="s">
        <v>1407</v>
      </c>
      <c r="V337" t="s">
        <v>1616</v>
      </c>
      <c r="W337">
        <v>30689.5</v>
      </c>
      <c r="X337">
        <v>794</v>
      </c>
      <c r="Y337">
        <v>0</v>
      </c>
      <c r="Z337">
        <v>447.81</v>
      </c>
    </row>
    <row r="338" spans="1:26">
      <c r="A338" s="1">
        <f>HYPERLINK("https://cms.ls-nyc.org/matter/dynamic-profile/view/1867723","18-1867723")</f>
        <v>0</v>
      </c>
      <c r="B338" t="s">
        <v>29</v>
      </c>
      <c r="C338" t="s">
        <v>42</v>
      </c>
      <c r="D338" t="s">
        <v>346</v>
      </c>
      <c r="E338" t="s">
        <v>778</v>
      </c>
      <c r="F338" t="s">
        <v>1161</v>
      </c>
      <c r="G338" t="s">
        <v>1232</v>
      </c>
      <c r="H338" t="s">
        <v>1375</v>
      </c>
      <c r="I338" t="s">
        <v>1380</v>
      </c>
      <c r="J338" t="s">
        <v>1382</v>
      </c>
      <c r="K338" t="s">
        <v>1385</v>
      </c>
      <c r="M338" t="s">
        <v>1389</v>
      </c>
      <c r="P338" t="s">
        <v>1400</v>
      </c>
      <c r="Q338">
        <v>0</v>
      </c>
      <c r="R338">
        <v>0</v>
      </c>
      <c r="S338">
        <v>0</v>
      </c>
      <c r="T338">
        <v>0</v>
      </c>
      <c r="U338" t="s">
        <v>1404</v>
      </c>
      <c r="V338" t="s">
        <v>1404</v>
      </c>
      <c r="W338">
        <v>0</v>
      </c>
      <c r="X338">
        <v>0</v>
      </c>
      <c r="Y338">
        <v>0</v>
      </c>
      <c r="Z338">
        <v>0</v>
      </c>
    </row>
    <row r="339" spans="1:26">
      <c r="A339" s="1">
        <f>HYPERLINK("https://cms.ls-nyc.org/matter/dynamic-profile/view/1867756","18-1867756")</f>
        <v>0</v>
      </c>
      <c r="B339" t="s">
        <v>29</v>
      </c>
      <c r="C339" t="s">
        <v>42</v>
      </c>
      <c r="D339" t="s">
        <v>347</v>
      </c>
      <c r="E339" t="s">
        <v>409</v>
      </c>
      <c r="F339" t="s">
        <v>1161</v>
      </c>
      <c r="G339" t="s">
        <v>1228</v>
      </c>
      <c r="H339" t="s">
        <v>1375</v>
      </c>
      <c r="I339" t="s">
        <v>1379</v>
      </c>
      <c r="J339" t="s">
        <v>1383</v>
      </c>
      <c r="K339" t="s">
        <v>1385</v>
      </c>
      <c r="M339" t="s">
        <v>1389</v>
      </c>
      <c r="P339" t="s">
        <v>1400</v>
      </c>
      <c r="Q339">
        <v>0</v>
      </c>
      <c r="R339">
        <v>0</v>
      </c>
      <c r="S339">
        <v>0</v>
      </c>
      <c r="T339">
        <v>0</v>
      </c>
      <c r="U339" t="s">
        <v>1404</v>
      </c>
      <c r="V339" t="s">
        <v>1404</v>
      </c>
      <c r="W339">
        <v>0</v>
      </c>
      <c r="X339">
        <v>0</v>
      </c>
      <c r="Y339">
        <v>0</v>
      </c>
      <c r="Z339">
        <v>0</v>
      </c>
    </row>
    <row r="340" spans="1:26">
      <c r="A340" s="1">
        <f>HYPERLINK("https://cms.ls-nyc.org/matter/dynamic-profile/view/1867811","18-1867811")</f>
        <v>0</v>
      </c>
      <c r="B340" t="s">
        <v>26</v>
      </c>
      <c r="C340" t="s">
        <v>30</v>
      </c>
      <c r="D340" t="s">
        <v>148</v>
      </c>
      <c r="E340" t="s">
        <v>779</v>
      </c>
      <c r="F340" t="s">
        <v>1162</v>
      </c>
      <c r="G340" t="s">
        <v>1298</v>
      </c>
      <c r="H340" t="s">
        <v>1378</v>
      </c>
      <c r="I340" t="s">
        <v>1379</v>
      </c>
      <c r="J340" t="s">
        <v>1384</v>
      </c>
      <c r="K340" t="s">
        <v>1385</v>
      </c>
      <c r="M340" t="s">
        <v>1389</v>
      </c>
      <c r="P340" t="s">
        <v>1400</v>
      </c>
      <c r="Q340">
        <v>0</v>
      </c>
      <c r="R340">
        <v>0</v>
      </c>
      <c r="S340">
        <v>0</v>
      </c>
      <c r="T340">
        <v>0</v>
      </c>
      <c r="U340" t="s">
        <v>1404</v>
      </c>
      <c r="V340" t="s">
        <v>1404</v>
      </c>
      <c r="W340">
        <v>0</v>
      </c>
      <c r="X340">
        <v>0</v>
      </c>
      <c r="Y340">
        <v>0</v>
      </c>
      <c r="Z340">
        <v>0</v>
      </c>
    </row>
    <row r="341" spans="1:26">
      <c r="A341" s="1">
        <f>HYPERLINK("https://cms.ls-nyc.org/matter/dynamic-profile/view/1867857","18-1867857")</f>
        <v>0</v>
      </c>
      <c r="B341" t="s">
        <v>26</v>
      </c>
      <c r="C341" t="s">
        <v>54</v>
      </c>
      <c r="D341" t="s">
        <v>348</v>
      </c>
      <c r="E341" t="s">
        <v>409</v>
      </c>
      <c r="F341" t="s">
        <v>1163</v>
      </c>
      <c r="G341" t="s">
        <v>1330</v>
      </c>
      <c r="H341" t="s">
        <v>1375</v>
      </c>
      <c r="I341" t="s">
        <v>1379</v>
      </c>
      <c r="J341" t="s">
        <v>1383</v>
      </c>
      <c r="K341" t="s">
        <v>1385</v>
      </c>
      <c r="M341" t="s">
        <v>1389</v>
      </c>
      <c r="P341" t="s">
        <v>1400</v>
      </c>
      <c r="Q341">
        <v>0</v>
      </c>
      <c r="R341">
        <v>0</v>
      </c>
      <c r="S341">
        <v>0</v>
      </c>
      <c r="T341">
        <v>0</v>
      </c>
      <c r="U341" t="s">
        <v>1404</v>
      </c>
      <c r="V341" t="s">
        <v>1404</v>
      </c>
      <c r="W341">
        <v>0</v>
      </c>
      <c r="X341">
        <v>0</v>
      </c>
      <c r="Y341">
        <v>0</v>
      </c>
      <c r="Z341">
        <v>0</v>
      </c>
    </row>
    <row r="342" spans="1:26">
      <c r="A342" s="1">
        <f>HYPERLINK("https://cms.ls-nyc.org/matter/dynamic-profile/view/1867873","18-1867873")</f>
        <v>0</v>
      </c>
      <c r="B342" t="s">
        <v>26</v>
      </c>
      <c r="C342" t="s">
        <v>56</v>
      </c>
      <c r="D342" t="s">
        <v>349</v>
      </c>
      <c r="E342" t="s">
        <v>554</v>
      </c>
      <c r="F342" t="s">
        <v>1163</v>
      </c>
      <c r="G342" t="s">
        <v>1218</v>
      </c>
      <c r="H342" t="s">
        <v>1375</v>
      </c>
      <c r="I342" t="s">
        <v>1379</v>
      </c>
      <c r="J342" t="s">
        <v>1382</v>
      </c>
      <c r="K342" t="s">
        <v>1385</v>
      </c>
      <c r="M342" t="s">
        <v>1390</v>
      </c>
      <c r="P342" t="s">
        <v>1398</v>
      </c>
      <c r="Q342">
        <v>0</v>
      </c>
      <c r="R342">
        <v>0</v>
      </c>
      <c r="S342">
        <v>35428</v>
      </c>
      <c r="T342">
        <v>886.4</v>
      </c>
      <c r="U342" t="s">
        <v>1471</v>
      </c>
      <c r="V342" t="s">
        <v>1617</v>
      </c>
      <c r="W342">
        <v>35428</v>
      </c>
      <c r="X342">
        <v>0</v>
      </c>
      <c r="Y342">
        <v>886.4</v>
      </c>
      <c r="Z342">
        <v>0</v>
      </c>
    </row>
    <row r="343" spans="1:26">
      <c r="A343" s="1">
        <f>HYPERLINK("https://cms.ls-nyc.org/matter/dynamic-profile/view/1867927","18-1867927")</f>
        <v>0</v>
      </c>
      <c r="B343" t="s">
        <v>29</v>
      </c>
      <c r="C343" t="s">
        <v>42</v>
      </c>
      <c r="D343" t="s">
        <v>350</v>
      </c>
      <c r="E343" t="s">
        <v>780</v>
      </c>
      <c r="F343" t="s">
        <v>1163</v>
      </c>
      <c r="G343" t="s">
        <v>1292</v>
      </c>
      <c r="H343" t="s">
        <v>1375</v>
      </c>
      <c r="I343" t="s">
        <v>1379</v>
      </c>
      <c r="J343" t="s">
        <v>1383</v>
      </c>
      <c r="K343" t="s">
        <v>1385</v>
      </c>
      <c r="M343" t="s">
        <v>1389</v>
      </c>
      <c r="P343" t="s">
        <v>1399</v>
      </c>
      <c r="Q343">
        <v>0</v>
      </c>
      <c r="R343">
        <v>0</v>
      </c>
      <c r="S343">
        <v>0</v>
      </c>
      <c r="T343">
        <v>0</v>
      </c>
      <c r="U343" t="s">
        <v>1404</v>
      </c>
      <c r="V343" t="s">
        <v>1404</v>
      </c>
      <c r="W343">
        <v>0</v>
      </c>
      <c r="X343">
        <v>0</v>
      </c>
      <c r="Y343">
        <v>0</v>
      </c>
      <c r="Z343">
        <v>0</v>
      </c>
    </row>
    <row r="344" spans="1:26">
      <c r="A344" s="1">
        <f>HYPERLINK("https://cms.ls-nyc.org/matter/dynamic-profile/view/1868036","18-1868036")</f>
        <v>0</v>
      </c>
      <c r="B344" t="s">
        <v>26</v>
      </c>
      <c r="C344" t="s">
        <v>54</v>
      </c>
      <c r="D344" t="s">
        <v>351</v>
      </c>
      <c r="E344" t="s">
        <v>781</v>
      </c>
      <c r="F344" t="s">
        <v>1164</v>
      </c>
      <c r="G344" t="s">
        <v>1218</v>
      </c>
      <c r="H344" t="s">
        <v>1375</v>
      </c>
      <c r="I344" t="s">
        <v>1379</v>
      </c>
      <c r="J344" t="s">
        <v>1383</v>
      </c>
      <c r="K344" t="s">
        <v>1385</v>
      </c>
      <c r="M344" t="s">
        <v>1391</v>
      </c>
      <c r="P344" t="s">
        <v>1400</v>
      </c>
      <c r="Q344">
        <v>0</v>
      </c>
      <c r="R344">
        <v>0</v>
      </c>
      <c r="S344">
        <v>0</v>
      </c>
      <c r="T344">
        <v>0</v>
      </c>
      <c r="U344" t="s">
        <v>1404</v>
      </c>
      <c r="V344" t="s">
        <v>1404</v>
      </c>
      <c r="W344">
        <v>0</v>
      </c>
      <c r="X344">
        <v>0</v>
      </c>
      <c r="Y344">
        <v>0</v>
      </c>
      <c r="Z344">
        <v>0</v>
      </c>
    </row>
    <row r="345" spans="1:26">
      <c r="A345" s="1">
        <f>HYPERLINK("https://cms.ls-nyc.org/matter/dynamic-profile/view/1868108","18-1868108")</f>
        <v>0</v>
      </c>
      <c r="B345" t="s">
        <v>26</v>
      </c>
      <c r="C345" t="s">
        <v>46</v>
      </c>
      <c r="D345" t="s">
        <v>352</v>
      </c>
      <c r="E345" t="s">
        <v>782</v>
      </c>
      <c r="F345" t="s">
        <v>1164</v>
      </c>
      <c r="G345" t="s">
        <v>1346</v>
      </c>
      <c r="H345" t="s">
        <v>1375</v>
      </c>
      <c r="I345" t="s">
        <v>1379</v>
      </c>
      <c r="J345" t="s">
        <v>1383</v>
      </c>
      <c r="K345" t="s">
        <v>1385</v>
      </c>
      <c r="M345" t="s">
        <v>1390</v>
      </c>
      <c r="P345" t="s">
        <v>1397</v>
      </c>
      <c r="Q345">
        <v>0</v>
      </c>
      <c r="R345">
        <v>0</v>
      </c>
      <c r="S345">
        <v>0</v>
      </c>
      <c r="T345">
        <v>0</v>
      </c>
      <c r="U345" t="s">
        <v>1404</v>
      </c>
      <c r="V345" t="s">
        <v>1404</v>
      </c>
      <c r="W345">
        <v>0</v>
      </c>
      <c r="X345">
        <v>0</v>
      </c>
      <c r="Y345">
        <v>0</v>
      </c>
      <c r="Z345">
        <v>0</v>
      </c>
    </row>
    <row r="346" spans="1:26">
      <c r="A346" s="1">
        <f>HYPERLINK("https://cms.ls-nyc.org/matter/dynamic-profile/view/1868133","18-1868133")</f>
        <v>0</v>
      </c>
      <c r="B346" t="s">
        <v>26</v>
      </c>
      <c r="C346" t="s">
        <v>54</v>
      </c>
      <c r="D346" t="s">
        <v>353</v>
      </c>
      <c r="E346" t="s">
        <v>783</v>
      </c>
      <c r="F346" t="s">
        <v>1164</v>
      </c>
      <c r="G346" t="s">
        <v>1296</v>
      </c>
      <c r="H346" t="s">
        <v>1375</v>
      </c>
      <c r="I346" t="s">
        <v>1379</v>
      </c>
      <c r="J346" t="s">
        <v>1383</v>
      </c>
      <c r="K346" t="s">
        <v>1385</v>
      </c>
      <c r="M346" t="s">
        <v>1389</v>
      </c>
      <c r="P346" t="s">
        <v>1400</v>
      </c>
      <c r="Q346">
        <v>0</v>
      </c>
      <c r="R346">
        <v>0</v>
      </c>
      <c r="S346">
        <v>0</v>
      </c>
      <c r="T346">
        <v>0</v>
      </c>
      <c r="U346" t="s">
        <v>1404</v>
      </c>
      <c r="V346" t="s">
        <v>1404</v>
      </c>
      <c r="W346">
        <v>0</v>
      </c>
      <c r="X346">
        <v>0</v>
      </c>
      <c r="Y346">
        <v>0</v>
      </c>
      <c r="Z346">
        <v>0</v>
      </c>
    </row>
    <row r="347" spans="1:26">
      <c r="A347" s="1">
        <f>HYPERLINK("https://cms.ls-nyc.org/matter/dynamic-profile/view/1868176","18-1868176")</f>
        <v>0</v>
      </c>
      <c r="B347" t="s">
        <v>26</v>
      </c>
      <c r="C347" t="s">
        <v>54</v>
      </c>
      <c r="D347" t="s">
        <v>354</v>
      </c>
      <c r="E347" t="s">
        <v>759</v>
      </c>
      <c r="F347" t="s">
        <v>1165</v>
      </c>
      <c r="G347" t="s">
        <v>1330</v>
      </c>
      <c r="H347" t="s">
        <v>1375</v>
      </c>
      <c r="I347" t="s">
        <v>1379</v>
      </c>
      <c r="J347" t="s">
        <v>1383</v>
      </c>
      <c r="K347" t="s">
        <v>1385</v>
      </c>
      <c r="M347" t="s">
        <v>1391</v>
      </c>
      <c r="P347" t="s">
        <v>1400</v>
      </c>
      <c r="Q347">
        <v>0</v>
      </c>
      <c r="R347">
        <v>0</v>
      </c>
      <c r="S347">
        <v>0</v>
      </c>
      <c r="T347">
        <v>0</v>
      </c>
      <c r="U347" t="s">
        <v>1404</v>
      </c>
      <c r="V347" t="s">
        <v>1404</v>
      </c>
      <c r="W347">
        <v>0</v>
      </c>
      <c r="X347">
        <v>0</v>
      </c>
      <c r="Y347">
        <v>0</v>
      </c>
      <c r="Z347">
        <v>0</v>
      </c>
    </row>
    <row r="348" spans="1:26">
      <c r="A348" s="1">
        <f>HYPERLINK("https://cms.ls-nyc.org/matter/dynamic-profile/view/1868230","18-1868230")</f>
        <v>0</v>
      </c>
      <c r="B348" t="s">
        <v>26</v>
      </c>
      <c r="C348" t="s">
        <v>55</v>
      </c>
      <c r="D348" t="s">
        <v>206</v>
      </c>
      <c r="E348" t="s">
        <v>133</v>
      </c>
      <c r="F348" t="s">
        <v>1165</v>
      </c>
      <c r="G348" t="s">
        <v>1296</v>
      </c>
      <c r="H348" t="s">
        <v>1375</v>
      </c>
      <c r="I348" t="s">
        <v>1379</v>
      </c>
      <c r="J348" t="s">
        <v>1382</v>
      </c>
      <c r="K348" t="s">
        <v>1385</v>
      </c>
      <c r="M348" t="s">
        <v>1389</v>
      </c>
      <c r="P348" t="s">
        <v>1400</v>
      </c>
      <c r="Q348">
        <v>0</v>
      </c>
      <c r="R348">
        <v>0</v>
      </c>
      <c r="S348">
        <v>0</v>
      </c>
      <c r="T348">
        <v>0</v>
      </c>
      <c r="U348" t="s">
        <v>1404</v>
      </c>
      <c r="V348" t="s">
        <v>1404</v>
      </c>
      <c r="W348">
        <v>0</v>
      </c>
      <c r="X348">
        <v>0</v>
      </c>
      <c r="Y348">
        <v>0</v>
      </c>
      <c r="Z348">
        <v>0</v>
      </c>
    </row>
    <row r="349" spans="1:26">
      <c r="A349" s="1">
        <f>HYPERLINK("https://cms.ls-nyc.org/matter/dynamic-profile/view/1868249","18-1868249")</f>
        <v>0</v>
      </c>
      <c r="B349" t="s">
        <v>29</v>
      </c>
      <c r="C349" t="s">
        <v>42</v>
      </c>
      <c r="D349" t="s">
        <v>64</v>
      </c>
      <c r="E349" t="s">
        <v>784</v>
      </c>
      <c r="F349" t="s">
        <v>1165</v>
      </c>
      <c r="G349" t="s">
        <v>1347</v>
      </c>
      <c r="H349" t="s">
        <v>1375</v>
      </c>
      <c r="I349" t="s">
        <v>1379</v>
      </c>
      <c r="J349" t="s">
        <v>1382</v>
      </c>
      <c r="K349" t="s">
        <v>1385</v>
      </c>
      <c r="M349" t="s">
        <v>1389</v>
      </c>
      <c r="P349" t="s">
        <v>1400</v>
      </c>
      <c r="Q349">
        <v>0</v>
      </c>
      <c r="R349">
        <v>0</v>
      </c>
      <c r="S349">
        <v>0</v>
      </c>
      <c r="T349">
        <v>0</v>
      </c>
      <c r="U349" t="s">
        <v>1404</v>
      </c>
      <c r="V349" t="s">
        <v>1404</v>
      </c>
      <c r="W349">
        <v>0</v>
      </c>
      <c r="X349">
        <v>0</v>
      </c>
      <c r="Y349">
        <v>0</v>
      </c>
      <c r="Z349">
        <v>0</v>
      </c>
    </row>
    <row r="350" spans="1:26">
      <c r="A350" s="1">
        <f>HYPERLINK("https://cms.ls-nyc.org/matter/dynamic-profile/view/1868416","18-1868416")</f>
        <v>0</v>
      </c>
      <c r="B350" t="s">
        <v>29</v>
      </c>
      <c r="C350" t="s">
        <v>40</v>
      </c>
      <c r="D350" t="s">
        <v>355</v>
      </c>
      <c r="E350" t="s">
        <v>785</v>
      </c>
      <c r="F350" t="s">
        <v>1166</v>
      </c>
      <c r="G350" t="s">
        <v>1282</v>
      </c>
      <c r="H350" t="s">
        <v>1375</v>
      </c>
      <c r="I350" t="s">
        <v>1380</v>
      </c>
      <c r="J350" t="s">
        <v>1382</v>
      </c>
      <c r="K350" t="s">
        <v>1385</v>
      </c>
      <c r="L350" t="s">
        <v>1385</v>
      </c>
      <c r="M350" t="s">
        <v>1390</v>
      </c>
      <c r="P350" t="s">
        <v>1397</v>
      </c>
      <c r="Q350">
        <v>0</v>
      </c>
      <c r="R350">
        <v>0</v>
      </c>
      <c r="S350">
        <v>0</v>
      </c>
      <c r="T350">
        <v>0</v>
      </c>
      <c r="U350" t="s">
        <v>1404</v>
      </c>
      <c r="V350" t="s">
        <v>1404</v>
      </c>
      <c r="W350">
        <v>0</v>
      </c>
      <c r="X350">
        <v>0</v>
      </c>
      <c r="Y350">
        <v>0</v>
      </c>
      <c r="Z350">
        <v>0</v>
      </c>
    </row>
    <row r="351" spans="1:26">
      <c r="A351" s="1">
        <f>HYPERLINK("https://cms.ls-nyc.org/matter/dynamic-profile/view/1868650","18-1868650")</f>
        <v>0</v>
      </c>
      <c r="B351" t="s">
        <v>26</v>
      </c>
      <c r="C351" t="s">
        <v>54</v>
      </c>
      <c r="D351" t="s">
        <v>91</v>
      </c>
      <c r="E351" t="s">
        <v>786</v>
      </c>
      <c r="F351" t="s">
        <v>1167</v>
      </c>
      <c r="G351" t="s">
        <v>1296</v>
      </c>
      <c r="H351" t="s">
        <v>1375</v>
      </c>
      <c r="I351" t="s">
        <v>1379</v>
      </c>
      <c r="J351" t="s">
        <v>1382</v>
      </c>
      <c r="K351" t="s">
        <v>1385</v>
      </c>
      <c r="M351" t="s">
        <v>1389</v>
      </c>
      <c r="P351" t="s">
        <v>1400</v>
      </c>
      <c r="Q351">
        <v>0</v>
      </c>
      <c r="R351">
        <v>0</v>
      </c>
      <c r="S351">
        <v>0</v>
      </c>
      <c r="T351">
        <v>0</v>
      </c>
      <c r="U351" t="s">
        <v>1404</v>
      </c>
      <c r="V351" t="s">
        <v>1404</v>
      </c>
      <c r="W351">
        <v>0</v>
      </c>
      <c r="X351">
        <v>0</v>
      </c>
      <c r="Y351">
        <v>0</v>
      </c>
      <c r="Z351">
        <v>0</v>
      </c>
    </row>
    <row r="352" spans="1:26">
      <c r="A352" s="1">
        <f>HYPERLINK("https://cms.ls-nyc.org/matter/dynamic-profile/view/1868723","18-1868723")</f>
        <v>0</v>
      </c>
      <c r="B352" t="s">
        <v>26</v>
      </c>
      <c r="C352" t="s">
        <v>54</v>
      </c>
      <c r="D352" t="s">
        <v>356</v>
      </c>
      <c r="E352" t="s">
        <v>787</v>
      </c>
      <c r="F352" t="s">
        <v>1167</v>
      </c>
      <c r="G352" t="s">
        <v>1330</v>
      </c>
      <c r="H352" t="s">
        <v>1375</v>
      </c>
      <c r="I352" t="s">
        <v>1379</v>
      </c>
      <c r="J352" t="s">
        <v>1382</v>
      </c>
      <c r="K352" t="s">
        <v>1385</v>
      </c>
      <c r="M352" t="s">
        <v>1389</v>
      </c>
      <c r="P352" t="s">
        <v>1400</v>
      </c>
      <c r="Q352">
        <v>0</v>
      </c>
      <c r="R352">
        <v>0</v>
      </c>
      <c r="S352">
        <v>0</v>
      </c>
      <c r="T352">
        <v>0</v>
      </c>
      <c r="U352" t="s">
        <v>1404</v>
      </c>
      <c r="V352" t="s">
        <v>1404</v>
      </c>
      <c r="W352">
        <v>0</v>
      </c>
      <c r="X352">
        <v>0</v>
      </c>
      <c r="Y352">
        <v>0</v>
      </c>
      <c r="Z352">
        <v>0</v>
      </c>
    </row>
    <row r="353" spans="1:26">
      <c r="A353" s="1">
        <f>HYPERLINK("https://cms.ls-nyc.org/matter/dynamic-profile/view/1868794","18-1868794")</f>
        <v>0</v>
      </c>
      <c r="B353" t="s">
        <v>26</v>
      </c>
      <c r="C353" t="s">
        <v>56</v>
      </c>
      <c r="D353" t="s">
        <v>357</v>
      </c>
      <c r="E353" t="s">
        <v>788</v>
      </c>
      <c r="F353" t="s">
        <v>1168</v>
      </c>
      <c r="G353" t="s">
        <v>1330</v>
      </c>
      <c r="H353" t="s">
        <v>1375</v>
      </c>
      <c r="I353" t="s">
        <v>1379</v>
      </c>
      <c r="J353" t="s">
        <v>1382</v>
      </c>
      <c r="K353" t="s">
        <v>1385</v>
      </c>
      <c r="M353" t="s">
        <v>1391</v>
      </c>
      <c r="P353" t="s">
        <v>1400</v>
      </c>
      <c r="Q353">
        <v>0</v>
      </c>
      <c r="R353">
        <v>0</v>
      </c>
      <c r="S353">
        <v>0</v>
      </c>
      <c r="T353">
        <v>0</v>
      </c>
      <c r="U353" t="s">
        <v>1404</v>
      </c>
      <c r="V353" t="s">
        <v>1404</v>
      </c>
      <c r="W353">
        <v>0</v>
      </c>
      <c r="X353">
        <v>0</v>
      </c>
      <c r="Y353">
        <v>0</v>
      </c>
      <c r="Z353">
        <v>0</v>
      </c>
    </row>
    <row r="354" spans="1:26">
      <c r="A354" s="1">
        <f>HYPERLINK("https://cms.ls-nyc.org/matter/dynamic-profile/view/1868819","18-1868819")</f>
        <v>0</v>
      </c>
      <c r="B354" t="s">
        <v>29</v>
      </c>
      <c r="C354" t="s">
        <v>44</v>
      </c>
      <c r="D354" t="s">
        <v>358</v>
      </c>
      <c r="E354" t="s">
        <v>789</v>
      </c>
      <c r="F354" t="s">
        <v>1168</v>
      </c>
      <c r="G354" t="s">
        <v>1293</v>
      </c>
      <c r="H354" t="s">
        <v>1378</v>
      </c>
      <c r="I354" t="s">
        <v>1379</v>
      </c>
      <c r="J354" t="s">
        <v>1383</v>
      </c>
      <c r="K354" t="s">
        <v>1385</v>
      </c>
      <c r="M354" t="s">
        <v>1389</v>
      </c>
      <c r="P354" t="s">
        <v>1400</v>
      </c>
      <c r="Q354">
        <v>0</v>
      </c>
      <c r="R354">
        <v>0</v>
      </c>
      <c r="S354">
        <v>0</v>
      </c>
      <c r="T354">
        <v>0</v>
      </c>
      <c r="U354" t="s">
        <v>1404</v>
      </c>
      <c r="V354" t="s">
        <v>1404</v>
      </c>
      <c r="W354">
        <v>0</v>
      </c>
      <c r="X354">
        <v>0</v>
      </c>
      <c r="Y354">
        <v>0</v>
      </c>
      <c r="Z354">
        <v>0</v>
      </c>
    </row>
    <row r="355" spans="1:26">
      <c r="A355" s="1">
        <f>HYPERLINK("https://cms.ls-nyc.org/matter/dynamic-profile/view/1868827","18-1868827")</f>
        <v>0</v>
      </c>
      <c r="B355" t="s">
        <v>26</v>
      </c>
      <c r="C355" t="s">
        <v>31</v>
      </c>
      <c r="D355" t="s">
        <v>359</v>
      </c>
      <c r="E355" t="s">
        <v>790</v>
      </c>
      <c r="F355" t="s">
        <v>1168</v>
      </c>
      <c r="G355" t="s">
        <v>1190</v>
      </c>
      <c r="H355" t="s">
        <v>1375</v>
      </c>
      <c r="I355" t="s">
        <v>1379</v>
      </c>
      <c r="J355" t="s">
        <v>1382</v>
      </c>
      <c r="K355" t="s">
        <v>1385</v>
      </c>
      <c r="M355" t="s">
        <v>1391</v>
      </c>
      <c r="P355" t="s">
        <v>1400</v>
      </c>
      <c r="Q355">
        <v>0</v>
      </c>
      <c r="R355">
        <v>0</v>
      </c>
      <c r="S355">
        <v>0</v>
      </c>
      <c r="T355">
        <v>0</v>
      </c>
      <c r="U355" t="s">
        <v>1404</v>
      </c>
      <c r="V355" t="s">
        <v>1404</v>
      </c>
      <c r="W355">
        <v>0</v>
      </c>
      <c r="X355">
        <v>0</v>
      </c>
      <c r="Y355">
        <v>0</v>
      </c>
      <c r="Z355">
        <v>0</v>
      </c>
    </row>
    <row r="356" spans="1:26">
      <c r="A356" s="1">
        <f>HYPERLINK("https://cms.ls-nyc.org/matter/dynamic-profile/view/1868860","18-1868860")</f>
        <v>0</v>
      </c>
      <c r="B356" t="s">
        <v>29</v>
      </c>
      <c r="C356" t="s">
        <v>44</v>
      </c>
      <c r="D356" t="s">
        <v>360</v>
      </c>
      <c r="E356" t="s">
        <v>791</v>
      </c>
      <c r="F356" t="s">
        <v>1168</v>
      </c>
      <c r="G356" t="s">
        <v>1263</v>
      </c>
      <c r="H356" t="s">
        <v>1375</v>
      </c>
      <c r="I356" t="s">
        <v>1379</v>
      </c>
      <c r="J356" t="s">
        <v>1382</v>
      </c>
      <c r="K356" t="s">
        <v>1385</v>
      </c>
      <c r="L356" t="s">
        <v>1385</v>
      </c>
      <c r="M356" t="s">
        <v>1390</v>
      </c>
      <c r="P356" t="s">
        <v>1397</v>
      </c>
      <c r="Q356">
        <v>0</v>
      </c>
      <c r="R356">
        <v>0</v>
      </c>
      <c r="S356">
        <v>0</v>
      </c>
      <c r="T356">
        <v>0</v>
      </c>
      <c r="U356" t="s">
        <v>1404</v>
      </c>
      <c r="V356" t="s">
        <v>1404</v>
      </c>
      <c r="W356">
        <v>0</v>
      </c>
      <c r="X356">
        <v>0</v>
      </c>
      <c r="Y356">
        <v>0</v>
      </c>
      <c r="Z356">
        <v>0</v>
      </c>
    </row>
    <row r="357" spans="1:26">
      <c r="A357" s="1">
        <f>HYPERLINK("https://cms.ls-nyc.org/matter/dynamic-profile/view/1868978","18-1868978")</f>
        <v>0</v>
      </c>
      <c r="B357" t="s">
        <v>27</v>
      </c>
      <c r="C357" t="s">
        <v>48</v>
      </c>
      <c r="D357" t="s">
        <v>361</v>
      </c>
      <c r="E357" t="s">
        <v>623</v>
      </c>
      <c r="F357" t="s">
        <v>1169</v>
      </c>
      <c r="G357" t="s">
        <v>1219</v>
      </c>
      <c r="H357" t="s">
        <v>1375</v>
      </c>
      <c r="I357" t="s">
        <v>1379</v>
      </c>
      <c r="J357" t="s">
        <v>1383</v>
      </c>
      <c r="K357" t="s">
        <v>1385</v>
      </c>
      <c r="M357" t="s">
        <v>1391</v>
      </c>
      <c r="P357" t="s">
        <v>1400</v>
      </c>
      <c r="Q357">
        <v>0</v>
      </c>
      <c r="R357">
        <v>0</v>
      </c>
      <c r="S357">
        <v>0</v>
      </c>
      <c r="T357">
        <v>0</v>
      </c>
      <c r="U357" t="s">
        <v>1404</v>
      </c>
      <c r="V357" t="s">
        <v>1404</v>
      </c>
      <c r="W357">
        <v>0</v>
      </c>
      <c r="X357">
        <v>0</v>
      </c>
      <c r="Y357">
        <v>0</v>
      </c>
      <c r="Z357">
        <v>0</v>
      </c>
    </row>
    <row r="358" spans="1:26">
      <c r="A358" s="1">
        <f>HYPERLINK("https://cms.ls-nyc.org/matter/dynamic-profile/view/1869007","18-1869007")</f>
        <v>0</v>
      </c>
      <c r="B358" t="s">
        <v>26</v>
      </c>
      <c r="C358" t="s">
        <v>51</v>
      </c>
      <c r="D358" t="s">
        <v>247</v>
      </c>
      <c r="E358" t="s">
        <v>792</v>
      </c>
      <c r="F358" t="s">
        <v>1169</v>
      </c>
      <c r="G358" t="s">
        <v>1235</v>
      </c>
      <c r="H358" t="s">
        <v>1375</v>
      </c>
      <c r="I358" t="s">
        <v>1379</v>
      </c>
      <c r="J358" t="s">
        <v>1382</v>
      </c>
      <c r="K358" t="s">
        <v>1385</v>
      </c>
      <c r="M358" t="s">
        <v>1390</v>
      </c>
      <c r="P358" t="s">
        <v>1398</v>
      </c>
      <c r="Q358">
        <v>0</v>
      </c>
      <c r="R358">
        <v>0</v>
      </c>
      <c r="S358">
        <v>10826</v>
      </c>
      <c r="T358">
        <v>750</v>
      </c>
      <c r="U358" t="s">
        <v>1424</v>
      </c>
      <c r="V358" t="s">
        <v>1618</v>
      </c>
      <c r="W358">
        <v>10826</v>
      </c>
      <c r="X358">
        <v>771</v>
      </c>
      <c r="Y358">
        <v>0</v>
      </c>
      <c r="Z358">
        <v>0</v>
      </c>
    </row>
    <row r="359" spans="1:26">
      <c r="A359" s="1">
        <f>HYPERLINK("https://cms.ls-nyc.org/matter/dynamic-profile/view/1869010","18-1869010")</f>
        <v>0</v>
      </c>
      <c r="B359" t="s">
        <v>29</v>
      </c>
      <c r="C359" t="s">
        <v>44</v>
      </c>
      <c r="D359" t="s">
        <v>101</v>
      </c>
      <c r="E359" t="s">
        <v>509</v>
      </c>
      <c r="F359" t="s">
        <v>1169</v>
      </c>
      <c r="G359" t="s">
        <v>1348</v>
      </c>
      <c r="H359" t="s">
        <v>1375</v>
      </c>
      <c r="I359" t="s">
        <v>1379</v>
      </c>
      <c r="J359" t="s">
        <v>1383</v>
      </c>
      <c r="K359" t="s">
        <v>1385</v>
      </c>
      <c r="M359" t="s">
        <v>1389</v>
      </c>
      <c r="P359" t="s">
        <v>1400</v>
      </c>
      <c r="Q359">
        <v>0</v>
      </c>
      <c r="R359">
        <v>0</v>
      </c>
      <c r="S359">
        <v>0</v>
      </c>
      <c r="T359">
        <v>0</v>
      </c>
      <c r="U359" t="s">
        <v>1404</v>
      </c>
      <c r="V359" t="s">
        <v>1404</v>
      </c>
      <c r="W359">
        <v>0</v>
      </c>
      <c r="X359">
        <v>0</v>
      </c>
      <c r="Y359">
        <v>0</v>
      </c>
      <c r="Z359">
        <v>0</v>
      </c>
    </row>
    <row r="360" spans="1:26">
      <c r="A360" s="1">
        <f>HYPERLINK("https://cms.ls-nyc.org/matter/dynamic-profile/view/1869033","18-1869033")</f>
        <v>0</v>
      </c>
      <c r="B360" t="s">
        <v>26</v>
      </c>
      <c r="C360" t="s">
        <v>46</v>
      </c>
      <c r="D360" t="s">
        <v>252</v>
      </c>
      <c r="E360" t="s">
        <v>793</v>
      </c>
      <c r="F360" t="s">
        <v>1169</v>
      </c>
      <c r="G360" t="s">
        <v>1292</v>
      </c>
      <c r="J360" t="s">
        <v>1382</v>
      </c>
      <c r="K360" t="s">
        <v>1385</v>
      </c>
      <c r="M360" t="s">
        <v>1391</v>
      </c>
      <c r="Q360">
        <v>0</v>
      </c>
      <c r="R360">
        <v>0</v>
      </c>
      <c r="S360">
        <v>0</v>
      </c>
      <c r="T360">
        <v>0</v>
      </c>
      <c r="U360" t="s">
        <v>1404</v>
      </c>
      <c r="V360" t="s">
        <v>1404</v>
      </c>
      <c r="W360">
        <v>0</v>
      </c>
      <c r="X360">
        <v>0</v>
      </c>
      <c r="Y360">
        <v>0</v>
      </c>
      <c r="Z360">
        <v>0</v>
      </c>
    </row>
    <row r="361" spans="1:26">
      <c r="A361" s="1">
        <f>HYPERLINK("https://cms.ls-nyc.org/matter/dynamic-profile/view/1869126","18-1869126")</f>
        <v>0</v>
      </c>
      <c r="B361" t="s">
        <v>28</v>
      </c>
      <c r="C361" t="s">
        <v>52</v>
      </c>
      <c r="D361" t="s">
        <v>362</v>
      </c>
      <c r="E361" t="s">
        <v>794</v>
      </c>
      <c r="F361" t="s">
        <v>1170</v>
      </c>
      <c r="G361" t="s">
        <v>1319</v>
      </c>
      <c r="H361" t="s">
        <v>1375</v>
      </c>
      <c r="I361" t="s">
        <v>1379</v>
      </c>
      <c r="J361" t="s">
        <v>1383</v>
      </c>
      <c r="K361" t="s">
        <v>1385</v>
      </c>
      <c r="M361" t="s">
        <v>1389</v>
      </c>
      <c r="P361" t="s">
        <v>1397</v>
      </c>
      <c r="Q361">
        <v>0</v>
      </c>
      <c r="R361">
        <v>0</v>
      </c>
      <c r="S361">
        <v>0</v>
      </c>
      <c r="T361">
        <v>0</v>
      </c>
      <c r="U361" t="s">
        <v>1404</v>
      </c>
      <c r="V361" t="s">
        <v>1404</v>
      </c>
      <c r="W361">
        <v>0</v>
      </c>
      <c r="X361">
        <v>0</v>
      </c>
      <c r="Y361">
        <v>0</v>
      </c>
      <c r="Z361">
        <v>0</v>
      </c>
    </row>
    <row r="362" spans="1:26">
      <c r="A362" s="1">
        <f>HYPERLINK("https://cms.ls-nyc.org/matter/dynamic-profile/view/1869309","18-1869309")</f>
        <v>0</v>
      </c>
      <c r="B362" t="s">
        <v>26</v>
      </c>
      <c r="C362" t="s">
        <v>45</v>
      </c>
      <c r="D362" t="s">
        <v>363</v>
      </c>
      <c r="E362" t="s">
        <v>795</v>
      </c>
      <c r="F362" t="s">
        <v>1171</v>
      </c>
      <c r="G362" t="s">
        <v>1325</v>
      </c>
      <c r="H362" t="s">
        <v>1375</v>
      </c>
      <c r="I362" t="s">
        <v>1379</v>
      </c>
      <c r="J362" t="s">
        <v>1382</v>
      </c>
      <c r="K362" t="s">
        <v>1385</v>
      </c>
      <c r="M362" t="s">
        <v>1390</v>
      </c>
      <c r="P362" t="s">
        <v>1398</v>
      </c>
      <c r="Q362">
        <v>0</v>
      </c>
      <c r="R362">
        <v>0</v>
      </c>
      <c r="S362">
        <v>18650</v>
      </c>
      <c r="T362">
        <v>771</v>
      </c>
      <c r="U362" t="s">
        <v>1424</v>
      </c>
      <c r="V362" t="s">
        <v>1619</v>
      </c>
      <c r="W362">
        <v>8900</v>
      </c>
      <c r="X362">
        <v>771</v>
      </c>
      <c r="Y362">
        <v>0</v>
      </c>
      <c r="Z362">
        <v>9750</v>
      </c>
    </row>
    <row r="363" spans="1:26">
      <c r="A363" s="1">
        <f>HYPERLINK("https://cms.ls-nyc.org/matter/dynamic-profile/view/1869347","18-1869347")</f>
        <v>0</v>
      </c>
      <c r="B363" t="s">
        <v>26</v>
      </c>
      <c r="C363" t="s">
        <v>53</v>
      </c>
      <c r="D363" t="s">
        <v>364</v>
      </c>
      <c r="E363" t="s">
        <v>796</v>
      </c>
      <c r="F363" t="s">
        <v>1172</v>
      </c>
      <c r="G363" t="s">
        <v>1292</v>
      </c>
      <c r="H363" t="s">
        <v>1375</v>
      </c>
      <c r="I363" t="s">
        <v>1379</v>
      </c>
      <c r="J363" t="s">
        <v>1382</v>
      </c>
      <c r="K363" t="s">
        <v>1385</v>
      </c>
      <c r="M363" t="s">
        <v>1389</v>
      </c>
      <c r="P363" t="s">
        <v>1400</v>
      </c>
      <c r="Q363">
        <v>0</v>
      </c>
      <c r="R363">
        <v>0</v>
      </c>
      <c r="S363">
        <v>0</v>
      </c>
      <c r="T363">
        <v>0</v>
      </c>
      <c r="U363" t="s">
        <v>1404</v>
      </c>
      <c r="V363" t="s">
        <v>1404</v>
      </c>
      <c r="W363">
        <v>0</v>
      </c>
      <c r="X363">
        <v>0</v>
      </c>
      <c r="Y363">
        <v>0</v>
      </c>
      <c r="Z363">
        <v>0</v>
      </c>
    </row>
    <row r="364" spans="1:26">
      <c r="A364" s="1">
        <f>HYPERLINK("https://cms.ls-nyc.org/matter/dynamic-profile/view/1869381","18-1869381")</f>
        <v>0</v>
      </c>
      <c r="B364" t="s">
        <v>26</v>
      </c>
      <c r="C364" t="s">
        <v>31</v>
      </c>
      <c r="D364" t="s">
        <v>365</v>
      </c>
      <c r="E364" t="s">
        <v>797</v>
      </c>
      <c r="F364" t="s">
        <v>1172</v>
      </c>
      <c r="G364" t="s">
        <v>1201</v>
      </c>
      <c r="H364" t="s">
        <v>1375</v>
      </c>
      <c r="I364" t="s">
        <v>1379</v>
      </c>
      <c r="J364" t="s">
        <v>1383</v>
      </c>
      <c r="K364" t="s">
        <v>1385</v>
      </c>
      <c r="M364" t="s">
        <v>1389</v>
      </c>
      <c r="P364" t="s">
        <v>1400</v>
      </c>
      <c r="Q364">
        <v>0</v>
      </c>
      <c r="R364">
        <v>0</v>
      </c>
      <c r="S364">
        <v>0</v>
      </c>
      <c r="T364">
        <v>0</v>
      </c>
      <c r="U364" t="s">
        <v>1404</v>
      </c>
      <c r="V364" t="s">
        <v>1404</v>
      </c>
      <c r="W364">
        <v>0</v>
      </c>
      <c r="X364">
        <v>0</v>
      </c>
      <c r="Y364">
        <v>0</v>
      </c>
      <c r="Z364">
        <v>0</v>
      </c>
    </row>
    <row r="365" spans="1:26">
      <c r="A365" s="1">
        <f>HYPERLINK("https://cms.ls-nyc.org/matter/dynamic-profile/view/1869414","18-1869414")</f>
        <v>0</v>
      </c>
      <c r="B365" t="s">
        <v>26</v>
      </c>
      <c r="C365" t="s">
        <v>31</v>
      </c>
      <c r="D365" t="s">
        <v>148</v>
      </c>
      <c r="E365" t="s">
        <v>798</v>
      </c>
      <c r="F365" t="s">
        <v>1172</v>
      </c>
      <c r="G365" t="s">
        <v>1273</v>
      </c>
      <c r="H365" t="s">
        <v>1375</v>
      </c>
      <c r="I365" t="s">
        <v>1379</v>
      </c>
      <c r="J365" t="s">
        <v>1382</v>
      </c>
      <c r="K365" t="s">
        <v>1385</v>
      </c>
      <c r="M365" t="s">
        <v>1390</v>
      </c>
      <c r="P365" t="s">
        <v>1398</v>
      </c>
      <c r="Q365">
        <v>0</v>
      </c>
      <c r="R365">
        <v>0</v>
      </c>
      <c r="S365">
        <v>6.04</v>
      </c>
      <c r="T365">
        <v>771</v>
      </c>
      <c r="U365" t="s">
        <v>1424</v>
      </c>
      <c r="V365" t="s">
        <v>1620</v>
      </c>
      <c r="W365">
        <v>6038.46</v>
      </c>
      <c r="X365">
        <v>771</v>
      </c>
      <c r="Y365">
        <v>0</v>
      </c>
      <c r="Z365">
        <v>17683.54</v>
      </c>
    </row>
    <row r="366" spans="1:26">
      <c r="A366" s="1">
        <f>HYPERLINK("https://cms.ls-nyc.org/matter/dynamic-profile/view/1869497","18-1869497")</f>
        <v>0</v>
      </c>
      <c r="B366" t="s">
        <v>26</v>
      </c>
      <c r="C366" t="s">
        <v>54</v>
      </c>
      <c r="D366" t="s">
        <v>366</v>
      </c>
      <c r="E366" t="s">
        <v>799</v>
      </c>
      <c r="F366" t="s">
        <v>1173</v>
      </c>
      <c r="G366" t="s">
        <v>1330</v>
      </c>
      <c r="H366" t="s">
        <v>1375</v>
      </c>
      <c r="I366" t="s">
        <v>1379</v>
      </c>
      <c r="J366" t="s">
        <v>1382</v>
      </c>
      <c r="K366" t="s">
        <v>1385</v>
      </c>
      <c r="M366" t="s">
        <v>1389</v>
      </c>
      <c r="P366" t="s">
        <v>1400</v>
      </c>
      <c r="Q366">
        <v>0</v>
      </c>
      <c r="R366">
        <v>0</v>
      </c>
      <c r="S366">
        <v>0</v>
      </c>
      <c r="T366">
        <v>0</v>
      </c>
      <c r="U366" t="s">
        <v>1404</v>
      </c>
      <c r="V366" t="s">
        <v>1404</v>
      </c>
      <c r="W366">
        <v>0</v>
      </c>
      <c r="X366">
        <v>0</v>
      </c>
      <c r="Y366">
        <v>0</v>
      </c>
      <c r="Z366">
        <v>0</v>
      </c>
    </row>
    <row r="367" spans="1:26">
      <c r="A367" s="1">
        <f>HYPERLINK("https://cms.ls-nyc.org/matter/dynamic-profile/view/1869628","18-1869628")</f>
        <v>0</v>
      </c>
      <c r="B367" t="s">
        <v>29</v>
      </c>
      <c r="C367" t="s">
        <v>40</v>
      </c>
      <c r="D367" t="s">
        <v>367</v>
      </c>
      <c r="E367" t="s">
        <v>556</v>
      </c>
      <c r="F367" t="s">
        <v>1174</v>
      </c>
      <c r="G367" t="s">
        <v>1233</v>
      </c>
      <c r="H367" t="s">
        <v>1375</v>
      </c>
      <c r="I367" t="s">
        <v>1379</v>
      </c>
      <c r="J367" t="s">
        <v>1383</v>
      </c>
      <c r="K367" t="s">
        <v>1385</v>
      </c>
      <c r="M367" t="s">
        <v>1391</v>
      </c>
      <c r="P367" t="s">
        <v>1400</v>
      </c>
      <c r="Q367">
        <v>0</v>
      </c>
      <c r="R367">
        <v>0</v>
      </c>
      <c r="S367">
        <v>0</v>
      </c>
      <c r="T367">
        <v>0</v>
      </c>
      <c r="U367" t="s">
        <v>1404</v>
      </c>
      <c r="V367" t="s">
        <v>1404</v>
      </c>
      <c r="W367">
        <v>0</v>
      </c>
      <c r="X367">
        <v>0</v>
      </c>
      <c r="Y367">
        <v>0</v>
      </c>
      <c r="Z367">
        <v>0</v>
      </c>
    </row>
    <row r="368" spans="1:26">
      <c r="A368" s="1">
        <f>HYPERLINK("https://cms.ls-nyc.org/matter/dynamic-profile/view/1869697","18-1869697")</f>
        <v>0</v>
      </c>
      <c r="B368" t="s">
        <v>27</v>
      </c>
      <c r="C368" t="s">
        <v>48</v>
      </c>
      <c r="D368" t="s">
        <v>368</v>
      </c>
      <c r="E368" t="s">
        <v>511</v>
      </c>
      <c r="F368" t="s">
        <v>1175</v>
      </c>
      <c r="G368" t="s">
        <v>1335</v>
      </c>
      <c r="H368" t="s">
        <v>1378</v>
      </c>
      <c r="I368" t="s">
        <v>1379</v>
      </c>
      <c r="J368" t="s">
        <v>1383</v>
      </c>
      <c r="K368" t="s">
        <v>1385</v>
      </c>
      <c r="M368" t="s">
        <v>1391</v>
      </c>
      <c r="P368" t="s">
        <v>1400</v>
      </c>
      <c r="Q368">
        <v>0</v>
      </c>
      <c r="R368">
        <v>0</v>
      </c>
      <c r="S368">
        <v>0</v>
      </c>
      <c r="T368">
        <v>0</v>
      </c>
      <c r="U368" t="s">
        <v>1404</v>
      </c>
      <c r="V368" t="s">
        <v>1404</v>
      </c>
      <c r="W368">
        <v>0</v>
      </c>
      <c r="X368">
        <v>0</v>
      </c>
      <c r="Y368">
        <v>0</v>
      </c>
      <c r="Z368">
        <v>0</v>
      </c>
    </row>
    <row r="369" spans="1:26">
      <c r="A369" s="1">
        <f>HYPERLINK("https://cms.ls-nyc.org/matter/dynamic-profile/view/1869775","18-1869775")</f>
        <v>0</v>
      </c>
      <c r="B369" t="s">
        <v>29</v>
      </c>
      <c r="C369" t="s">
        <v>44</v>
      </c>
      <c r="D369" t="s">
        <v>369</v>
      </c>
      <c r="E369" t="s">
        <v>800</v>
      </c>
      <c r="F369" t="s">
        <v>1175</v>
      </c>
      <c r="G369" t="s">
        <v>1305</v>
      </c>
      <c r="H369" t="s">
        <v>1378</v>
      </c>
      <c r="I369" t="s">
        <v>1379</v>
      </c>
      <c r="J369" t="s">
        <v>1383</v>
      </c>
      <c r="K369" t="s">
        <v>1385</v>
      </c>
      <c r="M369" t="s">
        <v>1389</v>
      </c>
      <c r="P369" t="s">
        <v>1400</v>
      </c>
      <c r="Q369">
        <v>0</v>
      </c>
      <c r="R369">
        <v>0</v>
      </c>
      <c r="S369">
        <v>0</v>
      </c>
      <c r="T369">
        <v>0</v>
      </c>
      <c r="U369" t="s">
        <v>1404</v>
      </c>
      <c r="V369" t="s">
        <v>1404</v>
      </c>
      <c r="W369">
        <v>0</v>
      </c>
      <c r="X369">
        <v>0</v>
      </c>
      <c r="Y369">
        <v>0</v>
      </c>
      <c r="Z369">
        <v>0</v>
      </c>
    </row>
    <row r="370" spans="1:26">
      <c r="A370" s="1">
        <f>HYPERLINK("https://cms.ls-nyc.org/matter/dynamic-profile/view/1869834","18-1869834")</f>
        <v>0</v>
      </c>
      <c r="B370" t="s">
        <v>29</v>
      </c>
      <c r="C370" t="s">
        <v>40</v>
      </c>
      <c r="D370" t="s">
        <v>370</v>
      </c>
      <c r="E370" t="s">
        <v>784</v>
      </c>
      <c r="F370" t="s">
        <v>1176</v>
      </c>
      <c r="G370" t="s">
        <v>1322</v>
      </c>
      <c r="H370" t="s">
        <v>1375</v>
      </c>
      <c r="I370" t="s">
        <v>1379</v>
      </c>
      <c r="J370" t="s">
        <v>1383</v>
      </c>
      <c r="K370" t="s">
        <v>1385</v>
      </c>
      <c r="L370" t="s">
        <v>1385</v>
      </c>
      <c r="M370" t="s">
        <v>1390</v>
      </c>
      <c r="P370" t="s">
        <v>1397</v>
      </c>
      <c r="Q370">
        <v>0</v>
      </c>
      <c r="R370">
        <v>0</v>
      </c>
      <c r="S370">
        <v>0</v>
      </c>
      <c r="T370">
        <v>0</v>
      </c>
      <c r="U370" t="s">
        <v>1404</v>
      </c>
      <c r="V370" t="s">
        <v>1404</v>
      </c>
      <c r="W370">
        <v>0</v>
      </c>
      <c r="X370">
        <v>0</v>
      </c>
      <c r="Y370">
        <v>0</v>
      </c>
      <c r="Z370">
        <v>0</v>
      </c>
    </row>
    <row r="371" spans="1:26">
      <c r="A371" s="1">
        <f>HYPERLINK("https://cms.ls-nyc.org/matter/dynamic-profile/view/1869900","18-1869900")</f>
        <v>0</v>
      </c>
      <c r="B371" t="s">
        <v>28</v>
      </c>
      <c r="C371" t="s">
        <v>57</v>
      </c>
      <c r="D371" t="s">
        <v>371</v>
      </c>
      <c r="E371" t="s">
        <v>713</v>
      </c>
      <c r="F371" t="s">
        <v>1172</v>
      </c>
      <c r="G371" t="s">
        <v>1250</v>
      </c>
      <c r="H371" t="s">
        <v>1378</v>
      </c>
      <c r="I371" t="s">
        <v>1378</v>
      </c>
      <c r="J371" t="s">
        <v>1382</v>
      </c>
      <c r="K371" t="s">
        <v>1385</v>
      </c>
      <c r="M371" t="s">
        <v>1389</v>
      </c>
      <c r="P371" t="s">
        <v>1400</v>
      </c>
      <c r="Q371">
        <v>0</v>
      </c>
      <c r="R371">
        <v>0</v>
      </c>
      <c r="S371">
        <v>0</v>
      </c>
      <c r="T371">
        <v>0</v>
      </c>
      <c r="U371" t="s">
        <v>1404</v>
      </c>
      <c r="V371" t="s">
        <v>1404</v>
      </c>
      <c r="W371">
        <v>0</v>
      </c>
      <c r="X371">
        <v>0</v>
      </c>
      <c r="Y371">
        <v>0</v>
      </c>
      <c r="Z371">
        <v>0</v>
      </c>
    </row>
    <row r="372" spans="1:26">
      <c r="A372" s="1">
        <f>HYPERLINK("https://cms.ls-nyc.org/matter/dynamic-profile/view/1869938","18-1869938")</f>
        <v>0</v>
      </c>
      <c r="B372" t="s">
        <v>26</v>
      </c>
      <c r="C372" t="s">
        <v>55</v>
      </c>
      <c r="D372" t="s">
        <v>372</v>
      </c>
      <c r="E372" t="s">
        <v>602</v>
      </c>
      <c r="F372" t="s">
        <v>1176</v>
      </c>
      <c r="G372" t="s">
        <v>1220</v>
      </c>
      <c r="H372" t="s">
        <v>1375</v>
      </c>
      <c r="I372" t="s">
        <v>1379</v>
      </c>
      <c r="J372" t="s">
        <v>1383</v>
      </c>
      <c r="K372" t="s">
        <v>1385</v>
      </c>
      <c r="M372" t="s">
        <v>1389</v>
      </c>
      <c r="P372" t="s">
        <v>1400</v>
      </c>
      <c r="Q372">
        <v>0</v>
      </c>
      <c r="R372">
        <v>0</v>
      </c>
      <c r="S372">
        <v>0</v>
      </c>
      <c r="T372">
        <v>0</v>
      </c>
      <c r="U372" t="s">
        <v>1404</v>
      </c>
      <c r="V372" t="s">
        <v>1404</v>
      </c>
      <c r="W372">
        <v>0</v>
      </c>
      <c r="X372">
        <v>0</v>
      </c>
      <c r="Y372">
        <v>0</v>
      </c>
      <c r="Z372">
        <v>0</v>
      </c>
    </row>
    <row r="373" spans="1:26">
      <c r="A373" s="1">
        <f>HYPERLINK("https://cms.ls-nyc.org/matter/dynamic-profile/view/1869950","18-1869950")</f>
        <v>0</v>
      </c>
      <c r="B373" t="s">
        <v>27</v>
      </c>
      <c r="C373" t="s">
        <v>43</v>
      </c>
      <c r="D373" t="s">
        <v>373</v>
      </c>
      <c r="E373" t="s">
        <v>773</v>
      </c>
      <c r="F373" t="s">
        <v>1177</v>
      </c>
      <c r="G373" t="s">
        <v>1243</v>
      </c>
      <c r="H373" t="s">
        <v>1375</v>
      </c>
      <c r="I373" t="s">
        <v>1379</v>
      </c>
      <c r="J373" t="s">
        <v>1383</v>
      </c>
      <c r="K373" t="s">
        <v>1385</v>
      </c>
      <c r="M373" t="s">
        <v>1396</v>
      </c>
      <c r="P373" t="s">
        <v>1398</v>
      </c>
      <c r="Q373">
        <v>0</v>
      </c>
      <c r="R373">
        <v>0</v>
      </c>
      <c r="S373">
        <v>19714</v>
      </c>
      <c r="T373">
        <v>773</v>
      </c>
      <c r="U373" t="s">
        <v>1406</v>
      </c>
      <c r="V373" t="s">
        <v>1621</v>
      </c>
      <c r="W373">
        <v>10562</v>
      </c>
      <c r="X373">
        <v>773</v>
      </c>
      <c r="Y373">
        <v>0</v>
      </c>
      <c r="Z373">
        <v>9152</v>
      </c>
    </row>
    <row r="374" spans="1:26">
      <c r="A374" s="1">
        <f>HYPERLINK("https://cms.ls-nyc.org/matter/dynamic-profile/view/1870166","18-1870166")</f>
        <v>0</v>
      </c>
      <c r="B374" t="s">
        <v>26</v>
      </c>
      <c r="C374" t="s">
        <v>54</v>
      </c>
      <c r="D374" t="s">
        <v>145</v>
      </c>
      <c r="E374" t="s">
        <v>801</v>
      </c>
      <c r="F374" t="s">
        <v>1178</v>
      </c>
      <c r="G374" t="s">
        <v>1330</v>
      </c>
      <c r="H374" t="s">
        <v>1375</v>
      </c>
      <c r="I374" t="s">
        <v>1380</v>
      </c>
      <c r="J374" t="s">
        <v>1383</v>
      </c>
      <c r="K374" t="s">
        <v>1385</v>
      </c>
      <c r="M374" t="s">
        <v>1391</v>
      </c>
      <c r="P374" t="s">
        <v>1400</v>
      </c>
      <c r="Q374">
        <v>0</v>
      </c>
      <c r="R374">
        <v>0</v>
      </c>
      <c r="S374">
        <v>0</v>
      </c>
      <c r="T374">
        <v>0</v>
      </c>
      <c r="U374" t="s">
        <v>1404</v>
      </c>
      <c r="V374" t="s">
        <v>1404</v>
      </c>
      <c r="W374">
        <v>0</v>
      </c>
      <c r="X374">
        <v>0</v>
      </c>
      <c r="Y374">
        <v>0</v>
      </c>
      <c r="Z374">
        <v>0</v>
      </c>
    </row>
    <row r="375" spans="1:26">
      <c r="A375" s="1">
        <f>HYPERLINK("https://cms.ls-nyc.org/matter/dynamic-profile/view/1870314","18-1870314")</f>
        <v>0</v>
      </c>
      <c r="B375" t="s">
        <v>26</v>
      </c>
      <c r="C375" t="s">
        <v>58</v>
      </c>
      <c r="D375" t="s">
        <v>374</v>
      </c>
      <c r="E375" t="s">
        <v>802</v>
      </c>
      <c r="F375" t="s">
        <v>1179</v>
      </c>
      <c r="G375" t="s">
        <v>1292</v>
      </c>
      <c r="H375" t="s">
        <v>1375</v>
      </c>
      <c r="I375" t="s">
        <v>1379</v>
      </c>
      <c r="J375" t="s">
        <v>1382</v>
      </c>
      <c r="K375" t="s">
        <v>1385</v>
      </c>
      <c r="M375" t="s">
        <v>1391</v>
      </c>
      <c r="P375" t="s">
        <v>1400</v>
      </c>
      <c r="Q375">
        <v>0</v>
      </c>
      <c r="R375">
        <v>0</v>
      </c>
      <c r="S375">
        <v>0</v>
      </c>
      <c r="T375">
        <v>0</v>
      </c>
      <c r="U375" t="s">
        <v>1404</v>
      </c>
      <c r="V375" t="s">
        <v>1404</v>
      </c>
      <c r="W375">
        <v>0</v>
      </c>
      <c r="X375">
        <v>0</v>
      </c>
      <c r="Y375">
        <v>0</v>
      </c>
      <c r="Z375">
        <v>0</v>
      </c>
    </row>
    <row r="376" spans="1:26">
      <c r="A376" s="1">
        <f>HYPERLINK("https://cms.ls-nyc.org/matter/dynamic-profile/view/1870318","18-1870318")</f>
        <v>0</v>
      </c>
      <c r="B376" t="s">
        <v>29</v>
      </c>
      <c r="C376" t="s">
        <v>42</v>
      </c>
      <c r="D376" t="s">
        <v>375</v>
      </c>
      <c r="E376" t="s">
        <v>803</v>
      </c>
      <c r="F376" t="s">
        <v>1179</v>
      </c>
      <c r="G376" t="s">
        <v>1292</v>
      </c>
      <c r="H376" t="s">
        <v>1375</v>
      </c>
      <c r="I376" t="s">
        <v>1380</v>
      </c>
      <c r="J376" t="s">
        <v>1382</v>
      </c>
      <c r="K376" t="s">
        <v>1385</v>
      </c>
      <c r="M376" t="s">
        <v>1389</v>
      </c>
      <c r="P376" t="s">
        <v>1400</v>
      </c>
      <c r="Q376">
        <v>0</v>
      </c>
      <c r="R376">
        <v>0</v>
      </c>
      <c r="S376">
        <v>0</v>
      </c>
      <c r="T376">
        <v>0</v>
      </c>
      <c r="U376" t="s">
        <v>1404</v>
      </c>
      <c r="V376" t="s">
        <v>1404</v>
      </c>
      <c r="W376">
        <v>0</v>
      </c>
      <c r="X376">
        <v>0</v>
      </c>
      <c r="Y376">
        <v>0</v>
      </c>
      <c r="Z376">
        <v>0</v>
      </c>
    </row>
    <row r="377" spans="1:26">
      <c r="A377" s="1">
        <f>HYPERLINK("https://cms.ls-nyc.org/matter/dynamic-profile/view/1870410","18-1870410")</f>
        <v>0</v>
      </c>
      <c r="B377" t="s">
        <v>29</v>
      </c>
      <c r="C377" t="s">
        <v>42</v>
      </c>
      <c r="D377" t="s">
        <v>160</v>
      </c>
      <c r="E377" t="s">
        <v>804</v>
      </c>
      <c r="F377" t="s">
        <v>1180</v>
      </c>
      <c r="G377" t="s">
        <v>1349</v>
      </c>
      <c r="H377" t="s">
        <v>1375</v>
      </c>
      <c r="I377" t="s">
        <v>1379</v>
      </c>
      <c r="J377" t="s">
        <v>1383</v>
      </c>
      <c r="K377" t="s">
        <v>1385</v>
      </c>
      <c r="M377" t="s">
        <v>1389</v>
      </c>
      <c r="P377" t="s">
        <v>1400</v>
      </c>
      <c r="Q377">
        <v>0</v>
      </c>
      <c r="R377">
        <v>0</v>
      </c>
      <c r="S377">
        <v>0</v>
      </c>
      <c r="T377">
        <v>0</v>
      </c>
      <c r="U377" t="s">
        <v>1404</v>
      </c>
      <c r="V377" t="s">
        <v>1404</v>
      </c>
      <c r="W377">
        <v>0</v>
      </c>
      <c r="X377">
        <v>0</v>
      </c>
      <c r="Y377">
        <v>0</v>
      </c>
      <c r="Z377">
        <v>0</v>
      </c>
    </row>
    <row r="378" spans="1:26">
      <c r="A378" s="1">
        <f>HYPERLINK("https://cms.ls-nyc.org/matter/dynamic-profile/view/1870510","18-1870510")</f>
        <v>0</v>
      </c>
      <c r="B378" t="s">
        <v>26</v>
      </c>
      <c r="C378" t="s">
        <v>54</v>
      </c>
      <c r="D378" t="s">
        <v>376</v>
      </c>
      <c r="E378" t="s">
        <v>805</v>
      </c>
      <c r="F378" t="s">
        <v>1180</v>
      </c>
      <c r="G378" t="s">
        <v>1296</v>
      </c>
      <c r="H378" t="s">
        <v>1375</v>
      </c>
      <c r="I378" t="s">
        <v>1379</v>
      </c>
      <c r="J378" t="s">
        <v>1383</v>
      </c>
      <c r="K378" t="s">
        <v>1385</v>
      </c>
      <c r="M378" t="s">
        <v>1389</v>
      </c>
      <c r="P378" t="s">
        <v>1400</v>
      </c>
      <c r="Q378">
        <v>0</v>
      </c>
      <c r="R378">
        <v>0</v>
      </c>
      <c r="S378">
        <v>0</v>
      </c>
      <c r="T378">
        <v>0</v>
      </c>
      <c r="U378" t="s">
        <v>1404</v>
      </c>
      <c r="V378" t="s">
        <v>1404</v>
      </c>
      <c r="W378">
        <v>0</v>
      </c>
      <c r="X378">
        <v>0</v>
      </c>
      <c r="Y378">
        <v>0</v>
      </c>
      <c r="Z378">
        <v>0</v>
      </c>
    </row>
    <row r="379" spans="1:26">
      <c r="A379" s="1">
        <f>HYPERLINK("https://cms.ls-nyc.org/matter/dynamic-profile/view/1870645","18-1870645")</f>
        <v>0</v>
      </c>
      <c r="B379" t="s">
        <v>27</v>
      </c>
      <c r="C379" t="s">
        <v>43</v>
      </c>
      <c r="D379" t="s">
        <v>255</v>
      </c>
      <c r="E379" t="s">
        <v>806</v>
      </c>
      <c r="F379" t="s">
        <v>1181</v>
      </c>
      <c r="G379" t="s">
        <v>1305</v>
      </c>
      <c r="H379" t="s">
        <v>1375</v>
      </c>
      <c r="I379" t="s">
        <v>1379</v>
      </c>
      <c r="J379" t="s">
        <v>1383</v>
      </c>
      <c r="K379" t="s">
        <v>1385</v>
      </c>
      <c r="M379" t="s">
        <v>1390</v>
      </c>
      <c r="P379" t="s">
        <v>1398</v>
      </c>
      <c r="Q379">
        <v>0</v>
      </c>
      <c r="R379">
        <v>12672</v>
      </c>
      <c r="S379">
        <v>27444</v>
      </c>
      <c r="T379">
        <v>773</v>
      </c>
      <c r="U379" t="s">
        <v>1406</v>
      </c>
      <c r="V379" t="s">
        <v>1622</v>
      </c>
      <c r="W379">
        <v>27444</v>
      </c>
      <c r="X379">
        <v>773</v>
      </c>
      <c r="Y379">
        <v>0</v>
      </c>
      <c r="Z379">
        <v>12672</v>
      </c>
    </row>
    <row r="380" spans="1:26">
      <c r="A380" s="1">
        <f>HYPERLINK("https://cms.ls-nyc.org/matter/dynamic-profile/view/1870663","18-1870663")</f>
        <v>0</v>
      </c>
      <c r="B380" t="s">
        <v>26</v>
      </c>
      <c r="C380" t="s">
        <v>55</v>
      </c>
      <c r="D380" t="s">
        <v>377</v>
      </c>
      <c r="E380" t="s">
        <v>807</v>
      </c>
      <c r="F380" t="s">
        <v>1182</v>
      </c>
      <c r="G380" t="s">
        <v>1296</v>
      </c>
      <c r="H380" t="s">
        <v>1375</v>
      </c>
      <c r="I380" t="s">
        <v>1379</v>
      </c>
      <c r="J380" t="s">
        <v>1383</v>
      </c>
      <c r="K380" t="s">
        <v>1385</v>
      </c>
      <c r="M380" t="s">
        <v>1389</v>
      </c>
      <c r="P380" t="s">
        <v>1400</v>
      </c>
      <c r="Q380">
        <v>0</v>
      </c>
      <c r="R380">
        <v>0</v>
      </c>
      <c r="S380">
        <v>0</v>
      </c>
      <c r="T380">
        <v>0</v>
      </c>
      <c r="U380" t="s">
        <v>1404</v>
      </c>
      <c r="V380" t="s">
        <v>1404</v>
      </c>
      <c r="W380">
        <v>0</v>
      </c>
      <c r="X380">
        <v>0</v>
      </c>
      <c r="Y380">
        <v>0</v>
      </c>
      <c r="Z380">
        <v>0</v>
      </c>
    </row>
    <row r="381" spans="1:26">
      <c r="A381" s="1">
        <f>HYPERLINK("https://cms.ls-nyc.org/matter/dynamic-profile/view/1870739","18-1870739")</f>
        <v>0</v>
      </c>
      <c r="B381" t="s">
        <v>27</v>
      </c>
      <c r="C381" t="s">
        <v>37</v>
      </c>
      <c r="D381" t="s">
        <v>378</v>
      </c>
      <c r="E381" t="s">
        <v>808</v>
      </c>
      <c r="F381" t="s">
        <v>1176</v>
      </c>
      <c r="G381" t="s">
        <v>1292</v>
      </c>
      <c r="H381" t="s">
        <v>1378</v>
      </c>
      <c r="I381" t="s">
        <v>1378</v>
      </c>
      <c r="J381" t="s">
        <v>1382</v>
      </c>
      <c r="K381" t="s">
        <v>1385</v>
      </c>
      <c r="M381" t="s">
        <v>1389</v>
      </c>
      <c r="P381" t="s">
        <v>1400</v>
      </c>
      <c r="Q381">
        <v>0</v>
      </c>
      <c r="R381">
        <v>0</v>
      </c>
      <c r="S381">
        <v>0</v>
      </c>
      <c r="T381">
        <v>0</v>
      </c>
      <c r="U381" t="s">
        <v>1404</v>
      </c>
      <c r="V381" t="s">
        <v>1404</v>
      </c>
      <c r="W381">
        <v>0</v>
      </c>
      <c r="X381">
        <v>0</v>
      </c>
      <c r="Y381">
        <v>0</v>
      </c>
      <c r="Z381">
        <v>0</v>
      </c>
    </row>
    <row r="382" spans="1:26">
      <c r="A382" s="1">
        <f>HYPERLINK("https://cms.ls-nyc.org/matter/dynamic-profile/view/1870799","18-1870799")</f>
        <v>0</v>
      </c>
      <c r="B382" t="s">
        <v>26</v>
      </c>
      <c r="C382" t="s">
        <v>51</v>
      </c>
      <c r="D382" t="s">
        <v>342</v>
      </c>
      <c r="E382" t="s">
        <v>809</v>
      </c>
      <c r="F382" t="s">
        <v>1183</v>
      </c>
      <c r="G382" t="s">
        <v>1291</v>
      </c>
      <c r="H382" t="s">
        <v>1375</v>
      </c>
      <c r="I382" t="s">
        <v>1379</v>
      </c>
      <c r="J382" t="s">
        <v>1383</v>
      </c>
      <c r="K382" t="s">
        <v>1385</v>
      </c>
      <c r="M382" t="s">
        <v>1390</v>
      </c>
      <c r="P382" t="s">
        <v>1398</v>
      </c>
      <c r="Q382">
        <v>0</v>
      </c>
      <c r="R382">
        <v>0</v>
      </c>
      <c r="S382">
        <v>23261</v>
      </c>
      <c r="T382">
        <v>571</v>
      </c>
      <c r="U382" t="s">
        <v>1472</v>
      </c>
      <c r="V382" t="s">
        <v>1623</v>
      </c>
      <c r="W382">
        <v>19168</v>
      </c>
      <c r="X382">
        <v>571</v>
      </c>
      <c r="Y382">
        <v>0</v>
      </c>
      <c r="Z382">
        <v>4093</v>
      </c>
    </row>
    <row r="383" spans="1:26">
      <c r="A383" s="1">
        <f>HYPERLINK("https://cms.ls-nyc.org/matter/dynamic-profile/view/1870845","18-1870845")</f>
        <v>0</v>
      </c>
      <c r="B383" t="s">
        <v>28</v>
      </c>
      <c r="C383" t="s">
        <v>36</v>
      </c>
      <c r="D383" t="s">
        <v>379</v>
      </c>
      <c r="E383" t="s">
        <v>810</v>
      </c>
      <c r="F383" t="s">
        <v>1183</v>
      </c>
      <c r="G383" t="s">
        <v>1209</v>
      </c>
      <c r="H383" t="s">
        <v>1375</v>
      </c>
      <c r="I383" t="s">
        <v>1379</v>
      </c>
      <c r="J383" t="s">
        <v>1382</v>
      </c>
      <c r="K383" t="s">
        <v>1385</v>
      </c>
      <c r="M383" t="s">
        <v>1389</v>
      </c>
      <c r="P383" t="s">
        <v>1399</v>
      </c>
      <c r="Q383">
        <v>0</v>
      </c>
      <c r="R383">
        <v>0</v>
      </c>
      <c r="S383">
        <v>0</v>
      </c>
      <c r="T383">
        <v>0</v>
      </c>
      <c r="U383" t="s">
        <v>1404</v>
      </c>
      <c r="V383" t="s">
        <v>1404</v>
      </c>
      <c r="W383">
        <v>0</v>
      </c>
      <c r="X383">
        <v>0</v>
      </c>
      <c r="Y383">
        <v>0</v>
      </c>
      <c r="Z383">
        <v>0</v>
      </c>
    </row>
    <row r="384" spans="1:26">
      <c r="A384" s="1">
        <f>HYPERLINK("https://cms.ls-nyc.org/matter/dynamic-profile/view/1870872","18-1870872")</f>
        <v>0</v>
      </c>
      <c r="B384" t="s">
        <v>27</v>
      </c>
      <c r="C384" t="s">
        <v>48</v>
      </c>
      <c r="D384" t="s">
        <v>380</v>
      </c>
      <c r="E384" t="s">
        <v>811</v>
      </c>
      <c r="F384" t="s">
        <v>1184</v>
      </c>
      <c r="G384" t="s">
        <v>1335</v>
      </c>
      <c r="H384" t="s">
        <v>1375</v>
      </c>
      <c r="I384" t="s">
        <v>1378</v>
      </c>
      <c r="J384" t="s">
        <v>1382</v>
      </c>
      <c r="K384" t="s">
        <v>1385</v>
      </c>
      <c r="M384" t="s">
        <v>1389</v>
      </c>
      <c r="P384" t="s">
        <v>1400</v>
      </c>
      <c r="Q384">
        <v>0</v>
      </c>
      <c r="R384">
        <v>0</v>
      </c>
      <c r="S384">
        <v>0</v>
      </c>
      <c r="T384">
        <v>0</v>
      </c>
      <c r="U384" t="s">
        <v>1404</v>
      </c>
      <c r="V384" t="s">
        <v>1404</v>
      </c>
      <c r="W384">
        <v>0</v>
      </c>
      <c r="X384">
        <v>0</v>
      </c>
      <c r="Y384">
        <v>0</v>
      </c>
      <c r="Z384">
        <v>0</v>
      </c>
    </row>
    <row r="385" spans="1:26">
      <c r="A385" s="1">
        <f>HYPERLINK("https://cms.ls-nyc.org/matter/dynamic-profile/view/1870873","18-1870873")</f>
        <v>0</v>
      </c>
      <c r="B385" t="s">
        <v>26</v>
      </c>
      <c r="C385" t="s">
        <v>54</v>
      </c>
      <c r="D385" t="s">
        <v>81</v>
      </c>
      <c r="E385" t="s">
        <v>298</v>
      </c>
      <c r="F385" t="s">
        <v>1184</v>
      </c>
      <c r="G385" t="s">
        <v>1330</v>
      </c>
      <c r="H385" t="s">
        <v>1375</v>
      </c>
      <c r="I385" t="s">
        <v>1379</v>
      </c>
      <c r="J385" t="s">
        <v>1382</v>
      </c>
      <c r="K385" t="s">
        <v>1385</v>
      </c>
      <c r="M385" t="s">
        <v>1391</v>
      </c>
      <c r="P385" t="s">
        <v>1400</v>
      </c>
      <c r="Q385">
        <v>0</v>
      </c>
      <c r="R385">
        <v>0</v>
      </c>
      <c r="S385">
        <v>0</v>
      </c>
      <c r="T385">
        <v>0</v>
      </c>
      <c r="U385" t="s">
        <v>1404</v>
      </c>
      <c r="V385" t="s">
        <v>1404</v>
      </c>
      <c r="W385">
        <v>0</v>
      </c>
      <c r="X385">
        <v>0</v>
      </c>
      <c r="Y385">
        <v>0</v>
      </c>
      <c r="Z385">
        <v>0</v>
      </c>
    </row>
    <row r="386" spans="1:26">
      <c r="A386" s="1">
        <f>HYPERLINK("https://cms.ls-nyc.org/matter/dynamic-profile/view/1870979","18-1870979")</f>
        <v>0</v>
      </c>
      <c r="B386" t="s">
        <v>27</v>
      </c>
      <c r="C386" t="s">
        <v>50</v>
      </c>
      <c r="D386" t="s">
        <v>381</v>
      </c>
      <c r="E386" t="s">
        <v>812</v>
      </c>
      <c r="F386" t="s">
        <v>1182</v>
      </c>
      <c r="G386" t="s">
        <v>1350</v>
      </c>
      <c r="H386" t="s">
        <v>1378</v>
      </c>
      <c r="I386" t="s">
        <v>1378</v>
      </c>
      <c r="J386" t="s">
        <v>1382</v>
      </c>
      <c r="K386" t="s">
        <v>1385</v>
      </c>
      <c r="M386" t="s">
        <v>1389</v>
      </c>
      <c r="P386" t="s">
        <v>1400</v>
      </c>
      <c r="Q386">
        <v>0</v>
      </c>
      <c r="R386">
        <v>0</v>
      </c>
      <c r="S386">
        <v>0</v>
      </c>
      <c r="T386">
        <v>0</v>
      </c>
      <c r="U386" t="s">
        <v>1404</v>
      </c>
      <c r="V386" t="s">
        <v>1404</v>
      </c>
      <c r="W386">
        <v>0</v>
      </c>
      <c r="X386">
        <v>0</v>
      </c>
      <c r="Y386">
        <v>0</v>
      </c>
      <c r="Z386">
        <v>0</v>
      </c>
    </row>
    <row r="387" spans="1:26">
      <c r="A387" s="1">
        <f>HYPERLINK("https://cms.ls-nyc.org/matter/dynamic-profile/view/1871071","18-1871071")</f>
        <v>0</v>
      </c>
      <c r="B387" t="s">
        <v>27</v>
      </c>
      <c r="C387" t="s">
        <v>32</v>
      </c>
      <c r="D387" t="s">
        <v>81</v>
      </c>
      <c r="E387" t="s">
        <v>813</v>
      </c>
      <c r="F387" t="s">
        <v>1182</v>
      </c>
      <c r="G387" t="s">
        <v>1291</v>
      </c>
      <c r="H387" t="s">
        <v>1375</v>
      </c>
      <c r="I387" t="s">
        <v>1379</v>
      </c>
      <c r="J387" t="s">
        <v>1383</v>
      </c>
      <c r="K387" t="s">
        <v>1385</v>
      </c>
      <c r="M387" t="s">
        <v>1390</v>
      </c>
      <c r="P387" t="s">
        <v>1398</v>
      </c>
      <c r="Q387">
        <v>0</v>
      </c>
      <c r="R387">
        <v>0</v>
      </c>
      <c r="S387">
        <v>22869</v>
      </c>
      <c r="T387">
        <v>1089</v>
      </c>
      <c r="U387" t="s">
        <v>1473</v>
      </c>
      <c r="V387" t="s">
        <v>1624</v>
      </c>
      <c r="W387">
        <v>22869</v>
      </c>
      <c r="X387">
        <v>0</v>
      </c>
      <c r="Y387">
        <v>1089</v>
      </c>
      <c r="Z387">
        <v>8442</v>
      </c>
    </row>
    <row r="388" spans="1:26">
      <c r="A388" s="1">
        <f>HYPERLINK("https://cms.ls-nyc.org/matter/dynamic-profile/view/1871079","18-1871079")</f>
        <v>0</v>
      </c>
      <c r="B388" t="s">
        <v>29</v>
      </c>
      <c r="C388" t="s">
        <v>42</v>
      </c>
      <c r="D388" t="s">
        <v>382</v>
      </c>
      <c r="E388" t="s">
        <v>814</v>
      </c>
      <c r="F388" t="s">
        <v>1182</v>
      </c>
      <c r="G388" t="s">
        <v>1241</v>
      </c>
      <c r="H388" t="s">
        <v>1375</v>
      </c>
      <c r="I388" t="s">
        <v>1379</v>
      </c>
      <c r="J388" t="s">
        <v>1382</v>
      </c>
      <c r="K388" t="s">
        <v>1385</v>
      </c>
      <c r="M388" t="s">
        <v>1389</v>
      </c>
      <c r="P388" t="s">
        <v>1400</v>
      </c>
      <c r="Q388">
        <v>0</v>
      </c>
      <c r="R388">
        <v>0</v>
      </c>
      <c r="S388">
        <v>0</v>
      </c>
      <c r="T388">
        <v>0</v>
      </c>
      <c r="U388" t="s">
        <v>1404</v>
      </c>
      <c r="V388" t="s">
        <v>1404</v>
      </c>
      <c r="W388">
        <v>0</v>
      </c>
      <c r="X388">
        <v>0</v>
      </c>
      <c r="Y388">
        <v>0</v>
      </c>
      <c r="Z388">
        <v>0</v>
      </c>
    </row>
    <row r="389" spans="1:26">
      <c r="A389" s="1">
        <f>HYPERLINK("https://cms.ls-nyc.org/matter/dynamic-profile/view/1871169","18-1871169")</f>
        <v>0</v>
      </c>
      <c r="B389" t="s">
        <v>26</v>
      </c>
      <c r="C389" t="s">
        <v>31</v>
      </c>
      <c r="D389" t="s">
        <v>383</v>
      </c>
      <c r="E389" t="s">
        <v>516</v>
      </c>
      <c r="F389" t="s">
        <v>1185</v>
      </c>
      <c r="G389" t="s">
        <v>1351</v>
      </c>
      <c r="H389" t="s">
        <v>1375</v>
      </c>
      <c r="I389" t="s">
        <v>1379</v>
      </c>
      <c r="J389" t="s">
        <v>1382</v>
      </c>
      <c r="K389" t="s">
        <v>1385</v>
      </c>
      <c r="M389" t="s">
        <v>1389</v>
      </c>
      <c r="P389" t="s">
        <v>1400</v>
      </c>
      <c r="Q389">
        <v>0</v>
      </c>
      <c r="R389">
        <v>0</v>
      </c>
      <c r="S389">
        <v>0</v>
      </c>
      <c r="T389">
        <v>0</v>
      </c>
      <c r="U389" t="s">
        <v>1404</v>
      </c>
      <c r="V389" t="s">
        <v>1404</v>
      </c>
      <c r="W389">
        <v>0</v>
      </c>
      <c r="X389">
        <v>0</v>
      </c>
      <c r="Y389">
        <v>0</v>
      </c>
      <c r="Z389">
        <v>0</v>
      </c>
    </row>
    <row r="390" spans="1:26">
      <c r="A390" s="1">
        <f>HYPERLINK("https://cms.ls-nyc.org/matter/dynamic-profile/view/1871362","18-1871362")</f>
        <v>0</v>
      </c>
      <c r="B390" t="s">
        <v>29</v>
      </c>
      <c r="C390" t="s">
        <v>44</v>
      </c>
      <c r="D390" t="s">
        <v>96</v>
      </c>
      <c r="E390" t="s">
        <v>815</v>
      </c>
      <c r="F390" t="s">
        <v>1186</v>
      </c>
      <c r="G390" t="s">
        <v>1263</v>
      </c>
      <c r="H390" t="s">
        <v>1375</v>
      </c>
      <c r="I390" t="s">
        <v>1379</v>
      </c>
      <c r="J390" t="s">
        <v>1383</v>
      </c>
      <c r="K390" t="s">
        <v>1385</v>
      </c>
      <c r="M390" t="s">
        <v>1390</v>
      </c>
      <c r="P390" t="s">
        <v>1398</v>
      </c>
      <c r="Q390">
        <v>0</v>
      </c>
      <c r="R390">
        <v>0</v>
      </c>
      <c r="S390">
        <v>43094.53</v>
      </c>
      <c r="T390">
        <v>954.7</v>
      </c>
      <c r="U390" t="s">
        <v>1474</v>
      </c>
      <c r="V390" t="s">
        <v>1625</v>
      </c>
      <c r="W390">
        <v>38487.6</v>
      </c>
      <c r="X390">
        <v>0</v>
      </c>
      <c r="Y390">
        <v>954.7</v>
      </c>
      <c r="Z390">
        <v>4606.93</v>
      </c>
    </row>
    <row r="391" spans="1:26">
      <c r="A391" s="1">
        <f>HYPERLINK("https://cms.ls-nyc.org/matter/dynamic-profile/view/1871389","18-1871389")</f>
        <v>0</v>
      </c>
      <c r="B391" t="s">
        <v>29</v>
      </c>
      <c r="C391" t="s">
        <v>42</v>
      </c>
      <c r="D391" t="s">
        <v>384</v>
      </c>
      <c r="E391" t="s">
        <v>816</v>
      </c>
      <c r="F391" t="s">
        <v>1186</v>
      </c>
      <c r="G391" t="s">
        <v>1229</v>
      </c>
      <c r="H391" t="s">
        <v>1375</v>
      </c>
      <c r="I391" t="s">
        <v>1379</v>
      </c>
      <c r="J391" t="s">
        <v>1383</v>
      </c>
      <c r="K391" t="s">
        <v>1385</v>
      </c>
      <c r="M391" t="s">
        <v>1389</v>
      </c>
      <c r="P391" t="s">
        <v>1400</v>
      </c>
      <c r="Q391">
        <v>0</v>
      </c>
      <c r="R391">
        <v>0</v>
      </c>
      <c r="S391">
        <v>0</v>
      </c>
      <c r="T391">
        <v>0</v>
      </c>
      <c r="U391" t="s">
        <v>1404</v>
      </c>
      <c r="V391" t="s">
        <v>1404</v>
      </c>
      <c r="W391">
        <v>0</v>
      </c>
      <c r="X391">
        <v>0</v>
      </c>
      <c r="Y391">
        <v>0</v>
      </c>
      <c r="Z391">
        <v>0</v>
      </c>
    </row>
    <row r="392" spans="1:26">
      <c r="A392" s="1">
        <f>HYPERLINK("https://cms.ls-nyc.org/matter/dynamic-profile/view/1871435","18-1871435")</f>
        <v>0</v>
      </c>
      <c r="B392" t="s">
        <v>26</v>
      </c>
      <c r="C392" t="s">
        <v>55</v>
      </c>
      <c r="D392" t="s">
        <v>160</v>
      </c>
      <c r="E392" t="s">
        <v>371</v>
      </c>
      <c r="F392" t="s">
        <v>1186</v>
      </c>
      <c r="G392" t="s">
        <v>1220</v>
      </c>
      <c r="H392" t="s">
        <v>1375</v>
      </c>
      <c r="I392" t="s">
        <v>1379</v>
      </c>
      <c r="J392" t="s">
        <v>1382</v>
      </c>
      <c r="K392" t="s">
        <v>1385</v>
      </c>
      <c r="M392" t="s">
        <v>1389</v>
      </c>
      <c r="P392" t="s">
        <v>1400</v>
      </c>
      <c r="Q392">
        <v>0</v>
      </c>
      <c r="R392">
        <v>0</v>
      </c>
      <c r="S392">
        <v>0</v>
      </c>
      <c r="T392">
        <v>0</v>
      </c>
      <c r="U392" t="s">
        <v>1404</v>
      </c>
      <c r="V392" t="s">
        <v>1404</v>
      </c>
      <c r="W392">
        <v>0</v>
      </c>
      <c r="X392">
        <v>0</v>
      </c>
      <c r="Y392">
        <v>0</v>
      </c>
      <c r="Z392">
        <v>0</v>
      </c>
    </row>
    <row r="393" spans="1:26">
      <c r="A393" s="1">
        <f>HYPERLINK("https://cms.ls-nyc.org/matter/dynamic-profile/view/1871616","18-1871616")</f>
        <v>0</v>
      </c>
      <c r="B393" t="s">
        <v>26</v>
      </c>
      <c r="C393" t="s">
        <v>53</v>
      </c>
      <c r="D393" t="s">
        <v>385</v>
      </c>
      <c r="E393" t="s">
        <v>696</v>
      </c>
      <c r="F393" t="s">
        <v>1187</v>
      </c>
      <c r="G393" t="s">
        <v>1324</v>
      </c>
      <c r="H393" t="s">
        <v>1375</v>
      </c>
      <c r="I393" t="s">
        <v>1379</v>
      </c>
      <c r="J393" t="s">
        <v>1382</v>
      </c>
      <c r="K393" t="s">
        <v>1385</v>
      </c>
      <c r="M393" t="s">
        <v>1390</v>
      </c>
      <c r="P393" t="s">
        <v>1398</v>
      </c>
      <c r="Q393">
        <v>0</v>
      </c>
      <c r="R393">
        <v>0</v>
      </c>
      <c r="S393">
        <v>3539</v>
      </c>
      <c r="T393">
        <v>862</v>
      </c>
      <c r="U393" t="s">
        <v>1475</v>
      </c>
      <c r="V393" t="s">
        <v>1626</v>
      </c>
      <c r="W393">
        <v>3539</v>
      </c>
      <c r="X393">
        <v>0</v>
      </c>
      <c r="Y393">
        <v>862</v>
      </c>
      <c r="Z393">
        <v>0</v>
      </c>
    </row>
    <row r="394" spans="1:26">
      <c r="A394" s="1">
        <f>HYPERLINK("https://cms.ls-nyc.org/matter/dynamic-profile/view/1871656","18-1871656")</f>
        <v>0</v>
      </c>
      <c r="B394" t="s">
        <v>28</v>
      </c>
      <c r="C394" t="s">
        <v>36</v>
      </c>
      <c r="D394" t="s">
        <v>386</v>
      </c>
      <c r="E394" t="s">
        <v>817</v>
      </c>
      <c r="F394" t="s">
        <v>1187</v>
      </c>
      <c r="G394" t="s">
        <v>1195</v>
      </c>
      <c r="H394" t="s">
        <v>1375</v>
      </c>
      <c r="I394" t="s">
        <v>1379</v>
      </c>
      <c r="J394" t="s">
        <v>1382</v>
      </c>
      <c r="K394" t="s">
        <v>1385</v>
      </c>
      <c r="M394" t="s">
        <v>1389</v>
      </c>
      <c r="P394" t="s">
        <v>1400</v>
      </c>
      <c r="Q394">
        <v>0</v>
      </c>
      <c r="R394">
        <v>0</v>
      </c>
      <c r="S394">
        <v>0</v>
      </c>
      <c r="T394">
        <v>0</v>
      </c>
      <c r="U394" t="s">
        <v>1404</v>
      </c>
      <c r="V394" t="s">
        <v>1404</v>
      </c>
      <c r="W394">
        <v>0</v>
      </c>
      <c r="X394">
        <v>0</v>
      </c>
      <c r="Y394">
        <v>0</v>
      </c>
      <c r="Z394">
        <v>0</v>
      </c>
    </row>
    <row r="395" spans="1:26">
      <c r="A395" s="1">
        <f>HYPERLINK("https://cms.ls-nyc.org/matter/dynamic-profile/view/1871857","18-1871857")</f>
        <v>0</v>
      </c>
      <c r="B395" t="s">
        <v>26</v>
      </c>
      <c r="C395" t="s">
        <v>55</v>
      </c>
      <c r="D395" t="s">
        <v>387</v>
      </c>
      <c r="E395" t="s">
        <v>526</v>
      </c>
      <c r="F395" t="s">
        <v>1162</v>
      </c>
      <c r="G395" t="s">
        <v>1225</v>
      </c>
      <c r="H395" t="s">
        <v>1375</v>
      </c>
      <c r="I395" t="s">
        <v>1379</v>
      </c>
      <c r="J395" t="s">
        <v>1383</v>
      </c>
      <c r="K395" t="s">
        <v>1385</v>
      </c>
      <c r="M395" t="s">
        <v>1391</v>
      </c>
      <c r="P395" t="s">
        <v>1400</v>
      </c>
      <c r="Q395">
        <v>0</v>
      </c>
      <c r="R395">
        <v>0</v>
      </c>
      <c r="S395">
        <v>0</v>
      </c>
      <c r="T395">
        <v>0</v>
      </c>
      <c r="U395" t="s">
        <v>1404</v>
      </c>
      <c r="V395" t="s">
        <v>1404</v>
      </c>
      <c r="W395">
        <v>0</v>
      </c>
      <c r="X395">
        <v>0</v>
      </c>
      <c r="Y395">
        <v>0</v>
      </c>
      <c r="Z395">
        <v>0</v>
      </c>
    </row>
    <row r="396" spans="1:26">
      <c r="A396" s="1">
        <f>HYPERLINK("https://cms.ls-nyc.org/matter/dynamic-profile/view/1872087","18-1872087")</f>
        <v>0</v>
      </c>
      <c r="B396" t="s">
        <v>27</v>
      </c>
      <c r="C396" t="s">
        <v>48</v>
      </c>
      <c r="D396" t="s">
        <v>282</v>
      </c>
      <c r="E396" t="s">
        <v>818</v>
      </c>
      <c r="F396" t="s">
        <v>1188</v>
      </c>
      <c r="G396" t="s">
        <v>1200</v>
      </c>
      <c r="H396" t="s">
        <v>1375</v>
      </c>
      <c r="I396" t="s">
        <v>1379</v>
      </c>
      <c r="J396" t="s">
        <v>1382</v>
      </c>
      <c r="K396" t="s">
        <v>1385</v>
      </c>
      <c r="M396" t="s">
        <v>1391</v>
      </c>
      <c r="P396" t="s">
        <v>1400</v>
      </c>
      <c r="Q396">
        <v>0</v>
      </c>
      <c r="R396">
        <v>0</v>
      </c>
      <c r="S396">
        <v>0</v>
      </c>
      <c r="T396">
        <v>0</v>
      </c>
      <c r="U396" t="s">
        <v>1404</v>
      </c>
      <c r="V396" t="s">
        <v>1404</v>
      </c>
      <c r="W396">
        <v>0</v>
      </c>
      <c r="X396">
        <v>0</v>
      </c>
      <c r="Y396">
        <v>0</v>
      </c>
      <c r="Z396">
        <v>0</v>
      </c>
    </row>
    <row r="397" spans="1:26">
      <c r="A397" s="1">
        <f>HYPERLINK("https://cms.ls-nyc.org/matter/dynamic-profile/view/1872144","18-1872144")</f>
        <v>0</v>
      </c>
      <c r="B397" t="s">
        <v>27</v>
      </c>
      <c r="C397" t="s">
        <v>48</v>
      </c>
      <c r="D397" t="s">
        <v>388</v>
      </c>
      <c r="E397" t="s">
        <v>819</v>
      </c>
      <c r="F397" t="s">
        <v>1162</v>
      </c>
      <c r="G397" t="s">
        <v>1189</v>
      </c>
      <c r="H397" t="s">
        <v>1375</v>
      </c>
      <c r="I397" t="s">
        <v>1379</v>
      </c>
      <c r="J397" t="s">
        <v>1382</v>
      </c>
      <c r="K397" t="s">
        <v>1385</v>
      </c>
      <c r="M397" t="s">
        <v>1391</v>
      </c>
      <c r="P397" t="s">
        <v>1400</v>
      </c>
      <c r="Q397">
        <v>0</v>
      </c>
      <c r="R397">
        <v>0</v>
      </c>
      <c r="S397">
        <v>0</v>
      </c>
      <c r="T397">
        <v>0</v>
      </c>
      <c r="U397" t="s">
        <v>1404</v>
      </c>
      <c r="V397" t="s">
        <v>1404</v>
      </c>
      <c r="W397">
        <v>0</v>
      </c>
      <c r="X397">
        <v>0</v>
      </c>
      <c r="Y397">
        <v>0</v>
      </c>
      <c r="Z397">
        <v>0</v>
      </c>
    </row>
    <row r="398" spans="1:26">
      <c r="A398" s="1">
        <f>HYPERLINK("https://cms.ls-nyc.org/matter/dynamic-profile/view/1872302","18-1872302")</f>
        <v>0</v>
      </c>
      <c r="B398" t="s">
        <v>27</v>
      </c>
      <c r="C398" t="s">
        <v>48</v>
      </c>
      <c r="D398" t="s">
        <v>389</v>
      </c>
      <c r="E398" t="s">
        <v>800</v>
      </c>
      <c r="F398" t="s">
        <v>1189</v>
      </c>
      <c r="G398" t="s">
        <v>1303</v>
      </c>
      <c r="H398" t="s">
        <v>1375</v>
      </c>
      <c r="I398" t="s">
        <v>1379</v>
      </c>
      <c r="J398" t="s">
        <v>1382</v>
      </c>
      <c r="K398" t="s">
        <v>1387</v>
      </c>
      <c r="L398" t="s">
        <v>1385</v>
      </c>
      <c r="M398" t="s">
        <v>1389</v>
      </c>
      <c r="P398" t="s">
        <v>1400</v>
      </c>
      <c r="Q398">
        <v>0</v>
      </c>
      <c r="R398">
        <v>0</v>
      </c>
      <c r="S398">
        <v>0</v>
      </c>
      <c r="T398">
        <v>0</v>
      </c>
      <c r="U398" t="s">
        <v>1404</v>
      </c>
      <c r="V398" t="s">
        <v>1404</v>
      </c>
      <c r="W398">
        <v>0</v>
      </c>
      <c r="X398">
        <v>0</v>
      </c>
      <c r="Y398">
        <v>0</v>
      </c>
      <c r="Z398">
        <v>0</v>
      </c>
    </row>
    <row r="399" spans="1:26">
      <c r="A399" s="1">
        <f>HYPERLINK("https://cms.ls-nyc.org/matter/dynamic-profile/view/1872360","18-1872360")</f>
        <v>0</v>
      </c>
      <c r="B399" t="s">
        <v>26</v>
      </c>
      <c r="C399" t="s">
        <v>30</v>
      </c>
      <c r="D399" t="s">
        <v>366</v>
      </c>
      <c r="E399" t="s">
        <v>820</v>
      </c>
      <c r="F399" t="s">
        <v>1189</v>
      </c>
      <c r="G399" t="s">
        <v>1265</v>
      </c>
      <c r="H399" t="s">
        <v>1375</v>
      </c>
      <c r="I399" t="s">
        <v>1379</v>
      </c>
      <c r="J399" t="s">
        <v>1382</v>
      </c>
      <c r="K399" t="s">
        <v>1385</v>
      </c>
      <c r="M399" t="s">
        <v>1390</v>
      </c>
      <c r="P399" t="s">
        <v>1397</v>
      </c>
      <c r="Q399">
        <v>0</v>
      </c>
      <c r="R399">
        <v>0</v>
      </c>
      <c r="S399">
        <v>0</v>
      </c>
      <c r="T399">
        <v>0</v>
      </c>
      <c r="U399" t="s">
        <v>1404</v>
      </c>
      <c r="V399" t="s">
        <v>1404</v>
      </c>
      <c r="W399">
        <v>0</v>
      </c>
      <c r="X399">
        <v>0</v>
      </c>
      <c r="Y399">
        <v>0</v>
      </c>
      <c r="Z399">
        <v>0</v>
      </c>
    </row>
    <row r="400" spans="1:26">
      <c r="A400" s="1">
        <f>HYPERLINK("https://cms.ls-nyc.org/matter/dynamic-profile/view/1872449","18-1872449")</f>
        <v>0</v>
      </c>
      <c r="B400" t="s">
        <v>26</v>
      </c>
      <c r="C400" t="s">
        <v>53</v>
      </c>
      <c r="D400" t="s">
        <v>258</v>
      </c>
      <c r="E400" t="s">
        <v>554</v>
      </c>
      <c r="F400" t="s">
        <v>1190</v>
      </c>
      <c r="G400" t="s">
        <v>1292</v>
      </c>
      <c r="H400" t="s">
        <v>1375</v>
      </c>
      <c r="I400" t="s">
        <v>1379</v>
      </c>
      <c r="J400" t="s">
        <v>1383</v>
      </c>
      <c r="K400" t="s">
        <v>1385</v>
      </c>
      <c r="M400" t="s">
        <v>1390</v>
      </c>
      <c r="P400" t="s">
        <v>1397</v>
      </c>
      <c r="Q400">
        <v>0</v>
      </c>
      <c r="R400">
        <v>0</v>
      </c>
      <c r="S400">
        <v>0</v>
      </c>
      <c r="T400">
        <v>0</v>
      </c>
      <c r="U400" t="s">
        <v>1404</v>
      </c>
      <c r="V400" t="s">
        <v>1404</v>
      </c>
      <c r="W400">
        <v>0</v>
      </c>
      <c r="X400">
        <v>0</v>
      </c>
      <c r="Y400">
        <v>0</v>
      </c>
      <c r="Z400">
        <v>0</v>
      </c>
    </row>
    <row r="401" spans="1:26">
      <c r="A401" s="1">
        <f>HYPERLINK("https://cms.ls-nyc.org/matter/dynamic-profile/view/1872556","18-1872556")</f>
        <v>0</v>
      </c>
      <c r="B401" t="s">
        <v>26</v>
      </c>
      <c r="C401" t="s">
        <v>55</v>
      </c>
      <c r="D401" t="s">
        <v>390</v>
      </c>
      <c r="E401" t="s">
        <v>821</v>
      </c>
      <c r="F401" t="s">
        <v>1190</v>
      </c>
      <c r="G401" t="s">
        <v>1218</v>
      </c>
      <c r="H401" t="s">
        <v>1375</v>
      </c>
      <c r="I401" t="s">
        <v>1379</v>
      </c>
      <c r="J401" t="s">
        <v>1383</v>
      </c>
      <c r="K401" t="s">
        <v>1385</v>
      </c>
      <c r="M401" t="s">
        <v>1391</v>
      </c>
      <c r="P401" t="s">
        <v>1400</v>
      </c>
      <c r="Q401">
        <v>0</v>
      </c>
      <c r="R401">
        <v>0</v>
      </c>
      <c r="S401">
        <v>0</v>
      </c>
      <c r="T401">
        <v>0</v>
      </c>
      <c r="U401" t="s">
        <v>1404</v>
      </c>
      <c r="V401" t="s">
        <v>1404</v>
      </c>
      <c r="W401">
        <v>0</v>
      </c>
      <c r="X401">
        <v>0</v>
      </c>
      <c r="Y401">
        <v>0</v>
      </c>
      <c r="Z401">
        <v>0</v>
      </c>
    </row>
    <row r="402" spans="1:26">
      <c r="A402" s="1">
        <f>HYPERLINK("https://cms.ls-nyc.org/matter/dynamic-profile/view/1872622","18-1872622")</f>
        <v>0</v>
      </c>
      <c r="B402" t="s">
        <v>26</v>
      </c>
      <c r="C402" t="s">
        <v>58</v>
      </c>
      <c r="D402" t="s">
        <v>160</v>
      </c>
      <c r="E402" t="s">
        <v>822</v>
      </c>
      <c r="F402" t="s">
        <v>1191</v>
      </c>
      <c r="G402" t="s">
        <v>1352</v>
      </c>
      <c r="H402" t="s">
        <v>1375</v>
      </c>
      <c r="I402" t="s">
        <v>1379</v>
      </c>
      <c r="J402" t="s">
        <v>1383</v>
      </c>
      <c r="K402" t="s">
        <v>1385</v>
      </c>
      <c r="M402" t="s">
        <v>1390</v>
      </c>
      <c r="P402" t="s">
        <v>1398</v>
      </c>
      <c r="Q402">
        <v>0</v>
      </c>
      <c r="R402">
        <v>0</v>
      </c>
      <c r="S402">
        <v>22943.5</v>
      </c>
      <c r="T402">
        <v>858</v>
      </c>
      <c r="U402" t="s">
        <v>1476</v>
      </c>
      <c r="V402" t="s">
        <v>1627</v>
      </c>
      <c r="W402">
        <v>9794.25</v>
      </c>
      <c r="X402">
        <v>858</v>
      </c>
      <c r="Y402">
        <v>0</v>
      </c>
      <c r="Z402">
        <v>13149.25</v>
      </c>
    </row>
    <row r="403" spans="1:26">
      <c r="A403" s="1">
        <f>HYPERLINK("https://cms.ls-nyc.org/matter/dynamic-profile/view/1872623","18-1872623")</f>
        <v>0</v>
      </c>
      <c r="B403" t="s">
        <v>26</v>
      </c>
      <c r="C403" t="s">
        <v>58</v>
      </c>
      <c r="D403" t="s">
        <v>211</v>
      </c>
      <c r="E403" t="s">
        <v>417</v>
      </c>
      <c r="F403" t="s">
        <v>1191</v>
      </c>
      <c r="G403" t="s">
        <v>1339</v>
      </c>
      <c r="J403" t="s">
        <v>1383</v>
      </c>
      <c r="K403" t="s">
        <v>1385</v>
      </c>
      <c r="M403" t="s">
        <v>1390</v>
      </c>
      <c r="Q403">
        <v>0</v>
      </c>
      <c r="R403">
        <v>0</v>
      </c>
      <c r="S403">
        <v>0</v>
      </c>
      <c r="T403">
        <v>0</v>
      </c>
      <c r="U403" t="s">
        <v>1404</v>
      </c>
      <c r="V403" t="s">
        <v>1404</v>
      </c>
      <c r="W403">
        <v>0</v>
      </c>
      <c r="X403">
        <v>0</v>
      </c>
      <c r="Y403">
        <v>0</v>
      </c>
      <c r="Z403">
        <v>0</v>
      </c>
    </row>
    <row r="404" spans="1:26">
      <c r="A404" s="1">
        <f>HYPERLINK("https://cms.ls-nyc.org/matter/dynamic-profile/view/1872812","18-1872812")</f>
        <v>0</v>
      </c>
      <c r="B404" t="s">
        <v>27</v>
      </c>
      <c r="C404" t="s">
        <v>48</v>
      </c>
      <c r="D404" t="s">
        <v>148</v>
      </c>
      <c r="E404" t="s">
        <v>738</v>
      </c>
      <c r="F404" t="s">
        <v>1192</v>
      </c>
      <c r="G404" t="s">
        <v>1218</v>
      </c>
      <c r="H404" t="s">
        <v>1375</v>
      </c>
      <c r="I404" t="s">
        <v>1379</v>
      </c>
      <c r="J404" t="s">
        <v>1383</v>
      </c>
      <c r="K404" t="s">
        <v>1385</v>
      </c>
      <c r="M404" t="s">
        <v>1391</v>
      </c>
      <c r="P404" t="s">
        <v>1400</v>
      </c>
      <c r="Q404">
        <v>0</v>
      </c>
      <c r="R404">
        <v>0</v>
      </c>
      <c r="S404">
        <v>0</v>
      </c>
      <c r="T404">
        <v>0</v>
      </c>
      <c r="U404" t="s">
        <v>1404</v>
      </c>
      <c r="V404" t="s">
        <v>1404</v>
      </c>
      <c r="W404">
        <v>0</v>
      </c>
      <c r="X404">
        <v>0</v>
      </c>
      <c r="Y404">
        <v>0</v>
      </c>
      <c r="Z404">
        <v>0</v>
      </c>
    </row>
    <row r="405" spans="1:26">
      <c r="A405" s="1">
        <f>HYPERLINK("https://cms.ls-nyc.org/matter/dynamic-profile/view/1873093","18-1873093")</f>
        <v>0</v>
      </c>
      <c r="B405" t="s">
        <v>26</v>
      </c>
      <c r="C405" t="s">
        <v>55</v>
      </c>
      <c r="D405" t="s">
        <v>385</v>
      </c>
      <c r="E405" t="s">
        <v>621</v>
      </c>
      <c r="F405" t="s">
        <v>1193</v>
      </c>
      <c r="G405" t="s">
        <v>1220</v>
      </c>
      <c r="H405" t="s">
        <v>1375</v>
      </c>
      <c r="I405" t="s">
        <v>1379</v>
      </c>
      <c r="J405" t="s">
        <v>1382</v>
      </c>
      <c r="K405" t="s">
        <v>1385</v>
      </c>
      <c r="M405" t="s">
        <v>1391</v>
      </c>
      <c r="P405" t="s">
        <v>1400</v>
      </c>
      <c r="Q405">
        <v>0</v>
      </c>
      <c r="R405">
        <v>0</v>
      </c>
      <c r="S405">
        <v>0</v>
      </c>
      <c r="T405">
        <v>0</v>
      </c>
      <c r="U405" t="s">
        <v>1404</v>
      </c>
      <c r="V405" t="s">
        <v>1404</v>
      </c>
      <c r="W405">
        <v>0</v>
      </c>
      <c r="X405">
        <v>0</v>
      </c>
      <c r="Y405">
        <v>0</v>
      </c>
      <c r="Z405">
        <v>0</v>
      </c>
    </row>
    <row r="406" spans="1:26">
      <c r="A406" s="1">
        <f>HYPERLINK("https://cms.ls-nyc.org/matter/dynamic-profile/view/1873112","18-1873112")</f>
        <v>0</v>
      </c>
      <c r="B406" t="s">
        <v>26</v>
      </c>
      <c r="C406" t="s">
        <v>51</v>
      </c>
      <c r="D406" t="s">
        <v>116</v>
      </c>
      <c r="E406" t="s">
        <v>778</v>
      </c>
      <c r="F406" t="s">
        <v>1193</v>
      </c>
      <c r="G406" t="s">
        <v>1295</v>
      </c>
      <c r="H406" t="s">
        <v>1375</v>
      </c>
      <c r="I406" t="s">
        <v>1379</v>
      </c>
      <c r="J406" t="s">
        <v>1382</v>
      </c>
      <c r="K406" t="s">
        <v>1385</v>
      </c>
      <c r="M406" t="s">
        <v>1390</v>
      </c>
      <c r="P406" t="s">
        <v>1398</v>
      </c>
      <c r="Q406">
        <v>0</v>
      </c>
      <c r="R406">
        <v>0</v>
      </c>
      <c r="S406">
        <v>41000</v>
      </c>
      <c r="T406">
        <v>749</v>
      </c>
      <c r="U406" t="s">
        <v>1477</v>
      </c>
      <c r="V406" t="s">
        <v>1628</v>
      </c>
      <c r="W406">
        <v>41000</v>
      </c>
      <c r="X406">
        <v>0</v>
      </c>
      <c r="Y406">
        <v>749</v>
      </c>
      <c r="Z406">
        <v>0</v>
      </c>
    </row>
    <row r="407" spans="1:26">
      <c r="A407" s="1">
        <f>HYPERLINK("https://cms.ls-nyc.org/matter/dynamic-profile/view/1873188","18-1873188")</f>
        <v>0</v>
      </c>
      <c r="B407" t="s">
        <v>26</v>
      </c>
      <c r="C407" t="s">
        <v>53</v>
      </c>
      <c r="D407" t="s">
        <v>391</v>
      </c>
      <c r="E407" t="s">
        <v>823</v>
      </c>
      <c r="F407" t="s">
        <v>1194</v>
      </c>
      <c r="G407" t="s">
        <v>1324</v>
      </c>
      <c r="H407" t="s">
        <v>1375</v>
      </c>
      <c r="I407" t="s">
        <v>1379</v>
      </c>
      <c r="J407" t="s">
        <v>1382</v>
      </c>
      <c r="K407" t="s">
        <v>1385</v>
      </c>
      <c r="M407" t="s">
        <v>1390</v>
      </c>
      <c r="P407" t="s">
        <v>1398</v>
      </c>
      <c r="Q407">
        <v>0</v>
      </c>
      <c r="R407">
        <v>0</v>
      </c>
      <c r="S407">
        <v>0</v>
      </c>
      <c r="T407">
        <v>794</v>
      </c>
      <c r="U407" t="s">
        <v>1407</v>
      </c>
      <c r="V407" t="s">
        <v>1404</v>
      </c>
      <c r="W407">
        <v>0</v>
      </c>
      <c r="X407">
        <v>794</v>
      </c>
      <c r="Y407">
        <v>0</v>
      </c>
      <c r="Z407">
        <v>0</v>
      </c>
    </row>
    <row r="408" spans="1:26">
      <c r="A408" s="1">
        <f>HYPERLINK("https://cms.ls-nyc.org/matter/dynamic-profile/view/1873225","18-1873225")</f>
        <v>0</v>
      </c>
      <c r="B408" t="s">
        <v>26</v>
      </c>
      <c r="C408" t="s">
        <v>56</v>
      </c>
      <c r="D408" t="s">
        <v>227</v>
      </c>
      <c r="E408" t="s">
        <v>824</v>
      </c>
      <c r="F408" t="s">
        <v>1194</v>
      </c>
      <c r="G408" t="s">
        <v>1218</v>
      </c>
      <c r="H408" t="s">
        <v>1375</v>
      </c>
      <c r="I408" t="s">
        <v>1379</v>
      </c>
      <c r="J408" t="s">
        <v>1383</v>
      </c>
      <c r="K408" t="s">
        <v>1385</v>
      </c>
      <c r="M408" t="s">
        <v>1389</v>
      </c>
      <c r="P408" t="s">
        <v>1400</v>
      </c>
      <c r="Q408">
        <v>0</v>
      </c>
      <c r="R408">
        <v>0</v>
      </c>
      <c r="S408">
        <v>0</v>
      </c>
      <c r="T408">
        <v>0</v>
      </c>
      <c r="U408" t="s">
        <v>1404</v>
      </c>
      <c r="V408" t="s">
        <v>1404</v>
      </c>
      <c r="W408">
        <v>0</v>
      </c>
      <c r="X408">
        <v>0</v>
      </c>
      <c r="Y408">
        <v>0</v>
      </c>
      <c r="Z408">
        <v>0</v>
      </c>
    </row>
    <row r="409" spans="1:26">
      <c r="A409" s="1">
        <f>HYPERLINK("https://cms.ls-nyc.org/matter/dynamic-profile/view/1873308","18-1873308")</f>
        <v>0</v>
      </c>
      <c r="B409" t="s">
        <v>29</v>
      </c>
      <c r="C409" t="s">
        <v>42</v>
      </c>
      <c r="D409" t="s">
        <v>213</v>
      </c>
      <c r="E409" t="s">
        <v>825</v>
      </c>
      <c r="F409" t="s">
        <v>1195</v>
      </c>
      <c r="G409" t="s">
        <v>1353</v>
      </c>
      <c r="H409" t="s">
        <v>1375</v>
      </c>
      <c r="I409" t="s">
        <v>1379</v>
      </c>
      <c r="J409" t="s">
        <v>1383</v>
      </c>
      <c r="K409" t="s">
        <v>1385</v>
      </c>
      <c r="M409" t="s">
        <v>1390</v>
      </c>
      <c r="P409" t="s">
        <v>1398</v>
      </c>
      <c r="Q409">
        <v>0</v>
      </c>
      <c r="R409">
        <v>0</v>
      </c>
      <c r="S409">
        <v>15795</v>
      </c>
      <c r="T409">
        <v>771</v>
      </c>
      <c r="U409" t="s">
        <v>1424</v>
      </c>
      <c r="V409" t="s">
        <v>1629</v>
      </c>
      <c r="W409">
        <v>11017.8</v>
      </c>
      <c r="X409">
        <v>5.4</v>
      </c>
      <c r="Y409">
        <v>765.6</v>
      </c>
      <c r="Z409">
        <v>4777.2</v>
      </c>
    </row>
    <row r="410" spans="1:26">
      <c r="A410" s="1">
        <f>HYPERLINK("https://cms.ls-nyc.org/matter/dynamic-profile/view/1873383","18-1873383")</f>
        <v>0</v>
      </c>
      <c r="B410" t="s">
        <v>28</v>
      </c>
      <c r="C410" t="s">
        <v>57</v>
      </c>
      <c r="D410" t="s">
        <v>147</v>
      </c>
      <c r="E410" t="s">
        <v>769</v>
      </c>
      <c r="F410" t="s">
        <v>1188</v>
      </c>
      <c r="G410" t="s">
        <v>1292</v>
      </c>
      <c r="H410" t="s">
        <v>1378</v>
      </c>
      <c r="I410" t="s">
        <v>1378</v>
      </c>
      <c r="J410" t="s">
        <v>1383</v>
      </c>
      <c r="K410" t="s">
        <v>1385</v>
      </c>
      <c r="M410" t="s">
        <v>1389</v>
      </c>
      <c r="P410" t="s">
        <v>1400</v>
      </c>
      <c r="Q410">
        <v>0</v>
      </c>
      <c r="R410">
        <v>0</v>
      </c>
      <c r="S410">
        <v>0</v>
      </c>
      <c r="T410">
        <v>0</v>
      </c>
      <c r="U410" t="s">
        <v>1404</v>
      </c>
      <c r="V410" t="s">
        <v>1404</v>
      </c>
      <c r="W410">
        <v>0</v>
      </c>
      <c r="X410">
        <v>0</v>
      </c>
      <c r="Y410">
        <v>0</v>
      </c>
      <c r="Z410">
        <v>0</v>
      </c>
    </row>
    <row r="411" spans="1:26">
      <c r="A411" s="1">
        <f>HYPERLINK("https://cms.ls-nyc.org/matter/dynamic-profile/view/1873390","18-1873390")</f>
        <v>0</v>
      </c>
      <c r="B411" t="s">
        <v>27</v>
      </c>
      <c r="C411" t="s">
        <v>43</v>
      </c>
      <c r="D411" t="s">
        <v>101</v>
      </c>
      <c r="E411" t="s">
        <v>546</v>
      </c>
      <c r="F411" t="s">
        <v>1195</v>
      </c>
      <c r="G411" t="s">
        <v>1229</v>
      </c>
      <c r="H411" t="s">
        <v>1375</v>
      </c>
      <c r="I411" t="s">
        <v>1379</v>
      </c>
      <c r="J411" t="s">
        <v>1382</v>
      </c>
      <c r="K411" t="s">
        <v>1385</v>
      </c>
      <c r="M411" t="s">
        <v>1391</v>
      </c>
      <c r="P411" t="s">
        <v>1400</v>
      </c>
      <c r="Q411">
        <v>0</v>
      </c>
      <c r="R411">
        <v>0</v>
      </c>
      <c r="S411">
        <v>0</v>
      </c>
      <c r="T411">
        <v>0</v>
      </c>
      <c r="U411" t="s">
        <v>1404</v>
      </c>
      <c r="V411" t="s">
        <v>1404</v>
      </c>
      <c r="W411">
        <v>0</v>
      </c>
      <c r="X411">
        <v>0</v>
      </c>
      <c r="Y411">
        <v>0</v>
      </c>
      <c r="Z411">
        <v>0</v>
      </c>
    </row>
    <row r="412" spans="1:26">
      <c r="A412" s="1">
        <f>HYPERLINK("https://cms.ls-nyc.org/matter/dynamic-profile/view/1873584","18-1873584")</f>
        <v>0</v>
      </c>
      <c r="B412" t="s">
        <v>26</v>
      </c>
      <c r="C412" t="s">
        <v>58</v>
      </c>
      <c r="D412" t="s">
        <v>160</v>
      </c>
      <c r="E412" t="s">
        <v>826</v>
      </c>
      <c r="F412" t="s">
        <v>1196</v>
      </c>
      <c r="G412" t="s">
        <v>1292</v>
      </c>
      <c r="H412" t="s">
        <v>1375</v>
      </c>
      <c r="I412" t="s">
        <v>1379</v>
      </c>
      <c r="J412" t="s">
        <v>1382</v>
      </c>
      <c r="K412" t="s">
        <v>1385</v>
      </c>
      <c r="M412" t="s">
        <v>1391</v>
      </c>
      <c r="P412" t="s">
        <v>1400</v>
      </c>
      <c r="Q412">
        <v>0</v>
      </c>
      <c r="R412">
        <v>0</v>
      </c>
      <c r="S412">
        <v>0</v>
      </c>
      <c r="T412">
        <v>0</v>
      </c>
      <c r="U412" t="s">
        <v>1404</v>
      </c>
      <c r="V412" t="s">
        <v>1404</v>
      </c>
      <c r="W412">
        <v>0</v>
      </c>
      <c r="X412">
        <v>0</v>
      </c>
      <c r="Y412">
        <v>0</v>
      </c>
      <c r="Z412">
        <v>0</v>
      </c>
    </row>
    <row r="413" spans="1:26">
      <c r="A413" s="1">
        <f>HYPERLINK("https://cms.ls-nyc.org/matter/dynamic-profile/view/1873589","18-1873589")</f>
        <v>0</v>
      </c>
      <c r="B413" t="s">
        <v>26</v>
      </c>
      <c r="C413" t="s">
        <v>54</v>
      </c>
      <c r="D413" t="s">
        <v>136</v>
      </c>
      <c r="E413" t="s">
        <v>827</v>
      </c>
      <c r="F413" t="s">
        <v>1196</v>
      </c>
      <c r="G413" t="s">
        <v>1296</v>
      </c>
      <c r="H413" t="s">
        <v>1375</v>
      </c>
      <c r="I413" t="s">
        <v>1379</v>
      </c>
      <c r="J413" t="s">
        <v>1383</v>
      </c>
      <c r="K413" t="s">
        <v>1385</v>
      </c>
      <c r="M413" t="s">
        <v>1389</v>
      </c>
      <c r="P413" t="s">
        <v>1400</v>
      </c>
      <c r="Q413">
        <v>0</v>
      </c>
      <c r="R413">
        <v>0</v>
      </c>
      <c r="S413">
        <v>0</v>
      </c>
      <c r="T413">
        <v>0</v>
      </c>
      <c r="U413" t="s">
        <v>1404</v>
      </c>
      <c r="V413" t="s">
        <v>1404</v>
      </c>
      <c r="W413">
        <v>0</v>
      </c>
      <c r="X413">
        <v>0</v>
      </c>
      <c r="Y413">
        <v>0</v>
      </c>
      <c r="Z413">
        <v>0</v>
      </c>
    </row>
    <row r="414" spans="1:26">
      <c r="A414" s="1">
        <f>HYPERLINK("https://cms.ls-nyc.org/matter/dynamic-profile/view/1873719","18-1873719")</f>
        <v>0</v>
      </c>
      <c r="B414" t="s">
        <v>26</v>
      </c>
      <c r="C414" t="s">
        <v>53</v>
      </c>
      <c r="D414" t="s">
        <v>392</v>
      </c>
      <c r="E414" t="s">
        <v>828</v>
      </c>
      <c r="F414" t="s">
        <v>1197</v>
      </c>
      <c r="G414" t="s">
        <v>1292</v>
      </c>
      <c r="H414" t="s">
        <v>1375</v>
      </c>
      <c r="I414" t="s">
        <v>1379</v>
      </c>
      <c r="J414" t="s">
        <v>1382</v>
      </c>
      <c r="K414" t="s">
        <v>1385</v>
      </c>
      <c r="M414" t="s">
        <v>1390</v>
      </c>
      <c r="P414" t="s">
        <v>1398</v>
      </c>
      <c r="Q414">
        <v>0</v>
      </c>
      <c r="R414">
        <v>0</v>
      </c>
      <c r="S414">
        <v>20014.72</v>
      </c>
      <c r="T414">
        <v>750</v>
      </c>
      <c r="U414" t="s">
        <v>1424</v>
      </c>
      <c r="V414" t="s">
        <v>1630</v>
      </c>
      <c r="W414">
        <v>6014.72</v>
      </c>
      <c r="X414">
        <v>771</v>
      </c>
      <c r="Y414">
        <v>0</v>
      </c>
      <c r="Z414">
        <v>14000</v>
      </c>
    </row>
    <row r="415" spans="1:26">
      <c r="A415" s="1">
        <f>HYPERLINK("https://cms.ls-nyc.org/matter/dynamic-profile/view/1873942","18-1873942")</f>
        <v>0</v>
      </c>
      <c r="B415" t="s">
        <v>29</v>
      </c>
      <c r="C415" t="s">
        <v>42</v>
      </c>
      <c r="D415" t="s">
        <v>87</v>
      </c>
      <c r="E415" t="s">
        <v>634</v>
      </c>
      <c r="F415" t="s">
        <v>1198</v>
      </c>
      <c r="G415" t="s">
        <v>1229</v>
      </c>
      <c r="H415" t="s">
        <v>1375</v>
      </c>
      <c r="I415" t="s">
        <v>1379</v>
      </c>
      <c r="J415" t="s">
        <v>1383</v>
      </c>
      <c r="K415" t="s">
        <v>1385</v>
      </c>
      <c r="M415" t="s">
        <v>1389</v>
      </c>
      <c r="P415" t="s">
        <v>1400</v>
      </c>
      <c r="Q415">
        <v>0</v>
      </c>
      <c r="R415">
        <v>0</v>
      </c>
      <c r="S415">
        <v>0</v>
      </c>
      <c r="T415">
        <v>0</v>
      </c>
      <c r="U415" t="s">
        <v>1404</v>
      </c>
      <c r="V415" t="s">
        <v>1404</v>
      </c>
      <c r="W415">
        <v>0</v>
      </c>
      <c r="X415">
        <v>0</v>
      </c>
      <c r="Y415">
        <v>0</v>
      </c>
      <c r="Z415">
        <v>0</v>
      </c>
    </row>
    <row r="416" spans="1:26">
      <c r="A416" s="1">
        <f>HYPERLINK("https://cms.ls-nyc.org/matter/dynamic-profile/view/1874044","18-1874044")</f>
        <v>0</v>
      </c>
      <c r="B416" t="s">
        <v>26</v>
      </c>
      <c r="C416" t="s">
        <v>56</v>
      </c>
      <c r="D416" t="s">
        <v>134</v>
      </c>
      <c r="E416" t="s">
        <v>579</v>
      </c>
      <c r="F416" t="s">
        <v>1199</v>
      </c>
      <c r="G416" t="s">
        <v>1296</v>
      </c>
      <c r="H416" t="s">
        <v>1375</v>
      </c>
      <c r="I416" t="s">
        <v>1379</v>
      </c>
      <c r="J416" t="s">
        <v>1383</v>
      </c>
      <c r="K416" t="s">
        <v>1385</v>
      </c>
      <c r="M416" t="s">
        <v>1389</v>
      </c>
      <c r="P416" t="s">
        <v>1400</v>
      </c>
      <c r="Q416">
        <v>0</v>
      </c>
      <c r="R416">
        <v>0</v>
      </c>
      <c r="S416">
        <v>0</v>
      </c>
      <c r="T416">
        <v>0</v>
      </c>
      <c r="U416" t="s">
        <v>1404</v>
      </c>
      <c r="V416" t="s">
        <v>1404</v>
      </c>
      <c r="W416">
        <v>0</v>
      </c>
      <c r="X416">
        <v>0</v>
      </c>
      <c r="Y416">
        <v>0</v>
      </c>
      <c r="Z416">
        <v>0</v>
      </c>
    </row>
    <row r="417" spans="1:26">
      <c r="A417" s="1">
        <f>HYPERLINK("https://cms.ls-nyc.org/matter/dynamic-profile/view/1874082","18-1874082")</f>
        <v>0</v>
      </c>
      <c r="B417" t="s">
        <v>26</v>
      </c>
      <c r="C417" t="s">
        <v>51</v>
      </c>
      <c r="D417" t="s">
        <v>393</v>
      </c>
      <c r="E417" t="s">
        <v>829</v>
      </c>
      <c r="F417" t="s">
        <v>1199</v>
      </c>
      <c r="G417" t="s">
        <v>1260</v>
      </c>
      <c r="H417" t="s">
        <v>1375</v>
      </c>
      <c r="I417" t="s">
        <v>1379</v>
      </c>
      <c r="J417" t="s">
        <v>1383</v>
      </c>
      <c r="K417" t="s">
        <v>1385</v>
      </c>
      <c r="M417" t="s">
        <v>1394</v>
      </c>
      <c r="P417" t="s">
        <v>1399</v>
      </c>
      <c r="Q417">
        <v>0</v>
      </c>
      <c r="R417">
        <v>0</v>
      </c>
      <c r="S417">
        <v>0</v>
      </c>
      <c r="T417">
        <v>0</v>
      </c>
      <c r="U417" t="s">
        <v>1404</v>
      </c>
      <c r="V417" t="s">
        <v>1404</v>
      </c>
      <c r="W417">
        <v>0</v>
      </c>
      <c r="X417">
        <v>0</v>
      </c>
      <c r="Y417">
        <v>0</v>
      </c>
      <c r="Z417">
        <v>0</v>
      </c>
    </row>
    <row r="418" spans="1:26">
      <c r="A418" s="1">
        <f>HYPERLINK("https://cms.ls-nyc.org/matter/dynamic-profile/view/1874300","18-1874300")</f>
        <v>0</v>
      </c>
      <c r="B418" t="s">
        <v>26</v>
      </c>
      <c r="C418" t="s">
        <v>31</v>
      </c>
      <c r="D418" t="s">
        <v>394</v>
      </c>
      <c r="E418" t="s">
        <v>830</v>
      </c>
      <c r="F418" t="s">
        <v>1200</v>
      </c>
      <c r="G418" t="s">
        <v>1245</v>
      </c>
      <c r="H418" t="s">
        <v>1375</v>
      </c>
      <c r="I418" t="s">
        <v>1379</v>
      </c>
      <c r="J418" t="s">
        <v>1382</v>
      </c>
      <c r="K418" t="s">
        <v>1385</v>
      </c>
      <c r="M418" t="s">
        <v>1391</v>
      </c>
      <c r="P418" t="s">
        <v>1400</v>
      </c>
      <c r="Q418">
        <v>0</v>
      </c>
      <c r="R418">
        <v>0</v>
      </c>
      <c r="S418">
        <v>0</v>
      </c>
      <c r="T418">
        <v>0</v>
      </c>
      <c r="U418" t="s">
        <v>1404</v>
      </c>
      <c r="V418" t="s">
        <v>1404</v>
      </c>
      <c r="W418">
        <v>0</v>
      </c>
      <c r="X418">
        <v>0</v>
      </c>
      <c r="Y418">
        <v>0</v>
      </c>
      <c r="Z418">
        <v>0</v>
      </c>
    </row>
    <row r="419" spans="1:26">
      <c r="A419" s="1">
        <f>HYPERLINK("https://cms.ls-nyc.org/matter/dynamic-profile/view/1874411","18-1874411")</f>
        <v>0</v>
      </c>
      <c r="B419" t="s">
        <v>29</v>
      </c>
      <c r="C419" t="s">
        <v>42</v>
      </c>
      <c r="D419" t="s">
        <v>395</v>
      </c>
      <c r="E419" t="s">
        <v>831</v>
      </c>
      <c r="F419" t="s">
        <v>1201</v>
      </c>
      <c r="G419" t="s">
        <v>1354</v>
      </c>
      <c r="H419" t="s">
        <v>1375</v>
      </c>
      <c r="I419" t="s">
        <v>1379</v>
      </c>
      <c r="J419" t="s">
        <v>1383</v>
      </c>
      <c r="K419" t="s">
        <v>1385</v>
      </c>
      <c r="M419" t="s">
        <v>1389</v>
      </c>
      <c r="P419" t="s">
        <v>1400</v>
      </c>
      <c r="Q419">
        <v>0</v>
      </c>
      <c r="R419">
        <v>0</v>
      </c>
      <c r="S419">
        <v>0</v>
      </c>
      <c r="T419">
        <v>0</v>
      </c>
      <c r="U419" t="s">
        <v>1404</v>
      </c>
      <c r="V419" t="s">
        <v>1404</v>
      </c>
      <c r="W419">
        <v>0</v>
      </c>
      <c r="X419">
        <v>0</v>
      </c>
      <c r="Y419">
        <v>0</v>
      </c>
      <c r="Z419">
        <v>0</v>
      </c>
    </row>
    <row r="420" spans="1:26">
      <c r="A420" s="1">
        <f>HYPERLINK("https://cms.ls-nyc.org/matter/dynamic-profile/view/1874490","18-1874490")</f>
        <v>0</v>
      </c>
      <c r="B420" t="s">
        <v>27</v>
      </c>
      <c r="C420" t="s">
        <v>43</v>
      </c>
      <c r="D420" t="s">
        <v>396</v>
      </c>
      <c r="E420" t="s">
        <v>832</v>
      </c>
      <c r="F420" t="s">
        <v>1201</v>
      </c>
      <c r="G420" t="s">
        <v>1267</v>
      </c>
      <c r="H420" t="s">
        <v>1375</v>
      </c>
      <c r="I420" t="s">
        <v>1379</v>
      </c>
      <c r="J420" t="s">
        <v>1383</v>
      </c>
      <c r="K420" t="s">
        <v>1385</v>
      </c>
      <c r="M420" t="s">
        <v>1390</v>
      </c>
      <c r="P420" t="s">
        <v>1398</v>
      </c>
      <c r="Q420">
        <v>0</v>
      </c>
      <c r="R420">
        <v>0</v>
      </c>
      <c r="S420">
        <v>15513</v>
      </c>
      <c r="T420">
        <v>858</v>
      </c>
      <c r="U420" t="s">
        <v>1478</v>
      </c>
      <c r="V420" t="s">
        <v>1631</v>
      </c>
      <c r="W420">
        <v>15513</v>
      </c>
      <c r="X420">
        <v>314</v>
      </c>
      <c r="Y420">
        <v>298</v>
      </c>
      <c r="Z420">
        <v>0</v>
      </c>
    </row>
    <row r="421" spans="1:26">
      <c r="A421" s="1">
        <f>HYPERLINK("https://cms.ls-nyc.org/matter/dynamic-profile/view/1874716","18-1874716")</f>
        <v>0</v>
      </c>
      <c r="B421" t="s">
        <v>29</v>
      </c>
      <c r="C421" t="s">
        <v>40</v>
      </c>
      <c r="D421" t="s">
        <v>397</v>
      </c>
      <c r="E421" t="s">
        <v>833</v>
      </c>
      <c r="F421" t="s">
        <v>1202</v>
      </c>
      <c r="G421" t="s">
        <v>1282</v>
      </c>
      <c r="H421" t="s">
        <v>1375</v>
      </c>
      <c r="I421" t="s">
        <v>1379</v>
      </c>
      <c r="J421" t="s">
        <v>1382</v>
      </c>
      <c r="K421" t="s">
        <v>1385</v>
      </c>
      <c r="L421" t="s">
        <v>1385</v>
      </c>
      <c r="M421" t="s">
        <v>1390</v>
      </c>
      <c r="P421" t="s">
        <v>1398</v>
      </c>
      <c r="Q421">
        <v>0</v>
      </c>
      <c r="R421">
        <v>0</v>
      </c>
      <c r="S421">
        <v>27501</v>
      </c>
      <c r="T421">
        <v>771</v>
      </c>
      <c r="U421" t="s">
        <v>1424</v>
      </c>
      <c r="V421" t="s">
        <v>1632</v>
      </c>
      <c r="W421">
        <v>14477</v>
      </c>
      <c r="X421">
        <v>771</v>
      </c>
      <c r="Y421">
        <v>0</v>
      </c>
      <c r="Z421">
        <v>13024</v>
      </c>
    </row>
    <row r="422" spans="1:26">
      <c r="A422" s="1">
        <f>HYPERLINK("https://cms.ls-nyc.org/matter/dynamic-profile/view/1874785","18-1874785")</f>
        <v>0</v>
      </c>
      <c r="B422" t="s">
        <v>29</v>
      </c>
      <c r="C422" t="s">
        <v>42</v>
      </c>
      <c r="D422" t="s">
        <v>311</v>
      </c>
      <c r="E422" t="s">
        <v>834</v>
      </c>
      <c r="F422" t="s">
        <v>1203</v>
      </c>
      <c r="G422" t="s">
        <v>1355</v>
      </c>
      <c r="H422" t="s">
        <v>1375</v>
      </c>
      <c r="I422" t="s">
        <v>1379</v>
      </c>
      <c r="J422" t="s">
        <v>1383</v>
      </c>
      <c r="K422" t="s">
        <v>1385</v>
      </c>
      <c r="M422" t="s">
        <v>1390</v>
      </c>
      <c r="P422" t="s">
        <v>1398</v>
      </c>
      <c r="Q422">
        <v>0</v>
      </c>
      <c r="R422">
        <v>0</v>
      </c>
      <c r="S422">
        <v>29776</v>
      </c>
      <c r="T422">
        <v>771</v>
      </c>
      <c r="U422" t="s">
        <v>1424</v>
      </c>
      <c r="V422" t="s">
        <v>1633</v>
      </c>
      <c r="W422">
        <v>29776</v>
      </c>
      <c r="X422">
        <v>157.9</v>
      </c>
      <c r="Y422">
        <v>613.1</v>
      </c>
      <c r="Z422">
        <v>0</v>
      </c>
    </row>
    <row r="423" spans="1:26">
      <c r="A423" s="1">
        <f>HYPERLINK("https://cms.ls-nyc.org/matter/dynamic-profile/view/1874796","18-1874796")</f>
        <v>0</v>
      </c>
      <c r="B423" t="s">
        <v>26</v>
      </c>
      <c r="C423" t="s">
        <v>51</v>
      </c>
      <c r="D423" t="s">
        <v>398</v>
      </c>
      <c r="E423" t="s">
        <v>558</v>
      </c>
      <c r="F423" t="s">
        <v>1203</v>
      </c>
      <c r="G423" t="s">
        <v>1269</v>
      </c>
      <c r="H423" t="s">
        <v>1375</v>
      </c>
      <c r="I423" t="s">
        <v>1379</v>
      </c>
      <c r="J423" t="s">
        <v>1383</v>
      </c>
      <c r="K423" t="s">
        <v>1385</v>
      </c>
      <c r="M423" t="s">
        <v>1390</v>
      </c>
      <c r="P423" t="s">
        <v>1398</v>
      </c>
      <c r="Q423">
        <v>0</v>
      </c>
      <c r="R423">
        <v>0</v>
      </c>
      <c r="S423">
        <v>28408</v>
      </c>
      <c r="T423">
        <v>764</v>
      </c>
      <c r="U423" t="s">
        <v>1479</v>
      </c>
      <c r="V423" t="s">
        <v>1634</v>
      </c>
      <c r="W423">
        <v>28543.5</v>
      </c>
      <c r="X423">
        <v>0</v>
      </c>
      <c r="Y423">
        <v>764</v>
      </c>
      <c r="Z423">
        <v>135.5</v>
      </c>
    </row>
    <row r="424" spans="1:26">
      <c r="A424" s="1">
        <f>HYPERLINK("https://cms.ls-nyc.org/matter/dynamic-profile/view/1874937","18-1874937")</f>
        <v>0</v>
      </c>
      <c r="B424" t="s">
        <v>29</v>
      </c>
      <c r="C424" t="s">
        <v>40</v>
      </c>
      <c r="D424" t="s">
        <v>399</v>
      </c>
      <c r="E424" t="s">
        <v>835</v>
      </c>
      <c r="F424" t="s">
        <v>1204</v>
      </c>
      <c r="G424" t="s">
        <v>1282</v>
      </c>
      <c r="H424" t="s">
        <v>1375</v>
      </c>
      <c r="I424" t="s">
        <v>1379</v>
      </c>
      <c r="J424" t="s">
        <v>1383</v>
      </c>
      <c r="K424" t="s">
        <v>1385</v>
      </c>
      <c r="M424" t="s">
        <v>1390</v>
      </c>
      <c r="P424" t="s">
        <v>1398</v>
      </c>
      <c r="Q424">
        <v>0</v>
      </c>
      <c r="R424">
        <v>0</v>
      </c>
      <c r="S424">
        <v>24384</v>
      </c>
      <c r="T424">
        <v>841</v>
      </c>
      <c r="U424" t="s">
        <v>1480</v>
      </c>
      <c r="V424" t="s">
        <v>1635</v>
      </c>
      <c r="W424">
        <v>5465.6</v>
      </c>
      <c r="X424">
        <v>0</v>
      </c>
      <c r="Y424">
        <v>841</v>
      </c>
      <c r="Z424">
        <v>18918.4</v>
      </c>
    </row>
    <row r="425" spans="1:26">
      <c r="A425" s="1">
        <f>HYPERLINK("https://cms.ls-nyc.org/matter/dynamic-profile/view/1875058","18-1875058")</f>
        <v>0</v>
      </c>
      <c r="B425" t="s">
        <v>26</v>
      </c>
      <c r="C425" t="s">
        <v>53</v>
      </c>
      <c r="D425" t="s">
        <v>123</v>
      </c>
      <c r="E425" t="s">
        <v>836</v>
      </c>
      <c r="F425" t="s">
        <v>1205</v>
      </c>
      <c r="G425" t="s">
        <v>1292</v>
      </c>
      <c r="H425" t="s">
        <v>1375</v>
      </c>
      <c r="I425" t="s">
        <v>1379</v>
      </c>
      <c r="J425" t="s">
        <v>1383</v>
      </c>
      <c r="K425" t="s">
        <v>1385</v>
      </c>
      <c r="M425" t="s">
        <v>1390</v>
      </c>
      <c r="P425" t="s">
        <v>1398</v>
      </c>
      <c r="Q425">
        <v>0</v>
      </c>
      <c r="R425">
        <v>0</v>
      </c>
      <c r="S425">
        <v>28423.5</v>
      </c>
      <c r="T425">
        <v>2030</v>
      </c>
      <c r="U425" t="s">
        <v>1481</v>
      </c>
      <c r="V425" t="s">
        <v>1636</v>
      </c>
      <c r="W425">
        <v>28423.5</v>
      </c>
      <c r="X425">
        <v>0</v>
      </c>
      <c r="Y425">
        <v>2030</v>
      </c>
      <c r="Z425">
        <v>0</v>
      </c>
    </row>
    <row r="426" spans="1:26">
      <c r="A426" s="1">
        <f>HYPERLINK("https://cms.ls-nyc.org/matter/dynamic-profile/view/1875066","18-1875066")</f>
        <v>0</v>
      </c>
      <c r="B426" t="s">
        <v>29</v>
      </c>
      <c r="C426" t="s">
        <v>44</v>
      </c>
      <c r="D426" t="s">
        <v>258</v>
      </c>
      <c r="E426" t="s">
        <v>505</v>
      </c>
      <c r="F426" t="s">
        <v>1205</v>
      </c>
      <c r="G426" t="s">
        <v>1356</v>
      </c>
      <c r="H426" t="s">
        <v>1375</v>
      </c>
      <c r="I426" t="s">
        <v>1379</v>
      </c>
      <c r="J426" t="s">
        <v>1383</v>
      </c>
      <c r="K426" t="s">
        <v>1385</v>
      </c>
      <c r="M426" t="s">
        <v>1389</v>
      </c>
      <c r="P426" t="s">
        <v>1400</v>
      </c>
      <c r="Q426">
        <v>0</v>
      </c>
      <c r="R426">
        <v>0</v>
      </c>
      <c r="S426">
        <v>0</v>
      </c>
      <c r="T426">
        <v>0</v>
      </c>
      <c r="U426" t="s">
        <v>1404</v>
      </c>
      <c r="V426" t="s">
        <v>1404</v>
      </c>
      <c r="W426">
        <v>0</v>
      </c>
      <c r="X426">
        <v>0</v>
      </c>
      <c r="Y426">
        <v>0</v>
      </c>
      <c r="Z426">
        <v>0</v>
      </c>
    </row>
    <row r="427" spans="1:26">
      <c r="A427" s="1">
        <f>HYPERLINK("https://cms.ls-nyc.org/matter/dynamic-profile/view/1875129","18-1875129")</f>
        <v>0</v>
      </c>
      <c r="B427" t="s">
        <v>27</v>
      </c>
      <c r="C427" t="s">
        <v>48</v>
      </c>
      <c r="D427" t="s">
        <v>400</v>
      </c>
      <c r="E427" t="s">
        <v>513</v>
      </c>
      <c r="F427" t="s">
        <v>1206</v>
      </c>
      <c r="G427" t="s">
        <v>1218</v>
      </c>
      <c r="H427" t="s">
        <v>1375</v>
      </c>
      <c r="I427" t="s">
        <v>1379</v>
      </c>
      <c r="J427" t="s">
        <v>1382</v>
      </c>
      <c r="K427" t="s">
        <v>1385</v>
      </c>
      <c r="M427" t="s">
        <v>1389</v>
      </c>
      <c r="P427" t="s">
        <v>1400</v>
      </c>
      <c r="Q427">
        <v>0</v>
      </c>
      <c r="R427">
        <v>0</v>
      </c>
      <c r="S427">
        <v>0</v>
      </c>
      <c r="T427">
        <v>0</v>
      </c>
      <c r="U427" t="s">
        <v>1404</v>
      </c>
      <c r="V427" t="s">
        <v>1404</v>
      </c>
      <c r="W427">
        <v>0</v>
      </c>
      <c r="X427">
        <v>0</v>
      </c>
      <c r="Y427">
        <v>0</v>
      </c>
      <c r="Z427">
        <v>0</v>
      </c>
    </row>
    <row r="428" spans="1:26">
      <c r="A428" s="1">
        <f>HYPERLINK("https://cms.ls-nyc.org/matter/dynamic-profile/view/1875130","18-1875130")</f>
        <v>0</v>
      </c>
      <c r="B428" t="s">
        <v>27</v>
      </c>
      <c r="C428" t="s">
        <v>43</v>
      </c>
      <c r="D428" t="s">
        <v>401</v>
      </c>
      <c r="E428" t="s">
        <v>837</v>
      </c>
      <c r="F428" t="s">
        <v>1206</v>
      </c>
      <c r="G428" t="s">
        <v>1248</v>
      </c>
      <c r="H428" t="s">
        <v>1375</v>
      </c>
      <c r="I428" t="s">
        <v>1379</v>
      </c>
      <c r="J428" t="s">
        <v>1383</v>
      </c>
      <c r="K428" t="s">
        <v>1385</v>
      </c>
      <c r="M428" t="s">
        <v>1390</v>
      </c>
      <c r="P428" t="s">
        <v>1398</v>
      </c>
      <c r="Q428">
        <v>0</v>
      </c>
      <c r="R428">
        <v>0</v>
      </c>
      <c r="S428">
        <v>22908</v>
      </c>
      <c r="T428">
        <v>773</v>
      </c>
      <c r="U428" t="s">
        <v>1482</v>
      </c>
      <c r="V428" t="s">
        <v>1637</v>
      </c>
      <c r="W428">
        <v>22908</v>
      </c>
      <c r="X428">
        <v>98</v>
      </c>
      <c r="Y428">
        <v>541</v>
      </c>
      <c r="Z428">
        <v>0</v>
      </c>
    </row>
    <row r="429" spans="1:26">
      <c r="A429" s="1">
        <f>HYPERLINK("https://cms.ls-nyc.org/matter/dynamic-profile/view/1875152","18-1875152")</f>
        <v>0</v>
      </c>
      <c r="B429" t="s">
        <v>27</v>
      </c>
      <c r="C429" t="s">
        <v>50</v>
      </c>
      <c r="D429" t="s">
        <v>402</v>
      </c>
      <c r="E429" t="s">
        <v>838</v>
      </c>
      <c r="F429" t="s">
        <v>1206</v>
      </c>
      <c r="G429" t="s">
        <v>1357</v>
      </c>
      <c r="H429" t="s">
        <v>1375</v>
      </c>
      <c r="I429" t="s">
        <v>1379</v>
      </c>
      <c r="J429" t="s">
        <v>1382</v>
      </c>
      <c r="K429" t="s">
        <v>1385</v>
      </c>
      <c r="M429" t="s">
        <v>1389</v>
      </c>
      <c r="P429" t="s">
        <v>1400</v>
      </c>
      <c r="Q429">
        <v>0</v>
      </c>
      <c r="R429">
        <v>0</v>
      </c>
      <c r="S429">
        <v>0</v>
      </c>
      <c r="T429">
        <v>0</v>
      </c>
      <c r="U429" t="s">
        <v>1404</v>
      </c>
      <c r="V429" t="s">
        <v>1404</v>
      </c>
      <c r="W429">
        <v>0</v>
      </c>
      <c r="X429">
        <v>0</v>
      </c>
      <c r="Y429">
        <v>0</v>
      </c>
      <c r="Z429">
        <v>0</v>
      </c>
    </row>
    <row r="430" spans="1:26">
      <c r="A430" s="1">
        <f>HYPERLINK("https://cms.ls-nyc.org/matter/dynamic-profile/view/1875219","18-1875219")</f>
        <v>0</v>
      </c>
      <c r="B430" t="s">
        <v>27</v>
      </c>
      <c r="C430" t="s">
        <v>33</v>
      </c>
      <c r="D430" t="s">
        <v>403</v>
      </c>
      <c r="E430" t="s">
        <v>839</v>
      </c>
      <c r="F430" t="s">
        <v>1207</v>
      </c>
      <c r="G430" t="s">
        <v>1292</v>
      </c>
      <c r="H430" t="s">
        <v>1375</v>
      </c>
      <c r="I430" t="s">
        <v>1379</v>
      </c>
      <c r="J430" t="s">
        <v>1382</v>
      </c>
      <c r="K430" t="s">
        <v>1385</v>
      </c>
      <c r="M430" t="s">
        <v>1390</v>
      </c>
      <c r="P430" t="s">
        <v>1398</v>
      </c>
      <c r="Q430">
        <v>0</v>
      </c>
      <c r="R430">
        <v>0</v>
      </c>
      <c r="S430">
        <v>14455</v>
      </c>
      <c r="T430">
        <v>785</v>
      </c>
      <c r="U430" t="s">
        <v>1483</v>
      </c>
      <c r="V430" t="s">
        <v>1638</v>
      </c>
      <c r="W430">
        <v>14455.2</v>
      </c>
      <c r="X430">
        <v>0</v>
      </c>
      <c r="Y430">
        <v>785</v>
      </c>
      <c r="Z430">
        <v>0</v>
      </c>
    </row>
    <row r="431" spans="1:26">
      <c r="A431" s="1">
        <f>HYPERLINK("https://cms.ls-nyc.org/matter/dynamic-profile/view/1875229","18-1875229")</f>
        <v>0</v>
      </c>
      <c r="B431" t="s">
        <v>27</v>
      </c>
      <c r="C431" t="s">
        <v>48</v>
      </c>
      <c r="D431" t="s">
        <v>404</v>
      </c>
      <c r="E431" t="s">
        <v>840</v>
      </c>
      <c r="F431" t="s">
        <v>1208</v>
      </c>
      <c r="G431" t="s">
        <v>1303</v>
      </c>
      <c r="H431" t="s">
        <v>1375</v>
      </c>
      <c r="I431" t="s">
        <v>1379</v>
      </c>
      <c r="J431" t="s">
        <v>1382</v>
      </c>
      <c r="K431" t="s">
        <v>1385</v>
      </c>
      <c r="M431" t="s">
        <v>1391</v>
      </c>
      <c r="P431" t="s">
        <v>1400</v>
      </c>
      <c r="Q431">
        <v>0</v>
      </c>
      <c r="R431">
        <v>0</v>
      </c>
      <c r="S431">
        <v>0</v>
      </c>
      <c r="T431">
        <v>0</v>
      </c>
      <c r="U431" t="s">
        <v>1404</v>
      </c>
      <c r="V431" t="s">
        <v>1404</v>
      </c>
      <c r="W431">
        <v>0</v>
      </c>
      <c r="X431">
        <v>0</v>
      </c>
      <c r="Y431">
        <v>0</v>
      </c>
      <c r="Z431">
        <v>0</v>
      </c>
    </row>
    <row r="432" spans="1:26">
      <c r="A432" s="1">
        <f>HYPERLINK("https://cms.ls-nyc.org/matter/dynamic-profile/view/1875256","18-1875256")</f>
        <v>0</v>
      </c>
      <c r="B432" t="s">
        <v>29</v>
      </c>
      <c r="C432" t="s">
        <v>40</v>
      </c>
      <c r="D432" t="s">
        <v>405</v>
      </c>
      <c r="E432" t="s">
        <v>504</v>
      </c>
      <c r="F432" t="s">
        <v>1208</v>
      </c>
      <c r="G432" t="s">
        <v>1292</v>
      </c>
      <c r="H432" t="s">
        <v>1375</v>
      </c>
      <c r="I432" t="s">
        <v>1379</v>
      </c>
      <c r="J432" t="s">
        <v>1383</v>
      </c>
      <c r="K432" t="s">
        <v>1385</v>
      </c>
      <c r="M432" t="s">
        <v>1391</v>
      </c>
      <c r="P432" t="s">
        <v>1400</v>
      </c>
      <c r="Q432">
        <v>0</v>
      </c>
      <c r="R432">
        <v>0</v>
      </c>
      <c r="S432">
        <v>0</v>
      </c>
      <c r="T432">
        <v>0</v>
      </c>
      <c r="U432" t="s">
        <v>1404</v>
      </c>
      <c r="V432" t="s">
        <v>1404</v>
      </c>
      <c r="W432">
        <v>0</v>
      </c>
      <c r="X432">
        <v>0</v>
      </c>
      <c r="Y432">
        <v>0</v>
      </c>
      <c r="Z432">
        <v>0</v>
      </c>
    </row>
    <row r="433" spans="1:26">
      <c r="A433" s="1">
        <f>HYPERLINK("https://cms.ls-nyc.org/matter/dynamic-profile/view/1875323","18-1875323")</f>
        <v>0</v>
      </c>
      <c r="B433" t="s">
        <v>26</v>
      </c>
      <c r="C433" t="s">
        <v>56</v>
      </c>
      <c r="D433" t="s">
        <v>406</v>
      </c>
      <c r="E433" t="s">
        <v>526</v>
      </c>
      <c r="F433" t="s">
        <v>1208</v>
      </c>
      <c r="G433" t="s">
        <v>1358</v>
      </c>
      <c r="H433" t="s">
        <v>1375</v>
      </c>
      <c r="I433" t="s">
        <v>1379</v>
      </c>
      <c r="J433" t="s">
        <v>1382</v>
      </c>
      <c r="K433" t="s">
        <v>1385</v>
      </c>
      <c r="M433" t="s">
        <v>1389</v>
      </c>
      <c r="P433" t="s">
        <v>1400</v>
      </c>
      <c r="Q433">
        <v>0</v>
      </c>
      <c r="R433">
        <v>0</v>
      </c>
      <c r="S433">
        <v>0</v>
      </c>
      <c r="T433">
        <v>0</v>
      </c>
      <c r="U433" t="s">
        <v>1404</v>
      </c>
      <c r="V433" t="s">
        <v>1404</v>
      </c>
      <c r="W433">
        <v>0</v>
      </c>
      <c r="X433">
        <v>0</v>
      </c>
      <c r="Y433">
        <v>0</v>
      </c>
      <c r="Z433">
        <v>0</v>
      </c>
    </row>
    <row r="434" spans="1:26">
      <c r="A434" s="1">
        <f>HYPERLINK("https://cms.ls-nyc.org/matter/dynamic-profile/view/1875447","18-1875447")</f>
        <v>0</v>
      </c>
      <c r="B434" t="s">
        <v>27</v>
      </c>
      <c r="C434" t="s">
        <v>32</v>
      </c>
      <c r="D434" t="s">
        <v>407</v>
      </c>
      <c r="E434" t="s">
        <v>661</v>
      </c>
      <c r="F434" t="s">
        <v>1209</v>
      </c>
      <c r="G434" t="s">
        <v>1281</v>
      </c>
      <c r="H434" t="s">
        <v>1375</v>
      </c>
      <c r="I434" t="s">
        <v>1379</v>
      </c>
      <c r="J434" t="s">
        <v>1383</v>
      </c>
      <c r="K434" t="s">
        <v>1385</v>
      </c>
      <c r="M434" t="s">
        <v>1390</v>
      </c>
      <c r="P434" t="s">
        <v>1398</v>
      </c>
      <c r="Q434">
        <v>0</v>
      </c>
      <c r="R434">
        <v>0</v>
      </c>
      <c r="S434">
        <v>14333</v>
      </c>
      <c r="T434">
        <v>858</v>
      </c>
      <c r="U434" t="s">
        <v>1476</v>
      </c>
      <c r="V434" t="s">
        <v>1639</v>
      </c>
      <c r="W434">
        <v>14333</v>
      </c>
      <c r="X434">
        <v>858</v>
      </c>
      <c r="Y434">
        <v>0</v>
      </c>
      <c r="Z434">
        <v>2509</v>
      </c>
    </row>
    <row r="435" spans="1:26">
      <c r="A435" s="1">
        <f>HYPERLINK("https://cms.ls-nyc.org/matter/dynamic-profile/view/1875459","18-1875459")</f>
        <v>0</v>
      </c>
      <c r="B435" t="s">
        <v>29</v>
      </c>
      <c r="C435" t="s">
        <v>42</v>
      </c>
      <c r="D435" t="s">
        <v>408</v>
      </c>
      <c r="E435" t="s">
        <v>663</v>
      </c>
      <c r="F435" t="s">
        <v>1209</v>
      </c>
      <c r="G435" t="s">
        <v>1250</v>
      </c>
      <c r="H435" t="s">
        <v>1375</v>
      </c>
      <c r="I435" t="s">
        <v>1379</v>
      </c>
      <c r="J435" t="s">
        <v>1382</v>
      </c>
      <c r="K435" t="s">
        <v>1385</v>
      </c>
      <c r="M435" t="s">
        <v>1390</v>
      </c>
      <c r="P435" t="s">
        <v>1398</v>
      </c>
      <c r="Q435">
        <v>0</v>
      </c>
      <c r="R435">
        <v>0</v>
      </c>
      <c r="S435">
        <v>19286</v>
      </c>
      <c r="T435">
        <v>750</v>
      </c>
      <c r="U435" t="s">
        <v>1424</v>
      </c>
      <c r="V435" t="s">
        <v>1549</v>
      </c>
      <c r="W435">
        <v>16342.44</v>
      </c>
      <c r="X435">
        <v>771</v>
      </c>
      <c r="Y435">
        <v>0</v>
      </c>
      <c r="Z435">
        <v>2943.56</v>
      </c>
    </row>
    <row r="436" spans="1:26">
      <c r="A436" s="1">
        <f>HYPERLINK("https://cms.ls-nyc.org/matter/dynamic-profile/view/1875500","18-1875500")</f>
        <v>0</v>
      </c>
      <c r="B436" t="s">
        <v>27</v>
      </c>
      <c r="C436" t="s">
        <v>48</v>
      </c>
      <c r="D436" t="s">
        <v>409</v>
      </c>
      <c r="E436" t="s">
        <v>841</v>
      </c>
      <c r="F436" t="s">
        <v>1209</v>
      </c>
      <c r="G436" t="s">
        <v>1218</v>
      </c>
      <c r="H436" t="s">
        <v>1375</v>
      </c>
      <c r="I436" t="s">
        <v>1379</v>
      </c>
      <c r="J436" t="s">
        <v>1383</v>
      </c>
      <c r="K436" t="s">
        <v>1385</v>
      </c>
      <c r="M436" t="s">
        <v>1389</v>
      </c>
      <c r="P436" t="s">
        <v>1400</v>
      </c>
      <c r="Q436">
        <v>0</v>
      </c>
      <c r="R436">
        <v>0</v>
      </c>
      <c r="S436">
        <v>0</v>
      </c>
      <c r="T436">
        <v>0</v>
      </c>
      <c r="U436" t="s">
        <v>1404</v>
      </c>
      <c r="V436" t="s">
        <v>1404</v>
      </c>
      <c r="W436">
        <v>0</v>
      </c>
      <c r="X436">
        <v>0</v>
      </c>
      <c r="Y436">
        <v>0</v>
      </c>
      <c r="Z436">
        <v>0</v>
      </c>
    </row>
    <row r="437" spans="1:26">
      <c r="A437" s="1">
        <f>HYPERLINK("https://cms.ls-nyc.org/matter/dynamic-profile/view/1875559","18-1875559")</f>
        <v>0</v>
      </c>
      <c r="B437" t="s">
        <v>29</v>
      </c>
      <c r="C437" t="s">
        <v>42</v>
      </c>
      <c r="D437" t="s">
        <v>410</v>
      </c>
      <c r="E437" t="s">
        <v>629</v>
      </c>
      <c r="F437" t="s">
        <v>1210</v>
      </c>
      <c r="G437" t="s">
        <v>1235</v>
      </c>
      <c r="H437" t="s">
        <v>1375</v>
      </c>
      <c r="I437" t="s">
        <v>1379</v>
      </c>
      <c r="J437" t="s">
        <v>1383</v>
      </c>
      <c r="K437" t="s">
        <v>1385</v>
      </c>
      <c r="M437" t="s">
        <v>1389</v>
      </c>
      <c r="P437" t="s">
        <v>1400</v>
      </c>
      <c r="Q437">
        <v>0</v>
      </c>
      <c r="R437">
        <v>0</v>
      </c>
      <c r="S437">
        <v>0</v>
      </c>
      <c r="T437">
        <v>0</v>
      </c>
      <c r="U437" t="s">
        <v>1404</v>
      </c>
      <c r="V437" t="s">
        <v>1404</v>
      </c>
      <c r="W437">
        <v>0</v>
      </c>
      <c r="X437">
        <v>0</v>
      </c>
      <c r="Y437">
        <v>0</v>
      </c>
      <c r="Z437">
        <v>0</v>
      </c>
    </row>
    <row r="438" spans="1:26">
      <c r="A438" s="1">
        <f>HYPERLINK("https://cms.ls-nyc.org/matter/dynamic-profile/view/1875700","18-1875700")</f>
        <v>0</v>
      </c>
      <c r="B438" t="s">
        <v>27</v>
      </c>
      <c r="C438" t="s">
        <v>50</v>
      </c>
      <c r="D438" t="s">
        <v>411</v>
      </c>
      <c r="E438" t="s">
        <v>842</v>
      </c>
      <c r="F438" t="s">
        <v>1211</v>
      </c>
      <c r="G438" t="s">
        <v>1359</v>
      </c>
      <c r="H438" t="s">
        <v>1375</v>
      </c>
      <c r="I438" t="s">
        <v>1379</v>
      </c>
      <c r="J438" t="s">
        <v>1382</v>
      </c>
      <c r="K438" t="s">
        <v>1385</v>
      </c>
      <c r="M438" t="s">
        <v>1391</v>
      </c>
      <c r="P438" t="s">
        <v>1400</v>
      </c>
      <c r="Q438">
        <v>0</v>
      </c>
      <c r="R438">
        <v>0</v>
      </c>
      <c r="S438">
        <v>0</v>
      </c>
      <c r="T438">
        <v>0</v>
      </c>
      <c r="U438" t="s">
        <v>1404</v>
      </c>
      <c r="V438" t="s">
        <v>1404</v>
      </c>
      <c r="W438">
        <v>0</v>
      </c>
      <c r="X438">
        <v>0</v>
      </c>
      <c r="Y438">
        <v>0</v>
      </c>
      <c r="Z438">
        <v>0</v>
      </c>
    </row>
    <row r="439" spans="1:26">
      <c r="A439" s="1">
        <f>HYPERLINK("https://cms.ls-nyc.org/matter/dynamic-profile/view/1875733","18-1875733")</f>
        <v>0</v>
      </c>
      <c r="B439" t="s">
        <v>27</v>
      </c>
      <c r="C439" t="s">
        <v>50</v>
      </c>
      <c r="D439" t="s">
        <v>412</v>
      </c>
      <c r="E439" t="s">
        <v>843</v>
      </c>
      <c r="F439" t="s">
        <v>1211</v>
      </c>
      <c r="G439" t="s">
        <v>1251</v>
      </c>
      <c r="H439" t="s">
        <v>1375</v>
      </c>
      <c r="I439" t="s">
        <v>1379</v>
      </c>
      <c r="J439" t="s">
        <v>1382</v>
      </c>
      <c r="K439" t="s">
        <v>1385</v>
      </c>
      <c r="M439" t="s">
        <v>1389</v>
      </c>
      <c r="P439" t="s">
        <v>1400</v>
      </c>
      <c r="Q439">
        <v>0</v>
      </c>
      <c r="R439">
        <v>0</v>
      </c>
      <c r="S439">
        <v>0</v>
      </c>
      <c r="T439">
        <v>0</v>
      </c>
      <c r="U439" t="s">
        <v>1404</v>
      </c>
      <c r="V439" t="s">
        <v>1404</v>
      </c>
      <c r="W439">
        <v>0</v>
      </c>
      <c r="X439">
        <v>0</v>
      </c>
      <c r="Y439">
        <v>0</v>
      </c>
      <c r="Z439">
        <v>0</v>
      </c>
    </row>
    <row r="440" spans="1:26">
      <c r="A440" s="1">
        <f>HYPERLINK("https://cms.ls-nyc.org/matter/dynamic-profile/view/1875737","18-1875737")</f>
        <v>0</v>
      </c>
      <c r="B440" t="s">
        <v>27</v>
      </c>
      <c r="C440" t="s">
        <v>50</v>
      </c>
      <c r="D440" t="s">
        <v>413</v>
      </c>
      <c r="E440" t="s">
        <v>683</v>
      </c>
      <c r="F440" t="s">
        <v>1211</v>
      </c>
      <c r="G440" t="s">
        <v>1251</v>
      </c>
      <c r="H440" t="s">
        <v>1378</v>
      </c>
      <c r="I440" t="s">
        <v>1380</v>
      </c>
      <c r="J440" t="s">
        <v>1382</v>
      </c>
      <c r="K440" t="s">
        <v>1385</v>
      </c>
      <c r="M440" t="s">
        <v>1389</v>
      </c>
      <c r="P440" t="s">
        <v>1400</v>
      </c>
      <c r="Q440">
        <v>0</v>
      </c>
      <c r="R440">
        <v>0</v>
      </c>
      <c r="S440">
        <v>0</v>
      </c>
      <c r="T440">
        <v>0</v>
      </c>
      <c r="U440" t="s">
        <v>1404</v>
      </c>
      <c r="V440" t="s">
        <v>1404</v>
      </c>
      <c r="W440">
        <v>0</v>
      </c>
      <c r="X440">
        <v>0</v>
      </c>
      <c r="Y440">
        <v>0</v>
      </c>
      <c r="Z440">
        <v>0</v>
      </c>
    </row>
    <row r="441" spans="1:26">
      <c r="A441" s="1">
        <f>HYPERLINK("https://cms.ls-nyc.org/matter/dynamic-profile/view/1875760","18-1875760")</f>
        <v>0</v>
      </c>
      <c r="B441" t="s">
        <v>27</v>
      </c>
      <c r="C441" t="s">
        <v>48</v>
      </c>
      <c r="D441" t="s">
        <v>414</v>
      </c>
      <c r="E441" t="s">
        <v>844</v>
      </c>
      <c r="F441" t="s">
        <v>1211</v>
      </c>
      <c r="G441" t="s">
        <v>1218</v>
      </c>
      <c r="H441" t="s">
        <v>1375</v>
      </c>
      <c r="I441" t="s">
        <v>1379</v>
      </c>
      <c r="J441" t="s">
        <v>1382</v>
      </c>
      <c r="K441" t="s">
        <v>1385</v>
      </c>
      <c r="M441" t="s">
        <v>1389</v>
      </c>
      <c r="P441" t="s">
        <v>1400</v>
      </c>
      <c r="Q441">
        <v>0</v>
      </c>
      <c r="R441">
        <v>0</v>
      </c>
      <c r="S441">
        <v>0</v>
      </c>
      <c r="T441">
        <v>0</v>
      </c>
      <c r="U441" t="s">
        <v>1404</v>
      </c>
      <c r="V441" t="s">
        <v>1404</v>
      </c>
      <c r="W441">
        <v>0</v>
      </c>
      <c r="X441">
        <v>0</v>
      </c>
      <c r="Y441">
        <v>0</v>
      </c>
      <c r="Z441">
        <v>0</v>
      </c>
    </row>
    <row r="442" spans="1:26">
      <c r="A442" s="1">
        <f>HYPERLINK("https://cms.ls-nyc.org/matter/dynamic-profile/view/1875989","18-1875989")</f>
        <v>0</v>
      </c>
      <c r="B442" t="s">
        <v>26</v>
      </c>
      <c r="C442" t="s">
        <v>31</v>
      </c>
      <c r="D442" t="s">
        <v>415</v>
      </c>
      <c r="E442" t="s">
        <v>738</v>
      </c>
      <c r="F442" t="s">
        <v>1212</v>
      </c>
      <c r="G442" t="s">
        <v>1283</v>
      </c>
      <c r="H442" t="s">
        <v>1375</v>
      </c>
      <c r="I442" t="s">
        <v>1379</v>
      </c>
      <c r="J442" t="s">
        <v>1383</v>
      </c>
      <c r="K442" t="s">
        <v>1385</v>
      </c>
      <c r="M442" t="s">
        <v>1390</v>
      </c>
      <c r="P442" t="s">
        <v>1398</v>
      </c>
      <c r="Q442">
        <v>0</v>
      </c>
      <c r="R442">
        <v>0</v>
      </c>
      <c r="S442">
        <v>43753</v>
      </c>
      <c r="T442">
        <v>1306</v>
      </c>
      <c r="U442" t="s">
        <v>1484</v>
      </c>
      <c r="V442" t="s">
        <v>1640</v>
      </c>
      <c r="W442">
        <v>43753</v>
      </c>
      <c r="X442">
        <v>0</v>
      </c>
      <c r="Y442">
        <v>1306</v>
      </c>
      <c r="Z442">
        <v>0</v>
      </c>
    </row>
    <row r="443" spans="1:26">
      <c r="A443" s="1">
        <f>HYPERLINK("https://cms.ls-nyc.org/matter/dynamic-profile/view/1876145","18-1876145")</f>
        <v>0</v>
      </c>
      <c r="B443" t="s">
        <v>27</v>
      </c>
      <c r="C443" t="s">
        <v>48</v>
      </c>
      <c r="D443" t="s">
        <v>416</v>
      </c>
      <c r="E443" t="s">
        <v>845</v>
      </c>
      <c r="F443" t="s">
        <v>1213</v>
      </c>
      <c r="G443" t="s">
        <v>1219</v>
      </c>
      <c r="H443" t="s">
        <v>1375</v>
      </c>
      <c r="I443" t="s">
        <v>1379</v>
      </c>
      <c r="J443" t="s">
        <v>1382</v>
      </c>
      <c r="K443" t="s">
        <v>1385</v>
      </c>
      <c r="M443" t="s">
        <v>1391</v>
      </c>
      <c r="P443" t="s">
        <v>1400</v>
      </c>
      <c r="Q443">
        <v>0</v>
      </c>
      <c r="R443">
        <v>0</v>
      </c>
      <c r="S443">
        <v>0</v>
      </c>
      <c r="T443">
        <v>0</v>
      </c>
      <c r="U443" t="s">
        <v>1404</v>
      </c>
      <c r="V443" t="s">
        <v>1404</v>
      </c>
      <c r="W443">
        <v>0</v>
      </c>
      <c r="X443">
        <v>0</v>
      </c>
      <c r="Y443">
        <v>0</v>
      </c>
      <c r="Z443">
        <v>0</v>
      </c>
    </row>
    <row r="444" spans="1:26">
      <c r="A444" s="1">
        <f>HYPERLINK("https://cms.ls-nyc.org/matter/dynamic-profile/view/1876147","18-1876147")</f>
        <v>0</v>
      </c>
      <c r="B444" t="s">
        <v>29</v>
      </c>
      <c r="C444" t="s">
        <v>44</v>
      </c>
      <c r="D444" t="s">
        <v>417</v>
      </c>
      <c r="E444" t="s">
        <v>846</v>
      </c>
      <c r="F444" t="s">
        <v>1213</v>
      </c>
      <c r="G444" t="s">
        <v>1275</v>
      </c>
      <c r="H444" t="s">
        <v>1375</v>
      </c>
      <c r="I444" t="s">
        <v>1379</v>
      </c>
      <c r="J444" t="s">
        <v>1382</v>
      </c>
      <c r="K444" t="s">
        <v>1385</v>
      </c>
      <c r="M444" t="s">
        <v>1390</v>
      </c>
      <c r="P444" t="s">
        <v>1397</v>
      </c>
      <c r="Q444">
        <v>0</v>
      </c>
      <c r="R444">
        <v>0</v>
      </c>
      <c r="S444">
        <v>0</v>
      </c>
      <c r="T444">
        <v>0</v>
      </c>
      <c r="U444" t="s">
        <v>1404</v>
      </c>
      <c r="V444" t="s">
        <v>1404</v>
      </c>
      <c r="W444">
        <v>0</v>
      </c>
      <c r="X444">
        <v>0</v>
      </c>
      <c r="Y444">
        <v>0</v>
      </c>
      <c r="Z444">
        <v>0</v>
      </c>
    </row>
    <row r="445" spans="1:26">
      <c r="A445" s="1">
        <f>HYPERLINK("https://cms.ls-nyc.org/matter/dynamic-profile/view/1876207","18-1876207")</f>
        <v>0</v>
      </c>
      <c r="B445" t="s">
        <v>27</v>
      </c>
      <c r="C445" t="s">
        <v>48</v>
      </c>
      <c r="D445" t="s">
        <v>418</v>
      </c>
      <c r="E445" t="s">
        <v>847</v>
      </c>
      <c r="F445" t="s">
        <v>1213</v>
      </c>
      <c r="G445" t="s">
        <v>1346</v>
      </c>
      <c r="H445" t="s">
        <v>1375</v>
      </c>
      <c r="I445" t="s">
        <v>1379</v>
      </c>
      <c r="J445" t="s">
        <v>1383</v>
      </c>
      <c r="K445" t="s">
        <v>1385</v>
      </c>
      <c r="M445" t="s">
        <v>1390</v>
      </c>
      <c r="P445" t="s">
        <v>1398</v>
      </c>
      <c r="Q445">
        <v>0</v>
      </c>
      <c r="R445">
        <v>0</v>
      </c>
      <c r="S445">
        <v>25150</v>
      </c>
      <c r="T445">
        <v>693.9</v>
      </c>
      <c r="U445" t="s">
        <v>1485</v>
      </c>
      <c r="V445" t="s">
        <v>1641</v>
      </c>
      <c r="W445">
        <v>25150</v>
      </c>
      <c r="X445">
        <v>693.9</v>
      </c>
      <c r="Y445">
        <v>0</v>
      </c>
      <c r="Z445">
        <v>0</v>
      </c>
    </row>
    <row r="446" spans="1:26">
      <c r="A446" s="1">
        <f>HYPERLINK("https://cms.ls-nyc.org/matter/dynamic-profile/view/1876226","18-1876226")</f>
        <v>0</v>
      </c>
      <c r="B446" t="s">
        <v>27</v>
      </c>
      <c r="C446" t="s">
        <v>48</v>
      </c>
      <c r="D446" t="s">
        <v>419</v>
      </c>
      <c r="E446" t="s">
        <v>848</v>
      </c>
      <c r="F446" t="s">
        <v>1213</v>
      </c>
      <c r="G446" t="s">
        <v>1218</v>
      </c>
      <c r="H446" t="s">
        <v>1375</v>
      </c>
      <c r="I446" t="s">
        <v>1379</v>
      </c>
      <c r="J446" t="s">
        <v>1382</v>
      </c>
      <c r="K446" t="s">
        <v>1385</v>
      </c>
      <c r="M446" t="s">
        <v>1389</v>
      </c>
      <c r="P446" t="s">
        <v>1400</v>
      </c>
      <c r="Q446">
        <v>0</v>
      </c>
      <c r="R446">
        <v>0</v>
      </c>
      <c r="S446">
        <v>0</v>
      </c>
      <c r="T446">
        <v>0</v>
      </c>
      <c r="U446" t="s">
        <v>1404</v>
      </c>
      <c r="V446" t="s">
        <v>1404</v>
      </c>
      <c r="W446">
        <v>0</v>
      </c>
      <c r="X446">
        <v>0</v>
      </c>
      <c r="Y446">
        <v>0</v>
      </c>
      <c r="Z446">
        <v>0</v>
      </c>
    </row>
    <row r="447" spans="1:26">
      <c r="A447" s="1">
        <f>HYPERLINK("https://cms.ls-nyc.org/matter/dynamic-profile/view/1876346","18-1876346")</f>
        <v>0</v>
      </c>
      <c r="B447" t="s">
        <v>29</v>
      </c>
      <c r="C447" t="s">
        <v>42</v>
      </c>
      <c r="D447" t="s">
        <v>420</v>
      </c>
      <c r="E447" t="s">
        <v>849</v>
      </c>
      <c r="F447" t="s">
        <v>1214</v>
      </c>
      <c r="G447" t="s">
        <v>1297</v>
      </c>
      <c r="H447" t="s">
        <v>1375</v>
      </c>
      <c r="I447" t="s">
        <v>1379</v>
      </c>
      <c r="J447" t="s">
        <v>1382</v>
      </c>
      <c r="K447" t="s">
        <v>1385</v>
      </c>
      <c r="M447" t="s">
        <v>1389</v>
      </c>
      <c r="P447" t="s">
        <v>1400</v>
      </c>
      <c r="Q447">
        <v>0</v>
      </c>
      <c r="R447">
        <v>0</v>
      </c>
      <c r="S447">
        <v>0</v>
      </c>
      <c r="T447">
        <v>0</v>
      </c>
      <c r="U447" t="s">
        <v>1404</v>
      </c>
      <c r="V447" t="s">
        <v>1404</v>
      </c>
      <c r="W447">
        <v>0</v>
      </c>
      <c r="X447">
        <v>0</v>
      </c>
      <c r="Y447">
        <v>0</v>
      </c>
      <c r="Z447">
        <v>0</v>
      </c>
    </row>
    <row r="448" spans="1:26">
      <c r="A448" s="1">
        <f>HYPERLINK("https://cms.ls-nyc.org/matter/dynamic-profile/view/1876571","18-1876571")</f>
        <v>0</v>
      </c>
      <c r="B448" t="s">
        <v>27</v>
      </c>
      <c r="C448" t="s">
        <v>43</v>
      </c>
      <c r="D448" t="s">
        <v>258</v>
      </c>
      <c r="E448" t="s">
        <v>710</v>
      </c>
      <c r="F448" t="s">
        <v>1215</v>
      </c>
      <c r="G448" t="s">
        <v>1267</v>
      </c>
      <c r="H448" t="s">
        <v>1375</v>
      </c>
      <c r="I448" t="s">
        <v>1379</v>
      </c>
      <c r="J448" t="s">
        <v>1382</v>
      </c>
      <c r="K448" t="s">
        <v>1385</v>
      </c>
      <c r="M448" t="s">
        <v>1390</v>
      </c>
      <c r="P448" t="s">
        <v>1398</v>
      </c>
      <c r="Q448">
        <v>0</v>
      </c>
      <c r="R448">
        <v>0</v>
      </c>
      <c r="S448">
        <v>40336</v>
      </c>
      <c r="T448">
        <v>794</v>
      </c>
      <c r="U448" t="s">
        <v>1407</v>
      </c>
      <c r="V448" t="s">
        <v>1642</v>
      </c>
      <c r="W448">
        <v>40336</v>
      </c>
      <c r="X448">
        <v>794</v>
      </c>
      <c r="Y448">
        <v>0</v>
      </c>
      <c r="Z448">
        <v>0</v>
      </c>
    </row>
    <row r="449" spans="1:26">
      <c r="A449" s="1">
        <f>HYPERLINK("https://cms.ls-nyc.org/matter/dynamic-profile/view/1876694","18-1876694")</f>
        <v>0</v>
      </c>
      <c r="B449" t="s">
        <v>27</v>
      </c>
      <c r="C449" t="s">
        <v>48</v>
      </c>
      <c r="D449" t="s">
        <v>421</v>
      </c>
      <c r="E449" t="s">
        <v>850</v>
      </c>
      <c r="F449" t="s">
        <v>1215</v>
      </c>
      <c r="G449" t="s">
        <v>1219</v>
      </c>
      <c r="H449" t="s">
        <v>1375</v>
      </c>
      <c r="I449" t="s">
        <v>1379</v>
      </c>
      <c r="J449" t="s">
        <v>1382</v>
      </c>
      <c r="K449" t="s">
        <v>1385</v>
      </c>
      <c r="M449" t="s">
        <v>1389</v>
      </c>
      <c r="P449" t="s">
        <v>1400</v>
      </c>
      <c r="Q449">
        <v>0</v>
      </c>
      <c r="R449">
        <v>0</v>
      </c>
      <c r="S449">
        <v>0</v>
      </c>
      <c r="T449">
        <v>0</v>
      </c>
      <c r="U449" t="s">
        <v>1404</v>
      </c>
      <c r="V449" t="s">
        <v>1404</v>
      </c>
      <c r="W449">
        <v>0</v>
      </c>
      <c r="X449">
        <v>0</v>
      </c>
      <c r="Y449">
        <v>0</v>
      </c>
      <c r="Z449">
        <v>0</v>
      </c>
    </row>
    <row r="450" spans="1:26">
      <c r="A450" s="1">
        <f>HYPERLINK("https://cms.ls-nyc.org/matter/dynamic-profile/view/1876760","18-1876760")</f>
        <v>0</v>
      </c>
      <c r="B450" t="s">
        <v>29</v>
      </c>
      <c r="C450" t="s">
        <v>44</v>
      </c>
      <c r="D450" t="s">
        <v>422</v>
      </c>
      <c r="E450" t="s">
        <v>851</v>
      </c>
      <c r="F450" t="s">
        <v>1216</v>
      </c>
      <c r="G450" t="s">
        <v>1305</v>
      </c>
      <c r="H450" t="s">
        <v>1378</v>
      </c>
      <c r="I450" t="s">
        <v>1379</v>
      </c>
      <c r="J450" t="s">
        <v>1382</v>
      </c>
      <c r="K450" t="s">
        <v>1385</v>
      </c>
      <c r="M450" t="s">
        <v>1389</v>
      </c>
      <c r="P450" t="s">
        <v>1400</v>
      </c>
      <c r="Q450">
        <v>0</v>
      </c>
      <c r="R450">
        <v>0</v>
      </c>
      <c r="S450">
        <v>0</v>
      </c>
      <c r="T450">
        <v>0</v>
      </c>
      <c r="U450" t="s">
        <v>1404</v>
      </c>
      <c r="V450" t="s">
        <v>1404</v>
      </c>
      <c r="W450">
        <v>0</v>
      </c>
      <c r="X450">
        <v>0</v>
      </c>
      <c r="Y450">
        <v>0</v>
      </c>
      <c r="Z450">
        <v>0</v>
      </c>
    </row>
    <row r="451" spans="1:26">
      <c r="A451" s="1">
        <f>HYPERLINK("https://cms.ls-nyc.org/matter/dynamic-profile/view/1876888","18-1876888")</f>
        <v>0</v>
      </c>
      <c r="B451" t="s">
        <v>26</v>
      </c>
      <c r="C451" t="s">
        <v>56</v>
      </c>
      <c r="D451" t="s">
        <v>423</v>
      </c>
      <c r="E451" t="s">
        <v>816</v>
      </c>
      <c r="F451" t="s">
        <v>1216</v>
      </c>
      <c r="G451" t="s">
        <v>1331</v>
      </c>
      <c r="H451" t="s">
        <v>1375</v>
      </c>
      <c r="I451" t="s">
        <v>1379</v>
      </c>
      <c r="J451" t="s">
        <v>1383</v>
      </c>
      <c r="K451" t="s">
        <v>1385</v>
      </c>
      <c r="M451" t="s">
        <v>1389</v>
      </c>
      <c r="P451" t="s">
        <v>1400</v>
      </c>
      <c r="Q451">
        <v>0</v>
      </c>
      <c r="R451">
        <v>0</v>
      </c>
      <c r="S451">
        <v>0</v>
      </c>
      <c r="T451">
        <v>0</v>
      </c>
      <c r="U451" t="s">
        <v>1404</v>
      </c>
      <c r="V451" t="s">
        <v>1404</v>
      </c>
      <c r="W451">
        <v>0</v>
      </c>
      <c r="X451">
        <v>0</v>
      </c>
      <c r="Y451">
        <v>0</v>
      </c>
      <c r="Z451">
        <v>0</v>
      </c>
    </row>
    <row r="452" spans="1:26">
      <c r="A452" s="1">
        <f>HYPERLINK("https://cms.ls-nyc.org/matter/dynamic-profile/view/1876893","18-1876893")</f>
        <v>0</v>
      </c>
      <c r="B452" t="s">
        <v>26</v>
      </c>
      <c r="C452" t="s">
        <v>56</v>
      </c>
      <c r="D452" t="s">
        <v>131</v>
      </c>
      <c r="E452" t="s">
        <v>852</v>
      </c>
      <c r="F452" t="s">
        <v>1216</v>
      </c>
      <c r="G452" t="s">
        <v>1292</v>
      </c>
      <c r="H452" t="s">
        <v>1375</v>
      </c>
      <c r="I452" t="s">
        <v>1379</v>
      </c>
      <c r="J452" t="s">
        <v>1383</v>
      </c>
      <c r="K452" t="s">
        <v>1385</v>
      </c>
      <c r="M452" t="s">
        <v>1389</v>
      </c>
      <c r="P452" t="s">
        <v>1400</v>
      </c>
      <c r="Q452">
        <v>0</v>
      </c>
      <c r="R452">
        <v>0</v>
      </c>
      <c r="S452">
        <v>0</v>
      </c>
      <c r="T452">
        <v>0</v>
      </c>
      <c r="U452" t="s">
        <v>1404</v>
      </c>
      <c r="V452" t="s">
        <v>1404</v>
      </c>
      <c r="W452">
        <v>0</v>
      </c>
      <c r="X452">
        <v>0</v>
      </c>
      <c r="Y452">
        <v>0</v>
      </c>
      <c r="Z452">
        <v>0</v>
      </c>
    </row>
    <row r="453" spans="1:26">
      <c r="A453" s="1">
        <f>HYPERLINK("https://cms.ls-nyc.org/matter/dynamic-profile/view/1877173","18-1877173")</f>
        <v>0</v>
      </c>
      <c r="B453" t="s">
        <v>27</v>
      </c>
      <c r="C453" t="s">
        <v>48</v>
      </c>
      <c r="D453" t="s">
        <v>387</v>
      </c>
      <c r="E453" t="s">
        <v>596</v>
      </c>
      <c r="F453" t="s">
        <v>1217</v>
      </c>
      <c r="G453" t="s">
        <v>1219</v>
      </c>
      <c r="H453" t="s">
        <v>1375</v>
      </c>
      <c r="I453" t="s">
        <v>1379</v>
      </c>
      <c r="J453" t="s">
        <v>1382</v>
      </c>
      <c r="K453" t="s">
        <v>1385</v>
      </c>
      <c r="M453" t="s">
        <v>1391</v>
      </c>
      <c r="P453" t="s">
        <v>1400</v>
      </c>
      <c r="Q453">
        <v>0</v>
      </c>
      <c r="R453">
        <v>0</v>
      </c>
      <c r="S453">
        <v>0</v>
      </c>
      <c r="T453">
        <v>0</v>
      </c>
      <c r="U453" t="s">
        <v>1404</v>
      </c>
      <c r="V453" t="s">
        <v>1404</v>
      </c>
      <c r="W453">
        <v>0</v>
      </c>
      <c r="X453">
        <v>0</v>
      </c>
      <c r="Y453">
        <v>0</v>
      </c>
      <c r="Z453">
        <v>0</v>
      </c>
    </row>
    <row r="454" spans="1:26">
      <c r="A454" s="1">
        <f>HYPERLINK("https://cms.ls-nyc.org/matter/dynamic-profile/view/1877331","18-1877331")</f>
        <v>0</v>
      </c>
      <c r="B454" t="s">
        <v>29</v>
      </c>
      <c r="C454" t="s">
        <v>44</v>
      </c>
      <c r="D454" t="s">
        <v>67</v>
      </c>
      <c r="E454" t="s">
        <v>505</v>
      </c>
      <c r="F454" t="s">
        <v>1218</v>
      </c>
      <c r="G454" t="s">
        <v>1356</v>
      </c>
      <c r="H454" t="s">
        <v>1375</v>
      </c>
      <c r="I454" t="s">
        <v>1379</v>
      </c>
      <c r="J454" t="s">
        <v>1383</v>
      </c>
      <c r="K454" t="s">
        <v>1385</v>
      </c>
      <c r="M454" t="s">
        <v>1389</v>
      </c>
      <c r="P454" t="s">
        <v>1400</v>
      </c>
      <c r="Q454">
        <v>0</v>
      </c>
      <c r="R454">
        <v>0</v>
      </c>
      <c r="S454">
        <v>0</v>
      </c>
      <c r="T454">
        <v>0</v>
      </c>
      <c r="U454" t="s">
        <v>1404</v>
      </c>
      <c r="V454" t="s">
        <v>1404</v>
      </c>
      <c r="W454">
        <v>0</v>
      </c>
      <c r="X454">
        <v>0</v>
      </c>
      <c r="Y454">
        <v>0</v>
      </c>
      <c r="Z454">
        <v>0</v>
      </c>
    </row>
    <row r="455" spans="1:26">
      <c r="A455" s="1">
        <f>HYPERLINK("https://cms.ls-nyc.org/matter/dynamic-profile/view/1877416","18-1877416")</f>
        <v>0</v>
      </c>
      <c r="B455" t="s">
        <v>26</v>
      </c>
      <c r="C455" t="s">
        <v>56</v>
      </c>
      <c r="D455" t="s">
        <v>183</v>
      </c>
      <c r="E455" t="s">
        <v>853</v>
      </c>
      <c r="F455" t="s">
        <v>1219</v>
      </c>
      <c r="G455" t="s">
        <v>1305</v>
      </c>
      <c r="H455" t="s">
        <v>1375</v>
      </c>
      <c r="I455" t="s">
        <v>1379</v>
      </c>
      <c r="J455" t="s">
        <v>1383</v>
      </c>
      <c r="K455" t="s">
        <v>1385</v>
      </c>
      <c r="M455" t="s">
        <v>1389</v>
      </c>
      <c r="P455" t="s">
        <v>1400</v>
      </c>
      <c r="Q455">
        <v>0</v>
      </c>
      <c r="R455">
        <v>0</v>
      </c>
      <c r="S455">
        <v>0</v>
      </c>
      <c r="T455">
        <v>0</v>
      </c>
      <c r="U455" t="s">
        <v>1404</v>
      </c>
      <c r="V455" t="s">
        <v>1404</v>
      </c>
      <c r="W455">
        <v>0</v>
      </c>
      <c r="X455">
        <v>0</v>
      </c>
      <c r="Y455">
        <v>0</v>
      </c>
      <c r="Z455">
        <v>0</v>
      </c>
    </row>
    <row r="456" spans="1:26">
      <c r="A456" s="1">
        <f>HYPERLINK("https://cms.ls-nyc.org/matter/dynamic-profile/view/1877422","18-1877422")</f>
        <v>0</v>
      </c>
      <c r="B456" t="s">
        <v>26</v>
      </c>
      <c r="C456" t="s">
        <v>31</v>
      </c>
      <c r="D456" t="s">
        <v>424</v>
      </c>
      <c r="E456" t="s">
        <v>661</v>
      </c>
      <c r="F456" t="s">
        <v>1218</v>
      </c>
      <c r="G456" t="s">
        <v>1265</v>
      </c>
      <c r="H456" t="s">
        <v>1375</v>
      </c>
      <c r="I456" t="s">
        <v>1379</v>
      </c>
      <c r="J456" t="s">
        <v>1383</v>
      </c>
      <c r="K456" t="s">
        <v>1385</v>
      </c>
      <c r="M456" t="s">
        <v>1389</v>
      </c>
      <c r="P456" t="s">
        <v>1400</v>
      </c>
      <c r="Q456">
        <v>0</v>
      </c>
      <c r="R456">
        <v>0</v>
      </c>
      <c r="S456">
        <v>0</v>
      </c>
      <c r="T456">
        <v>0</v>
      </c>
      <c r="U456" t="s">
        <v>1404</v>
      </c>
      <c r="V456" t="s">
        <v>1404</v>
      </c>
      <c r="W456">
        <v>0</v>
      </c>
      <c r="X456">
        <v>0</v>
      </c>
      <c r="Y456">
        <v>0</v>
      </c>
      <c r="Z456">
        <v>0</v>
      </c>
    </row>
    <row r="457" spans="1:26">
      <c r="A457" s="1">
        <f>HYPERLINK("https://cms.ls-nyc.org/matter/dynamic-profile/view/1877428","18-1877428")</f>
        <v>0</v>
      </c>
      <c r="B457" t="s">
        <v>29</v>
      </c>
      <c r="C457" t="s">
        <v>42</v>
      </c>
      <c r="D457" t="s">
        <v>425</v>
      </c>
      <c r="E457" t="s">
        <v>854</v>
      </c>
      <c r="F457" t="s">
        <v>1218</v>
      </c>
      <c r="G457" t="s">
        <v>1250</v>
      </c>
      <c r="H457" t="s">
        <v>1375</v>
      </c>
      <c r="I457" t="s">
        <v>1379</v>
      </c>
      <c r="J457" t="s">
        <v>1382</v>
      </c>
      <c r="K457" t="s">
        <v>1385</v>
      </c>
      <c r="M457" t="s">
        <v>1390</v>
      </c>
      <c r="P457" t="s">
        <v>1398</v>
      </c>
      <c r="Q457">
        <v>0</v>
      </c>
      <c r="R457">
        <v>0</v>
      </c>
      <c r="S457">
        <v>19324</v>
      </c>
      <c r="T457">
        <v>771</v>
      </c>
      <c r="U457" t="s">
        <v>1408</v>
      </c>
      <c r="V457" t="s">
        <v>1643</v>
      </c>
      <c r="W457">
        <v>9483.84</v>
      </c>
      <c r="X457">
        <v>750</v>
      </c>
      <c r="Y457">
        <v>0</v>
      </c>
      <c r="Z457">
        <v>9840.16</v>
      </c>
    </row>
    <row r="458" spans="1:26">
      <c r="A458" s="1">
        <f>HYPERLINK("https://cms.ls-nyc.org/matter/dynamic-profile/view/1877958","18-1877958")</f>
        <v>0</v>
      </c>
      <c r="B458" t="s">
        <v>27</v>
      </c>
      <c r="C458" t="s">
        <v>38</v>
      </c>
      <c r="D458" t="s">
        <v>426</v>
      </c>
      <c r="E458" t="s">
        <v>855</v>
      </c>
      <c r="F458" t="s">
        <v>1220</v>
      </c>
      <c r="G458" t="s">
        <v>1309</v>
      </c>
      <c r="H458" t="s">
        <v>1375</v>
      </c>
      <c r="I458" t="s">
        <v>1379</v>
      </c>
      <c r="J458" t="s">
        <v>1383</v>
      </c>
      <c r="K458" t="s">
        <v>1385</v>
      </c>
      <c r="M458" t="s">
        <v>1391</v>
      </c>
      <c r="P458" t="s">
        <v>1400</v>
      </c>
      <c r="Q458">
        <v>0</v>
      </c>
      <c r="R458">
        <v>0</v>
      </c>
      <c r="S458">
        <v>0</v>
      </c>
      <c r="T458">
        <v>0</v>
      </c>
      <c r="U458" t="s">
        <v>1404</v>
      </c>
      <c r="V458" t="s">
        <v>1404</v>
      </c>
      <c r="W458">
        <v>0</v>
      </c>
      <c r="X458">
        <v>0</v>
      </c>
      <c r="Y458">
        <v>0</v>
      </c>
      <c r="Z458">
        <v>0</v>
      </c>
    </row>
    <row r="459" spans="1:26">
      <c r="A459" s="1">
        <f>HYPERLINK("https://cms.ls-nyc.org/matter/dynamic-profile/view/1878007","18-1878007")</f>
        <v>0</v>
      </c>
      <c r="B459" t="s">
        <v>29</v>
      </c>
      <c r="C459" t="s">
        <v>42</v>
      </c>
      <c r="D459" t="s">
        <v>427</v>
      </c>
      <c r="E459" t="s">
        <v>669</v>
      </c>
      <c r="F459" t="s">
        <v>1220</v>
      </c>
      <c r="G459" t="s">
        <v>1292</v>
      </c>
      <c r="H459" t="s">
        <v>1375</v>
      </c>
      <c r="I459" t="s">
        <v>1379</v>
      </c>
      <c r="J459" t="s">
        <v>1382</v>
      </c>
      <c r="K459" t="s">
        <v>1385</v>
      </c>
      <c r="M459" t="s">
        <v>1389</v>
      </c>
      <c r="P459" t="s">
        <v>1400</v>
      </c>
      <c r="Q459">
        <v>0</v>
      </c>
      <c r="R459">
        <v>0</v>
      </c>
      <c r="S459">
        <v>0</v>
      </c>
      <c r="T459">
        <v>0</v>
      </c>
      <c r="U459" t="s">
        <v>1404</v>
      </c>
      <c r="V459" t="s">
        <v>1404</v>
      </c>
      <c r="W459">
        <v>0</v>
      </c>
      <c r="X459">
        <v>0</v>
      </c>
      <c r="Y459">
        <v>0</v>
      </c>
      <c r="Z459">
        <v>0</v>
      </c>
    </row>
    <row r="460" spans="1:26">
      <c r="A460" s="1">
        <f>HYPERLINK("https://cms.ls-nyc.org/matter/dynamic-profile/view/1878107","18-1878107")</f>
        <v>0</v>
      </c>
      <c r="B460" t="s">
        <v>29</v>
      </c>
      <c r="C460" t="s">
        <v>42</v>
      </c>
      <c r="D460" t="s">
        <v>138</v>
      </c>
      <c r="E460" t="s">
        <v>595</v>
      </c>
      <c r="F460" t="s">
        <v>1221</v>
      </c>
      <c r="G460" t="s">
        <v>1304</v>
      </c>
      <c r="H460" t="s">
        <v>1375</v>
      </c>
      <c r="I460" t="s">
        <v>1379</v>
      </c>
      <c r="J460" t="s">
        <v>1382</v>
      </c>
      <c r="K460" t="s">
        <v>1385</v>
      </c>
      <c r="M460" t="s">
        <v>1390</v>
      </c>
      <c r="P460" t="s">
        <v>1398</v>
      </c>
      <c r="Q460">
        <v>0</v>
      </c>
      <c r="R460">
        <v>0</v>
      </c>
      <c r="S460">
        <v>12666</v>
      </c>
      <c r="T460">
        <v>771</v>
      </c>
      <c r="U460" t="s">
        <v>1424</v>
      </c>
      <c r="V460" t="s">
        <v>1644</v>
      </c>
      <c r="W460">
        <v>12180.7</v>
      </c>
      <c r="X460">
        <v>771</v>
      </c>
      <c r="Y460">
        <v>0</v>
      </c>
      <c r="Z460">
        <v>485.3</v>
      </c>
    </row>
    <row r="461" spans="1:26">
      <c r="A461" s="1">
        <f>HYPERLINK("https://cms.ls-nyc.org/matter/dynamic-profile/view/1878253","18-1878253")</f>
        <v>0</v>
      </c>
      <c r="B461" t="s">
        <v>26</v>
      </c>
      <c r="C461" t="s">
        <v>31</v>
      </c>
      <c r="D461" t="s">
        <v>428</v>
      </c>
      <c r="E461" t="s">
        <v>856</v>
      </c>
      <c r="F461" t="s">
        <v>1222</v>
      </c>
      <c r="G461" t="s">
        <v>1339</v>
      </c>
      <c r="I461" t="s">
        <v>1380</v>
      </c>
      <c r="J461" t="s">
        <v>1383</v>
      </c>
      <c r="K461" t="s">
        <v>1385</v>
      </c>
      <c r="M461" t="s">
        <v>1390</v>
      </c>
      <c r="P461" t="s">
        <v>1398</v>
      </c>
      <c r="Q461">
        <v>0</v>
      </c>
      <c r="R461">
        <v>0</v>
      </c>
      <c r="S461">
        <v>0</v>
      </c>
      <c r="T461">
        <v>750</v>
      </c>
      <c r="U461" t="s">
        <v>1408</v>
      </c>
      <c r="V461" t="s">
        <v>1404</v>
      </c>
      <c r="W461">
        <v>0</v>
      </c>
      <c r="X461">
        <v>750</v>
      </c>
      <c r="Y461">
        <v>0</v>
      </c>
      <c r="Z461">
        <v>0</v>
      </c>
    </row>
    <row r="462" spans="1:26">
      <c r="A462" s="1">
        <f>HYPERLINK("https://cms.ls-nyc.org/matter/dynamic-profile/view/1878260","18-1878260")</f>
        <v>0</v>
      </c>
      <c r="B462" t="s">
        <v>29</v>
      </c>
      <c r="C462" t="s">
        <v>44</v>
      </c>
      <c r="D462" t="s">
        <v>429</v>
      </c>
      <c r="E462" t="s">
        <v>556</v>
      </c>
      <c r="F462" t="s">
        <v>1222</v>
      </c>
      <c r="G462" t="s">
        <v>1293</v>
      </c>
      <c r="H462" t="s">
        <v>1378</v>
      </c>
      <c r="I462" t="s">
        <v>1379</v>
      </c>
      <c r="J462" t="s">
        <v>1383</v>
      </c>
      <c r="K462" t="s">
        <v>1385</v>
      </c>
      <c r="M462" t="s">
        <v>1389</v>
      </c>
      <c r="P462" t="s">
        <v>1400</v>
      </c>
      <c r="Q462">
        <v>0</v>
      </c>
      <c r="R462">
        <v>0</v>
      </c>
      <c r="S462">
        <v>0</v>
      </c>
      <c r="T462">
        <v>0</v>
      </c>
      <c r="U462" t="s">
        <v>1404</v>
      </c>
      <c r="V462" t="s">
        <v>1404</v>
      </c>
      <c r="W462">
        <v>0</v>
      </c>
      <c r="X462">
        <v>0</v>
      </c>
      <c r="Y462">
        <v>0</v>
      </c>
      <c r="Z462">
        <v>0</v>
      </c>
    </row>
    <row r="463" spans="1:26">
      <c r="A463" s="1">
        <f>HYPERLINK("https://cms.ls-nyc.org/matter/dynamic-profile/view/1878354","18-1878354")</f>
        <v>0</v>
      </c>
      <c r="B463" t="s">
        <v>29</v>
      </c>
      <c r="C463" t="s">
        <v>44</v>
      </c>
      <c r="D463" t="s">
        <v>430</v>
      </c>
      <c r="E463" t="s">
        <v>526</v>
      </c>
      <c r="F463" t="s">
        <v>1223</v>
      </c>
      <c r="G463" t="s">
        <v>1231</v>
      </c>
      <c r="H463" t="s">
        <v>1375</v>
      </c>
      <c r="I463" t="s">
        <v>1379</v>
      </c>
      <c r="J463" t="s">
        <v>1383</v>
      </c>
      <c r="K463" t="s">
        <v>1385</v>
      </c>
      <c r="M463" t="s">
        <v>1389</v>
      </c>
      <c r="P463" t="s">
        <v>1400</v>
      </c>
      <c r="Q463">
        <v>0</v>
      </c>
      <c r="R463">
        <v>0</v>
      </c>
      <c r="S463">
        <v>0</v>
      </c>
      <c r="T463">
        <v>0</v>
      </c>
      <c r="U463" t="s">
        <v>1404</v>
      </c>
      <c r="V463" t="s">
        <v>1404</v>
      </c>
      <c r="W463">
        <v>0</v>
      </c>
      <c r="X463">
        <v>0</v>
      </c>
      <c r="Y463">
        <v>0</v>
      </c>
      <c r="Z463">
        <v>0</v>
      </c>
    </row>
    <row r="464" spans="1:26">
      <c r="A464" s="1">
        <f>HYPERLINK("https://cms.ls-nyc.org/matter/dynamic-profile/view/1878419","18-1878419")</f>
        <v>0</v>
      </c>
      <c r="B464" t="s">
        <v>27</v>
      </c>
      <c r="C464" t="s">
        <v>32</v>
      </c>
      <c r="D464" t="s">
        <v>431</v>
      </c>
      <c r="E464" t="s">
        <v>857</v>
      </c>
      <c r="F464" t="s">
        <v>1223</v>
      </c>
      <c r="G464" t="s">
        <v>1260</v>
      </c>
      <c r="H464" t="s">
        <v>1378</v>
      </c>
      <c r="I464" t="s">
        <v>1379</v>
      </c>
      <c r="J464" t="s">
        <v>1382</v>
      </c>
      <c r="K464" t="s">
        <v>1385</v>
      </c>
      <c r="L464" t="s">
        <v>1388</v>
      </c>
      <c r="M464" t="s">
        <v>1391</v>
      </c>
      <c r="P464" t="s">
        <v>1400</v>
      </c>
      <c r="Q464">
        <v>0</v>
      </c>
      <c r="R464">
        <v>0</v>
      </c>
      <c r="S464">
        <v>0</v>
      </c>
      <c r="T464">
        <v>0</v>
      </c>
      <c r="U464" t="s">
        <v>1404</v>
      </c>
      <c r="V464" t="s">
        <v>1404</v>
      </c>
      <c r="W464">
        <v>0</v>
      </c>
      <c r="X464">
        <v>0</v>
      </c>
      <c r="Y464">
        <v>0</v>
      </c>
      <c r="Z464">
        <v>0</v>
      </c>
    </row>
    <row r="465" spans="1:26">
      <c r="A465" s="1">
        <f>HYPERLINK("https://cms.ls-nyc.org/matter/dynamic-profile/view/1878437","18-1878437")</f>
        <v>0</v>
      </c>
      <c r="B465" t="s">
        <v>28</v>
      </c>
      <c r="C465" t="s">
        <v>36</v>
      </c>
      <c r="D465" t="s">
        <v>432</v>
      </c>
      <c r="E465" t="s">
        <v>521</v>
      </c>
      <c r="F465" t="s">
        <v>1224</v>
      </c>
      <c r="G465" t="s">
        <v>1230</v>
      </c>
      <c r="H465" t="s">
        <v>1375</v>
      </c>
      <c r="I465" t="s">
        <v>1379</v>
      </c>
      <c r="J465" t="s">
        <v>1382</v>
      </c>
      <c r="K465" t="s">
        <v>1385</v>
      </c>
      <c r="M465" t="s">
        <v>1389</v>
      </c>
      <c r="P465" t="s">
        <v>1399</v>
      </c>
      <c r="Q465">
        <v>0</v>
      </c>
      <c r="R465">
        <v>0</v>
      </c>
      <c r="S465">
        <v>0</v>
      </c>
      <c r="T465">
        <v>0</v>
      </c>
      <c r="U465" t="s">
        <v>1404</v>
      </c>
      <c r="V465" t="s">
        <v>1404</v>
      </c>
      <c r="W465">
        <v>0</v>
      </c>
      <c r="X465">
        <v>0</v>
      </c>
      <c r="Y465">
        <v>0</v>
      </c>
      <c r="Z465">
        <v>0</v>
      </c>
    </row>
    <row r="466" spans="1:26">
      <c r="A466" s="1">
        <f>HYPERLINK("https://cms.ls-nyc.org/matter/dynamic-profile/view/1878504","18-1878504")</f>
        <v>0</v>
      </c>
      <c r="B466" t="s">
        <v>27</v>
      </c>
      <c r="C466" t="s">
        <v>48</v>
      </c>
      <c r="D466" t="s">
        <v>147</v>
      </c>
      <c r="E466" t="s">
        <v>858</v>
      </c>
      <c r="F466" t="s">
        <v>1224</v>
      </c>
      <c r="G466" t="s">
        <v>1303</v>
      </c>
      <c r="H466" t="s">
        <v>1375</v>
      </c>
      <c r="I466" t="s">
        <v>1379</v>
      </c>
      <c r="J466" t="s">
        <v>1383</v>
      </c>
      <c r="K466" t="s">
        <v>1385</v>
      </c>
      <c r="M466" t="s">
        <v>1391</v>
      </c>
      <c r="P466" t="s">
        <v>1400</v>
      </c>
      <c r="Q466">
        <v>0</v>
      </c>
      <c r="R466">
        <v>0</v>
      </c>
      <c r="S466">
        <v>0</v>
      </c>
      <c r="T466">
        <v>0</v>
      </c>
      <c r="U466" t="s">
        <v>1404</v>
      </c>
      <c r="V466" t="s">
        <v>1404</v>
      </c>
      <c r="W466">
        <v>0</v>
      </c>
      <c r="X466">
        <v>0</v>
      </c>
      <c r="Y466">
        <v>0</v>
      </c>
      <c r="Z466">
        <v>0</v>
      </c>
    </row>
    <row r="467" spans="1:26">
      <c r="A467" s="1">
        <f>HYPERLINK("https://cms.ls-nyc.org/matter/dynamic-profile/view/1878618","18-1878618")</f>
        <v>0</v>
      </c>
      <c r="B467" t="s">
        <v>26</v>
      </c>
      <c r="C467" t="s">
        <v>56</v>
      </c>
      <c r="D467" t="s">
        <v>433</v>
      </c>
      <c r="E467" t="s">
        <v>521</v>
      </c>
      <c r="F467" t="s">
        <v>1225</v>
      </c>
      <c r="G467" t="s">
        <v>1253</v>
      </c>
      <c r="H467" t="s">
        <v>1375</v>
      </c>
      <c r="I467" t="s">
        <v>1379</v>
      </c>
      <c r="J467" t="s">
        <v>1383</v>
      </c>
      <c r="K467" t="s">
        <v>1385</v>
      </c>
      <c r="M467" t="s">
        <v>1391</v>
      </c>
      <c r="P467" t="s">
        <v>1400</v>
      </c>
      <c r="Q467">
        <v>0</v>
      </c>
      <c r="R467">
        <v>0</v>
      </c>
      <c r="S467">
        <v>0</v>
      </c>
      <c r="T467">
        <v>0</v>
      </c>
      <c r="U467" t="s">
        <v>1404</v>
      </c>
      <c r="V467" t="s">
        <v>1404</v>
      </c>
      <c r="W467">
        <v>0</v>
      </c>
      <c r="X467">
        <v>0</v>
      </c>
      <c r="Y467">
        <v>0</v>
      </c>
      <c r="Z467">
        <v>0</v>
      </c>
    </row>
    <row r="468" spans="1:26">
      <c r="A468" s="1">
        <f>HYPERLINK("https://cms.ls-nyc.org/matter/dynamic-profile/view/1879070","18-1879070")</f>
        <v>0</v>
      </c>
      <c r="B468" t="s">
        <v>27</v>
      </c>
      <c r="C468" t="s">
        <v>48</v>
      </c>
      <c r="D468" t="s">
        <v>434</v>
      </c>
      <c r="E468" t="s">
        <v>859</v>
      </c>
      <c r="F468" t="s">
        <v>1219</v>
      </c>
      <c r="G468" t="s">
        <v>1309</v>
      </c>
      <c r="H468" t="s">
        <v>1375</v>
      </c>
      <c r="I468" t="s">
        <v>1379</v>
      </c>
      <c r="J468" t="s">
        <v>1383</v>
      </c>
      <c r="K468" t="s">
        <v>1385</v>
      </c>
      <c r="M468" t="s">
        <v>1389</v>
      </c>
      <c r="P468" t="s">
        <v>1400</v>
      </c>
      <c r="Q468">
        <v>0</v>
      </c>
      <c r="R468">
        <v>0</v>
      </c>
      <c r="S468">
        <v>0</v>
      </c>
      <c r="T468">
        <v>0</v>
      </c>
      <c r="U468" t="s">
        <v>1404</v>
      </c>
      <c r="V468" t="s">
        <v>1404</v>
      </c>
      <c r="W468">
        <v>0</v>
      </c>
      <c r="X468">
        <v>0</v>
      </c>
      <c r="Y468">
        <v>0</v>
      </c>
      <c r="Z468">
        <v>0</v>
      </c>
    </row>
    <row r="469" spans="1:26">
      <c r="A469" s="1">
        <f>HYPERLINK("https://cms.ls-nyc.org/matter/dynamic-profile/view/1879100","18-1879100")</f>
        <v>0</v>
      </c>
      <c r="B469" t="s">
        <v>27</v>
      </c>
      <c r="C469" t="s">
        <v>48</v>
      </c>
      <c r="D469" t="s">
        <v>435</v>
      </c>
      <c r="E469" t="s">
        <v>669</v>
      </c>
      <c r="F469" t="s">
        <v>1219</v>
      </c>
      <c r="G469" t="s">
        <v>1360</v>
      </c>
      <c r="H469" t="s">
        <v>1375</v>
      </c>
      <c r="I469" t="s">
        <v>1379</v>
      </c>
      <c r="J469" t="s">
        <v>1382</v>
      </c>
      <c r="K469" t="s">
        <v>1385</v>
      </c>
      <c r="M469" t="s">
        <v>1391</v>
      </c>
      <c r="P469" t="s">
        <v>1400</v>
      </c>
      <c r="Q469">
        <v>0</v>
      </c>
      <c r="R469">
        <v>0</v>
      </c>
      <c r="S469">
        <v>0</v>
      </c>
      <c r="T469">
        <v>0</v>
      </c>
      <c r="U469" t="s">
        <v>1404</v>
      </c>
      <c r="V469" t="s">
        <v>1404</v>
      </c>
      <c r="W469">
        <v>0</v>
      </c>
      <c r="X469">
        <v>0</v>
      </c>
      <c r="Y469">
        <v>0</v>
      </c>
      <c r="Z469">
        <v>0</v>
      </c>
    </row>
    <row r="470" spans="1:26">
      <c r="A470" s="1">
        <f>HYPERLINK("https://cms.ls-nyc.org/matter/dynamic-profile/view/1879200","18-1879200")</f>
        <v>0</v>
      </c>
      <c r="B470" t="s">
        <v>26</v>
      </c>
      <c r="C470" t="s">
        <v>53</v>
      </c>
      <c r="D470" t="s">
        <v>436</v>
      </c>
      <c r="E470" t="s">
        <v>860</v>
      </c>
      <c r="F470" t="s">
        <v>1226</v>
      </c>
      <c r="G470" t="s">
        <v>1336</v>
      </c>
      <c r="H470" t="s">
        <v>1375</v>
      </c>
      <c r="I470" t="s">
        <v>1379</v>
      </c>
      <c r="J470" t="s">
        <v>1383</v>
      </c>
      <c r="K470" t="s">
        <v>1385</v>
      </c>
      <c r="M470" t="s">
        <v>1390</v>
      </c>
      <c r="P470" t="s">
        <v>1398</v>
      </c>
      <c r="Q470">
        <v>0</v>
      </c>
      <c r="R470">
        <v>0</v>
      </c>
      <c r="S470">
        <v>0</v>
      </c>
      <c r="T470">
        <v>794</v>
      </c>
      <c r="U470" t="s">
        <v>1407</v>
      </c>
      <c r="V470" t="s">
        <v>1404</v>
      </c>
      <c r="W470">
        <v>0</v>
      </c>
      <c r="X470">
        <v>794</v>
      </c>
      <c r="Y470">
        <v>0</v>
      </c>
      <c r="Z470">
        <v>0</v>
      </c>
    </row>
    <row r="471" spans="1:26">
      <c r="A471" s="1">
        <f>HYPERLINK("https://cms.ls-nyc.org/matter/dynamic-profile/view/1879369","18-1879369")</f>
        <v>0</v>
      </c>
      <c r="B471" t="s">
        <v>29</v>
      </c>
      <c r="C471" t="s">
        <v>40</v>
      </c>
      <c r="D471" t="s">
        <v>437</v>
      </c>
      <c r="E471" t="s">
        <v>669</v>
      </c>
      <c r="F471" t="s">
        <v>1227</v>
      </c>
      <c r="G471" t="s">
        <v>1282</v>
      </c>
      <c r="H471" t="s">
        <v>1377</v>
      </c>
      <c r="I471" t="s">
        <v>1379</v>
      </c>
      <c r="J471" t="s">
        <v>1383</v>
      </c>
      <c r="K471" t="s">
        <v>1385</v>
      </c>
      <c r="M471" t="s">
        <v>1390</v>
      </c>
      <c r="P471" t="s">
        <v>1398</v>
      </c>
      <c r="Q471">
        <v>0</v>
      </c>
      <c r="R471">
        <v>0</v>
      </c>
      <c r="S471">
        <v>49765.7</v>
      </c>
      <c r="T471">
        <v>1570</v>
      </c>
      <c r="U471" t="s">
        <v>1486</v>
      </c>
      <c r="V471" t="s">
        <v>1645</v>
      </c>
      <c r="W471">
        <v>49765.7</v>
      </c>
      <c r="X471">
        <v>0</v>
      </c>
      <c r="Y471">
        <v>1570</v>
      </c>
      <c r="Z471">
        <v>0</v>
      </c>
    </row>
    <row r="472" spans="1:26">
      <c r="A472" s="1">
        <f>HYPERLINK("https://cms.ls-nyc.org/matter/dynamic-profile/view/1879411","18-1879411")</f>
        <v>0</v>
      </c>
      <c r="B472" t="s">
        <v>26</v>
      </c>
      <c r="C472" t="s">
        <v>56</v>
      </c>
      <c r="D472" t="s">
        <v>438</v>
      </c>
      <c r="E472" t="s">
        <v>861</v>
      </c>
      <c r="F472" t="s">
        <v>1227</v>
      </c>
      <c r="G472" t="s">
        <v>1229</v>
      </c>
      <c r="H472" t="s">
        <v>1377</v>
      </c>
      <c r="I472" t="s">
        <v>1380</v>
      </c>
      <c r="J472" t="s">
        <v>1383</v>
      </c>
      <c r="K472" t="s">
        <v>1385</v>
      </c>
      <c r="M472" t="s">
        <v>1389</v>
      </c>
      <c r="P472" t="s">
        <v>1400</v>
      </c>
      <c r="Q472">
        <v>0</v>
      </c>
      <c r="R472">
        <v>0</v>
      </c>
      <c r="S472">
        <v>0</v>
      </c>
      <c r="T472">
        <v>0</v>
      </c>
      <c r="U472" t="s">
        <v>1404</v>
      </c>
      <c r="V472" t="s">
        <v>1404</v>
      </c>
      <c r="W472">
        <v>0</v>
      </c>
      <c r="X472">
        <v>0</v>
      </c>
      <c r="Y472">
        <v>0</v>
      </c>
      <c r="Z472">
        <v>0</v>
      </c>
    </row>
    <row r="473" spans="1:26">
      <c r="A473" s="1">
        <f>HYPERLINK("https://cms.ls-nyc.org/matter/dynamic-profile/view/1880058","18-1880058")</f>
        <v>0</v>
      </c>
      <c r="B473" t="s">
        <v>29</v>
      </c>
      <c r="C473" t="s">
        <v>44</v>
      </c>
      <c r="D473" t="s">
        <v>439</v>
      </c>
      <c r="E473" t="s">
        <v>862</v>
      </c>
      <c r="F473" t="s">
        <v>1228</v>
      </c>
      <c r="G473" t="s">
        <v>1361</v>
      </c>
      <c r="H473" t="s">
        <v>1375</v>
      </c>
      <c r="I473" t="s">
        <v>1379</v>
      </c>
      <c r="J473" t="s">
        <v>1382</v>
      </c>
      <c r="K473" t="s">
        <v>1385</v>
      </c>
      <c r="M473" t="s">
        <v>1390</v>
      </c>
      <c r="P473" t="s">
        <v>1398</v>
      </c>
      <c r="Q473">
        <v>0</v>
      </c>
      <c r="R473">
        <v>0</v>
      </c>
      <c r="S473">
        <v>14129</v>
      </c>
      <c r="T473">
        <v>727</v>
      </c>
      <c r="U473" t="s">
        <v>1487</v>
      </c>
      <c r="V473" t="s">
        <v>1646</v>
      </c>
      <c r="W473">
        <v>14129</v>
      </c>
      <c r="X473">
        <v>157.25</v>
      </c>
      <c r="Y473">
        <v>593</v>
      </c>
      <c r="Z473">
        <v>0</v>
      </c>
    </row>
    <row r="474" spans="1:26">
      <c r="A474" s="1">
        <f>HYPERLINK("https://cms.ls-nyc.org/matter/dynamic-profile/view/1880077","18-1880077")</f>
        <v>0</v>
      </c>
      <c r="B474" t="s">
        <v>26</v>
      </c>
      <c r="C474" t="s">
        <v>51</v>
      </c>
      <c r="D474" t="s">
        <v>440</v>
      </c>
      <c r="E474" t="s">
        <v>863</v>
      </c>
      <c r="F474" t="s">
        <v>1228</v>
      </c>
      <c r="G474" t="s">
        <v>1272</v>
      </c>
      <c r="H474" t="s">
        <v>1375</v>
      </c>
      <c r="I474" t="s">
        <v>1379</v>
      </c>
      <c r="J474" t="s">
        <v>1382</v>
      </c>
      <c r="K474" t="s">
        <v>1385</v>
      </c>
      <c r="M474" t="s">
        <v>1390</v>
      </c>
      <c r="P474" t="s">
        <v>1398</v>
      </c>
      <c r="Q474">
        <v>0</v>
      </c>
      <c r="R474">
        <v>0</v>
      </c>
      <c r="S474">
        <v>18401</v>
      </c>
      <c r="T474">
        <v>690</v>
      </c>
      <c r="U474" t="s">
        <v>1488</v>
      </c>
      <c r="V474" t="s">
        <v>1647</v>
      </c>
      <c r="W474">
        <v>15401</v>
      </c>
      <c r="X474">
        <v>0</v>
      </c>
      <c r="Y474">
        <v>690</v>
      </c>
      <c r="Z474">
        <v>3000</v>
      </c>
    </row>
    <row r="475" spans="1:26">
      <c r="A475" s="1">
        <f>HYPERLINK("https://cms.ls-nyc.org/matter/dynamic-profile/view/1880160","18-1880160")</f>
        <v>0</v>
      </c>
      <c r="B475" t="s">
        <v>27</v>
      </c>
      <c r="C475" t="s">
        <v>43</v>
      </c>
      <c r="D475" t="s">
        <v>441</v>
      </c>
      <c r="E475" t="s">
        <v>864</v>
      </c>
      <c r="F475" t="s">
        <v>1229</v>
      </c>
      <c r="G475" t="s">
        <v>1281</v>
      </c>
      <c r="H475" t="s">
        <v>1375</v>
      </c>
      <c r="I475" t="s">
        <v>1379</v>
      </c>
      <c r="J475" t="s">
        <v>1382</v>
      </c>
      <c r="K475" t="s">
        <v>1385</v>
      </c>
      <c r="M475" t="s">
        <v>1390</v>
      </c>
      <c r="P475" t="s">
        <v>1398</v>
      </c>
      <c r="Q475">
        <v>0</v>
      </c>
      <c r="R475">
        <v>0</v>
      </c>
      <c r="S475">
        <v>44056</v>
      </c>
      <c r="T475">
        <v>794</v>
      </c>
      <c r="U475" t="s">
        <v>1407</v>
      </c>
      <c r="V475" t="s">
        <v>1648</v>
      </c>
      <c r="W475">
        <v>44056</v>
      </c>
      <c r="X475">
        <v>794</v>
      </c>
      <c r="Y475">
        <v>0</v>
      </c>
      <c r="Z475">
        <v>12320</v>
      </c>
    </row>
    <row r="476" spans="1:26">
      <c r="A476" s="1">
        <f>HYPERLINK("https://cms.ls-nyc.org/matter/dynamic-profile/view/1880346","18-1880346")</f>
        <v>0</v>
      </c>
      <c r="B476" t="s">
        <v>29</v>
      </c>
      <c r="C476" t="s">
        <v>40</v>
      </c>
      <c r="D476" t="s">
        <v>442</v>
      </c>
      <c r="E476" t="s">
        <v>865</v>
      </c>
      <c r="F476" t="s">
        <v>1230</v>
      </c>
      <c r="G476" t="s">
        <v>1327</v>
      </c>
      <c r="H476" t="s">
        <v>1375</v>
      </c>
      <c r="I476" t="s">
        <v>1379</v>
      </c>
      <c r="J476" t="s">
        <v>1382</v>
      </c>
      <c r="K476" t="s">
        <v>1385</v>
      </c>
      <c r="M476" t="s">
        <v>1390</v>
      </c>
      <c r="P476" t="s">
        <v>1398</v>
      </c>
      <c r="Q476">
        <v>0</v>
      </c>
      <c r="R476">
        <v>0</v>
      </c>
      <c r="S476">
        <v>14862.68</v>
      </c>
      <c r="T476">
        <v>514</v>
      </c>
      <c r="U476" t="s">
        <v>1422</v>
      </c>
      <c r="V476" t="s">
        <v>1649</v>
      </c>
      <c r="W476">
        <v>14862.68</v>
      </c>
      <c r="X476">
        <v>514</v>
      </c>
      <c r="Y476">
        <v>0</v>
      </c>
      <c r="Z476">
        <v>0</v>
      </c>
    </row>
    <row r="477" spans="1:26">
      <c r="A477" s="1">
        <f>HYPERLINK("https://cms.ls-nyc.org/matter/dynamic-profile/view/1880416","18-1880416")</f>
        <v>0</v>
      </c>
      <c r="B477" t="s">
        <v>27</v>
      </c>
      <c r="C477" t="s">
        <v>60</v>
      </c>
      <c r="D477" t="s">
        <v>258</v>
      </c>
      <c r="E477" t="s">
        <v>704</v>
      </c>
      <c r="F477" t="s">
        <v>1231</v>
      </c>
      <c r="G477" t="s">
        <v>1245</v>
      </c>
      <c r="H477" t="s">
        <v>1375</v>
      </c>
      <c r="I477" t="s">
        <v>1379</v>
      </c>
      <c r="J477" t="s">
        <v>1383</v>
      </c>
      <c r="K477" t="s">
        <v>1385</v>
      </c>
      <c r="M477" t="s">
        <v>1391</v>
      </c>
      <c r="P477" t="s">
        <v>1400</v>
      </c>
      <c r="Q477">
        <v>0</v>
      </c>
      <c r="R477">
        <v>0</v>
      </c>
      <c r="S477">
        <v>0</v>
      </c>
      <c r="T477">
        <v>0</v>
      </c>
      <c r="U477" t="s">
        <v>1404</v>
      </c>
      <c r="V477" t="s">
        <v>1404</v>
      </c>
      <c r="W477">
        <v>0</v>
      </c>
      <c r="X477">
        <v>0</v>
      </c>
      <c r="Y477">
        <v>0</v>
      </c>
      <c r="Z477">
        <v>0</v>
      </c>
    </row>
    <row r="478" spans="1:26">
      <c r="A478" s="1">
        <f>HYPERLINK("https://cms.ls-nyc.org/matter/dynamic-profile/view/1880499","18-1880499")</f>
        <v>0</v>
      </c>
      <c r="B478" t="s">
        <v>29</v>
      </c>
      <c r="C478" t="s">
        <v>44</v>
      </c>
      <c r="D478" t="s">
        <v>443</v>
      </c>
      <c r="E478" t="s">
        <v>866</v>
      </c>
      <c r="F478" t="s">
        <v>1231</v>
      </c>
      <c r="G478" t="s">
        <v>1295</v>
      </c>
      <c r="H478" t="s">
        <v>1375</v>
      </c>
      <c r="I478" t="s">
        <v>1379</v>
      </c>
      <c r="J478" t="s">
        <v>1383</v>
      </c>
      <c r="K478" t="s">
        <v>1385</v>
      </c>
      <c r="M478" t="s">
        <v>1389</v>
      </c>
      <c r="P478" t="s">
        <v>1400</v>
      </c>
      <c r="Q478">
        <v>0</v>
      </c>
      <c r="R478">
        <v>0</v>
      </c>
      <c r="S478">
        <v>0</v>
      </c>
      <c r="T478">
        <v>0</v>
      </c>
      <c r="U478" t="s">
        <v>1404</v>
      </c>
      <c r="V478" t="s">
        <v>1404</v>
      </c>
      <c r="W478">
        <v>0</v>
      </c>
      <c r="X478">
        <v>0</v>
      </c>
      <c r="Y478">
        <v>0</v>
      </c>
      <c r="Z478">
        <v>0</v>
      </c>
    </row>
    <row r="479" spans="1:26">
      <c r="A479" s="1">
        <f>HYPERLINK("https://cms.ls-nyc.org/matter/dynamic-profile/view/1880781","18-1880781")</f>
        <v>0</v>
      </c>
      <c r="B479" t="s">
        <v>29</v>
      </c>
      <c r="C479" t="s">
        <v>40</v>
      </c>
      <c r="D479" t="s">
        <v>444</v>
      </c>
      <c r="E479" t="s">
        <v>867</v>
      </c>
      <c r="F479" t="s">
        <v>1232</v>
      </c>
      <c r="G479" t="s">
        <v>1282</v>
      </c>
      <c r="H479" t="s">
        <v>1375</v>
      </c>
      <c r="I479" t="s">
        <v>1379</v>
      </c>
      <c r="J479" t="s">
        <v>1382</v>
      </c>
      <c r="K479" t="s">
        <v>1385</v>
      </c>
      <c r="M479" t="s">
        <v>1391</v>
      </c>
      <c r="P479" t="s">
        <v>1400</v>
      </c>
      <c r="Q479">
        <v>0</v>
      </c>
      <c r="R479">
        <v>0</v>
      </c>
      <c r="S479">
        <v>0</v>
      </c>
      <c r="T479">
        <v>0</v>
      </c>
      <c r="U479" t="s">
        <v>1404</v>
      </c>
      <c r="V479" t="s">
        <v>1404</v>
      </c>
      <c r="W479">
        <v>0</v>
      </c>
      <c r="X479">
        <v>0</v>
      </c>
      <c r="Y479">
        <v>0</v>
      </c>
      <c r="Z479">
        <v>0</v>
      </c>
    </row>
    <row r="480" spans="1:26">
      <c r="A480" s="1">
        <f>HYPERLINK("https://cms.ls-nyc.org/matter/dynamic-profile/view/1880881","18-1880881")</f>
        <v>0</v>
      </c>
      <c r="B480" t="s">
        <v>26</v>
      </c>
      <c r="C480" t="s">
        <v>58</v>
      </c>
      <c r="D480" t="s">
        <v>70</v>
      </c>
      <c r="E480" t="s">
        <v>868</v>
      </c>
      <c r="F480" t="s">
        <v>1233</v>
      </c>
      <c r="G480" t="s">
        <v>1287</v>
      </c>
      <c r="J480" t="s">
        <v>1382</v>
      </c>
      <c r="K480" t="s">
        <v>1385</v>
      </c>
      <c r="M480" t="s">
        <v>1391</v>
      </c>
      <c r="Q480">
        <v>0</v>
      </c>
      <c r="R480">
        <v>0</v>
      </c>
      <c r="S480">
        <v>0</v>
      </c>
      <c r="T480">
        <v>0</v>
      </c>
      <c r="U480" t="s">
        <v>1404</v>
      </c>
      <c r="V480" t="s">
        <v>1404</v>
      </c>
      <c r="W480">
        <v>0</v>
      </c>
      <c r="X480">
        <v>0</v>
      </c>
      <c r="Y480">
        <v>0</v>
      </c>
      <c r="Z480">
        <v>0</v>
      </c>
    </row>
    <row r="481" spans="1:26">
      <c r="A481" s="1">
        <f>HYPERLINK("https://cms.ls-nyc.org/matter/dynamic-profile/view/1881031","18-1881031")</f>
        <v>0</v>
      </c>
      <c r="B481" t="s">
        <v>29</v>
      </c>
      <c r="C481" t="s">
        <v>40</v>
      </c>
      <c r="D481" t="s">
        <v>445</v>
      </c>
      <c r="E481" t="s">
        <v>521</v>
      </c>
      <c r="F481" t="s">
        <v>1234</v>
      </c>
      <c r="G481" t="s">
        <v>1362</v>
      </c>
      <c r="H481" t="s">
        <v>1375</v>
      </c>
      <c r="I481" t="s">
        <v>1379</v>
      </c>
      <c r="J481" t="s">
        <v>1383</v>
      </c>
      <c r="K481" t="s">
        <v>1385</v>
      </c>
      <c r="M481" t="s">
        <v>1391</v>
      </c>
      <c r="P481" t="s">
        <v>1400</v>
      </c>
      <c r="Q481">
        <v>0</v>
      </c>
      <c r="R481">
        <v>0</v>
      </c>
      <c r="S481">
        <v>0</v>
      </c>
      <c r="T481">
        <v>0</v>
      </c>
      <c r="U481" t="s">
        <v>1404</v>
      </c>
      <c r="V481" t="s">
        <v>1404</v>
      </c>
      <c r="W481">
        <v>0</v>
      </c>
      <c r="X481">
        <v>0</v>
      </c>
      <c r="Y481">
        <v>0</v>
      </c>
      <c r="Z481">
        <v>0</v>
      </c>
    </row>
    <row r="482" spans="1:26">
      <c r="A482" s="1">
        <f>HYPERLINK("https://cms.ls-nyc.org/matter/dynamic-profile/view/1881286","18-1881286")</f>
        <v>0</v>
      </c>
      <c r="B482" t="s">
        <v>29</v>
      </c>
      <c r="C482" t="s">
        <v>42</v>
      </c>
      <c r="D482" t="s">
        <v>183</v>
      </c>
      <c r="E482" t="s">
        <v>869</v>
      </c>
      <c r="F482" t="s">
        <v>1235</v>
      </c>
      <c r="G482" t="s">
        <v>1363</v>
      </c>
      <c r="H482" t="s">
        <v>1375</v>
      </c>
      <c r="I482" t="s">
        <v>1379</v>
      </c>
      <c r="J482" t="s">
        <v>1382</v>
      </c>
      <c r="K482" t="s">
        <v>1385</v>
      </c>
      <c r="M482" t="s">
        <v>1389</v>
      </c>
      <c r="P482" t="s">
        <v>1400</v>
      </c>
      <c r="Q482">
        <v>0</v>
      </c>
      <c r="R482">
        <v>0</v>
      </c>
      <c r="S482">
        <v>0</v>
      </c>
      <c r="T482">
        <v>0</v>
      </c>
      <c r="U482" t="s">
        <v>1404</v>
      </c>
      <c r="V482" t="s">
        <v>1404</v>
      </c>
      <c r="W482">
        <v>0</v>
      </c>
      <c r="X482">
        <v>0</v>
      </c>
      <c r="Y482">
        <v>0</v>
      </c>
      <c r="Z482">
        <v>0</v>
      </c>
    </row>
    <row r="483" spans="1:26">
      <c r="A483" s="1">
        <f>HYPERLINK("https://cms.ls-nyc.org/matter/dynamic-profile/view/1881854","18-1881854")</f>
        <v>0</v>
      </c>
      <c r="B483" t="s">
        <v>27</v>
      </c>
      <c r="C483" t="s">
        <v>60</v>
      </c>
      <c r="D483" t="s">
        <v>446</v>
      </c>
      <c r="E483" t="s">
        <v>870</v>
      </c>
      <c r="F483" t="s">
        <v>1236</v>
      </c>
      <c r="G483" t="s">
        <v>1245</v>
      </c>
      <c r="H483" t="s">
        <v>1375</v>
      </c>
      <c r="I483" t="s">
        <v>1379</v>
      </c>
      <c r="J483" t="s">
        <v>1383</v>
      </c>
      <c r="K483" t="s">
        <v>1385</v>
      </c>
      <c r="M483" t="s">
        <v>1389</v>
      </c>
      <c r="P483" t="s">
        <v>1400</v>
      </c>
      <c r="Q483">
        <v>0</v>
      </c>
      <c r="R483">
        <v>0</v>
      </c>
      <c r="S483">
        <v>0</v>
      </c>
      <c r="T483">
        <v>0</v>
      </c>
      <c r="U483" t="s">
        <v>1404</v>
      </c>
      <c r="V483" t="s">
        <v>1404</v>
      </c>
      <c r="W483">
        <v>0</v>
      </c>
      <c r="X483">
        <v>0</v>
      </c>
      <c r="Y483">
        <v>0</v>
      </c>
      <c r="Z483">
        <v>0</v>
      </c>
    </row>
    <row r="484" spans="1:26">
      <c r="A484" s="1">
        <f>HYPERLINK("https://cms.ls-nyc.org/matter/dynamic-profile/view/1882327","18-1882327")</f>
        <v>0</v>
      </c>
      <c r="B484" t="s">
        <v>27</v>
      </c>
      <c r="C484" t="s">
        <v>32</v>
      </c>
      <c r="D484" t="s">
        <v>447</v>
      </c>
      <c r="E484" t="s">
        <v>871</v>
      </c>
      <c r="F484" t="s">
        <v>1237</v>
      </c>
      <c r="G484" t="s">
        <v>1354</v>
      </c>
      <c r="H484" t="s">
        <v>1378</v>
      </c>
      <c r="I484" t="s">
        <v>1379</v>
      </c>
      <c r="J484" t="s">
        <v>1382</v>
      </c>
      <c r="K484" t="s">
        <v>1385</v>
      </c>
      <c r="M484" t="s">
        <v>1391</v>
      </c>
      <c r="P484" t="s">
        <v>1400</v>
      </c>
      <c r="Q484">
        <v>0</v>
      </c>
      <c r="R484">
        <v>0</v>
      </c>
      <c r="S484">
        <v>0</v>
      </c>
      <c r="T484">
        <v>0</v>
      </c>
      <c r="U484" t="s">
        <v>1404</v>
      </c>
      <c r="V484" t="s">
        <v>1404</v>
      </c>
      <c r="W484">
        <v>0</v>
      </c>
      <c r="X484">
        <v>0</v>
      </c>
      <c r="Y484">
        <v>0</v>
      </c>
      <c r="Z484">
        <v>0</v>
      </c>
    </row>
    <row r="485" spans="1:26">
      <c r="A485" s="1">
        <f>HYPERLINK("https://cms.ls-nyc.org/matter/dynamic-profile/view/1882336","18-1882336")</f>
        <v>0</v>
      </c>
      <c r="B485" t="s">
        <v>29</v>
      </c>
      <c r="C485" t="s">
        <v>42</v>
      </c>
      <c r="D485" t="s">
        <v>448</v>
      </c>
      <c r="E485" t="s">
        <v>872</v>
      </c>
      <c r="F485" t="s">
        <v>1238</v>
      </c>
      <c r="G485" t="s">
        <v>1292</v>
      </c>
      <c r="H485" t="s">
        <v>1375</v>
      </c>
      <c r="I485" t="s">
        <v>1379</v>
      </c>
      <c r="J485" t="s">
        <v>1383</v>
      </c>
      <c r="K485" t="s">
        <v>1385</v>
      </c>
      <c r="M485" t="s">
        <v>1389</v>
      </c>
      <c r="P485" t="s">
        <v>1400</v>
      </c>
      <c r="Q485">
        <v>0</v>
      </c>
      <c r="R485">
        <v>0</v>
      </c>
      <c r="S485">
        <v>0</v>
      </c>
      <c r="T485">
        <v>0</v>
      </c>
      <c r="U485" t="s">
        <v>1404</v>
      </c>
      <c r="V485" t="s">
        <v>1404</v>
      </c>
      <c r="W485">
        <v>0</v>
      </c>
      <c r="X485">
        <v>0</v>
      </c>
      <c r="Y485">
        <v>0</v>
      </c>
      <c r="Z485">
        <v>0</v>
      </c>
    </row>
    <row r="486" spans="1:26">
      <c r="A486" s="1">
        <f>HYPERLINK("https://cms.ls-nyc.org/matter/dynamic-profile/view/1882483","18-1882483")</f>
        <v>0</v>
      </c>
      <c r="B486" t="s">
        <v>26</v>
      </c>
      <c r="C486" t="s">
        <v>53</v>
      </c>
      <c r="D486" t="s">
        <v>412</v>
      </c>
      <c r="E486" t="s">
        <v>873</v>
      </c>
      <c r="F486" t="s">
        <v>1239</v>
      </c>
      <c r="G486" t="s">
        <v>1364</v>
      </c>
      <c r="H486" t="s">
        <v>1375</v>
      </c>
      <c r="I486" t="s">
        <v>1379</v>
      </c>
      <c r="J486" t="s">
        <v>1382</v>
      </c>
      <c r="K486" t="s">
        <v>1385</v>
      </c>
      <c r="M486" t="s">
        <v>1390</v>
      </c>
      <c r="P486" t="s">
        <v>1398</v>
      </c>
      <c r="Q486">
        <v>0</v>
      </c>
      <c r="R486">
        <v>0</v>
      </c>
      <c r="S486">
        <v>4056</v>
      </c>
      <c r="T486">
        <v>537</v>
      </c>
      <c r="U486" t="s">
        <v>1489</v>
      </c>
      <c r="V486" t="s">
        <v>1650</v>
      </c>
      <c r="W486">
        <v>4056</v>
      </c>
      <c r="X486">
        <v>537</v>
      </c>
      <c r="Y486">
        <v>0</v>
      </c>
      <c r="Z486">
        <v>0</v>
      </c>
    </row>
    <row r="487" spans="1:26">
      <c r="A487" s="1">
        <f>HYPERLINK("https://cms.ls-nyc.org/matter/dynamic-profile/view/1882532","18-1882532")</f>
        <v>0</v>
      </c>
      <c r="B487" t="s">
        <v>29</v>
      </c>
      <c r="C487" t="s">
        <v>44</v>
      </c>
      <c r="D487" t="s">
        <v>449</v>
      </c>
      <c r="E487" t="s">
        <v>874</v>
      </c>
      <c r="F487" t="s">
        <v>1239</v>
      </c>
      <c r="G487" t="s">
        <v>1365</v>
      </c>
      <c r="H487" t="s">
        <v>1375</v>
      </c>
      <c r="I487" t="s">
        <v>1379</v>
      </c>
      <c r="J487" t="s">
        <v>1383</v>
      </c>
      <c r="K487" t="s">
        <v>1385</v>
      </c>
      <c r="M487" t="s">
        <v>1389</v>
      </c>
      <c r="P487" t="s">
        <v>1399</v>
      </c>
      <c r="Q487">
        <v>0</v>
      </c>
      <c r="R487">
        <v>0</v>
      </c>
      <c r="S487">
        <v>0</v>
      </c>
      <c r="T487">
        <v>0</v>
      </c>
      <c r="U487" t="s">
        <v>1404</v>
      </c>
      <c r="V487" t="s">
        <v>1404</v>
      </c>
      <c r="W487">
        <v>0</v>
      </c>
      <c r="X487">
        <v>0</v>
      </c>
      <c r="Y487">
        <v>0</v>
      </c>
      <c r="Z487">
        <v>0</v>
      </c>
    </row>
    <row r="488" spans="1:26">
      <c r="A488" s="1">
        <f>HYPERLINK("https://cms.ls-nyc.org/matter/dynamic-profile/view/1882606","18-1882606")</f>
        <v>0</v>
      </c>
      <c r="B488" t="s">
        <v>29</v>
      </c>
      <c r="C488" t="s">
        <v>44</v>
      </c>
      <c r="D488" t="s">
        <v>450</v>
      </c>
      <c r="E488" t="s">
        <v>875</v>
      </c>
      <c r="F488" t="s">
        <v>1240</v>
      </c>
      <c r="G488" t="s">
        <v>1365</v>
      </c>
      <c r="H488" t="s">
        <v>1375</v>
      </c>
      <c r="I488" t="s">
        <v>1379</v>
      </c>
      <c r="J488" t="s">
        <v>1382</v>
      </c>
      <c r="K488" t="s">
        <v>1385</v>
      </c>
      <c r="M488" t="s">
        <v>1389</v>
      </c>
      <c r="P488" t="s">
        <v>1400</v>
      </c>
      <c r="Q488">
        <v>0</v>
      </c>
      <c r="R488">
        <v>0</v>
      </c>
      <c r="S488">
        <v>0</v>
      </c>
      <c r="T488">
        <v>0</v>
      </c>
      <c r="U488" t="s">
        <v>1404</v>
      </c>
      <c r="V488" t="s">
        <v>1404</v>
      </c>
      <c r="W488">
        <v>0</v>
      </c>
      <c r="X488">
        <v>0</v>
      </c>
      <c r="Y488">
        <v>0</v>
      </c>
      <c r="Z488">
        <v>0</v>
      </c>
    </row>
    <row r="489" spans="1:26">
      <c r="A489" s="1">
        <f>HYPERLINK("https://cms.ls-nyc.org/matter/dynamic-profile/view/1882635","18-1882635")</f>
        <v>0</v>
      </c>
      <c r="B489" t="s">
        <v>29</v>
      </c>
      <c r="C489" t="s">
        <v>40</v>
      </c>
      <c r="D489" t="s">
        <v>451</v>
      </c>
      <c r="E489" t="s">
        <v>505</v>
      </c>
      <c r="F489" t="s">
        <v>1240</v>
      </c>
      <c r="G489" t="s">
        <v>1322</v>
      </c>
      <c r="H489" t="s">
        <v>1375</v>
      </c>
      <c r="I489" t="s">
        <v>1378</v>
      </c>
      <c r="J489" t="s">
        <v>1382</v>
      </c>
      <c r="K489" t="s">
        <v>1385</v>
      </c>
      <c r="M489" t="s">
        <v>1390</v>
      </c>
      <c r="P489" t="s">
        <v>1398</v>
      </c>
      <c r="Q489">
        <v>0</v>
      </c>
      <c r="R489">
        <v>0</v>
      </c>
      <c r="S489">
        <v>32776</v>
      </c>
      <c r="T489">
        <v>901</v>
      </c>
      <c r="U489" t="s">
        <v>1490</v>
      </c>
      <c r="V489" t="s">
        <v>1651</v>
      </c>
      <c r="W489">
        <v>32776</v>
      </c>
      <c r="X489">
        <v>0</v>
      </c>
      <c r="Y489">
        <v>901</v>
      </c>
      <c r="Z489">
        <v>0</v>
      </c>
    </row>
    <row r="490" spans="1:26">
      <c r="A490" s="1">
        <f>HYPERLINK("https://cms.ls-nyc.org/matter/dynamic-profile/view/1882684","18-1882684")</f>
        <v>0</v>
      </c>
      <c r="B490" t="s">
        <v>29</v>
      </c>
      <c r="C490" t="s">
        <v>40</v>
      </c>
      <c r="D490" t="s">
        <v>452</v>
      </c>
      <c r="E490" t="s">
        <v>505</v>
      </c>
      <c r="F490" t="s">
        <v>1240</v>
      </c>
      <c r="G490" t="s">
        <v>1327</v>
      </c>
      <c r="H490" t="s">
        <v>1375</v>
      </c>
      <c r="I490" t="s">
        <v>1379</v>
      </c>
      <c r="J490" t="s">
        <v>1383</v>
      </c>
      <c r="K490" t="s">
        <v>1385</v>
      </c>
      <c r="M490" t="s">
        <v>1390</v>
      </c>
      <c r="P490" t="s">
        <v>1398</v>
      </c>
      <c r="Q490">
        <v>0</v>
      </c>
      <c r="R490">
        <v>0</v>
      </c>
      <c r="S490">
        <v>21856</v>
      </c>
      <c r="T490">
        <v>1598</v>
      </c>
      <c r="U490" t="s">
        <v>1491</v>
      </c>
      <c r="V490" t="s">
        <v>1652</v>
      </c>
      <c r="W490">
        <v>21856</v>
      </c>
      <c r="X490">
        <v>0</v>
      </c>
      <c r="Y490">
        <v>1598</v>
      </c>
      <c r="Z490">
        <v>0</v>
      </c>
    </row>
    <row r="491" spans="1:26">
      <c r="A491" s="1">
        <f>HYPERLINK("https://cms.ls-nyc.org/matter/dynamic-profile/view/1882720","18-1882720")</f>
        <v>0</v>
      </c>
      <c r="B491" t="s">
        <v>27</v>
      </c>
      <c r="C491" t="s">
        <v>60</v>
      </c>
      <c r="D491" t="s">
        <v>453</v>
      </c>
      <c r="E491" t="s">
        <v>876</v>
      </c>
      <c r="F491" t="s">
        <v>1240</v>
      </c>
      <c r="G491" t="s">
        <v>1242</v>
      </c>
      <c r="H491" t="s">
        <v>1375</v>
      </c>
      <c r="I491" t="s">
        <v>1379</v>
      </c>
      <c r="J491" t="s">
        <v>1383</v>
      </c>
      <c r="K491" t="s">
        <v>1385</v>
      </c>
      <c r="L491" t="s">
        <v>1385</v>
      </c>
      <c r="M491" t="s">
        <v>1389</v>
      </c>
      <c r="P491" t="s">
        <v>1400</v>
      </c>
      <c r="Q491">
        <v>0</v>
      </c>
      <c r="R491">
        <v>0</v>
      </c>
      <c r="S491">
        <v>0</v>
      </c>
      <c r="T491">
        <v>0</v>
      </c>
      <c r="U491" t="s">
        <v>1404</v>
      </c>
      <c r="V491" t="s">
        <v>1404</v>
      </c>
      <c r="W491">
        <v>0</v>
      </c>
      <c r="X491">
        <v>0</v>
      </c>
      <c r="Y491">
        <v>0</v>
      </c>
      <c r="Z491">
        <v>0</v>
      </c>
    </row>
    <row r="492" spans="1:26">
      <c r="A492" s="1">
        <f>HYPERLINK("https://cms.ls-nyc.org/matter/dynamic-profile/view/1882828","18-1882828")</f>
        <v>0</v>
      </c>
      <c r="B492" t="s">
        <v>28</v>
      </c>
      <c r="C492" t="s">
        <v>52</v>
      </c>
      <c r="D492" t="s">
        <v>454</v>
      </c>
      <c r="E492" t="s">
        <v>877</v>
      </c>
      <c r="F492" t="s">
        <v>1241</v>
      </c>
      <c r="G492" t="s">
        <v>1305</v>
      </c>
      <c r="H492" t="s">
        <v>1375</v>
      </c>
      <c r="I492" t="s">
        <v>1379</v>
      </c>
      <c r="J492" t="s">
        <v>1382</v>
      </c>
      <c r="K492" t="s">
        <v>1385</v>
      </c>
      <c r="M492" t="s">
        <v>1389</v>
      </c>
      <c r="P492" t="s">
        <v>1400</v>
      </c>
      <c r="Q492">
        <v>0</v>
      </c>
      <c r="R492">
        <v>0</v>
      </c>
      <c r="S492">
        <v>0</v>
      </c>
      <c r="T492">
        <v>0</v>
      </c>
      <c r="U492" t="s">
        <v>1404</v>
      </c>
      <c r="V492" t="s">
        <v>1404</v>
      </c>
      <c r="W492">
        <v>0</v>
      </c>
      <c r="X492">
        <v>0</v>
      </c>
      <c r="Y492">
        <v>0</v>
      </c>
      <c r="Z492">
        <v>0</v>
      </c>
    </row>
    <row r="493" spans="1:26">
      <c r="A493" s="1">
        <f>HYPERLINK("https://cms.ls-nyc.org/matter/dynamic-profile/view/1882865","18-1882865")</f>
        <v>0</v>
      </c>
      <c r="B493" t="s">
        <v>29</v>
      </c>
      <c r="C493" t="s">
        <v>40</v>
      </c>
      <c r="D493" t="s">
        <v>160</v>
      </c>
      <c r="E493" t="s">
        <v>878</v>
      </c>
      <c r="F493" t="s">
        <v>1241</v>
      </c>
      <c r="G493" t="s">
        <v>1327</v>
      </c>
      <c r="H493" t="s">
        <v>1375</v>
      </c>
      <c r="I493" t="s">
        <v>1379</v>
      </c>
      <c r="J493" t="s">
        <v>1383</v>
      </c>
      <c r="K493" t="s">
        <v>1385</v>
      </c>
      <c r="M493" t="s">
        <v>1391</v>
      </c>
      <c r="P493" t="s">
        <v>1400</v>
      </c>
      <c r="Q493">
        <v>0</v>
      </c>
      <c r="R493">
        <v>0</v>
      </c>
      <c r="S493">
        <v>0</v>
      </c>
      <c r="T493">
        <v>0</v>
      </c>
      <c r="U493" t="s">
        <v>1404</v>
      </c>
      <c r="V493" t="s">
        <v>1404</v>
      </c>
      <c r="W493">
        <v>0</v>
      </c>
      <c r="X493">
        <v>0</v>
      </c>
      <c r="Y493">
        <v>0</v>
      </c>
      <c r="Z493">
        <v>0</v>
      </c>
    </row>
    <row r="494" spans="1:26">
      <c r="A494" s="1">
        <f>HYPERLINK("https://cms.ls-nyc.org/matter/dynamic-profile/view/1883019","18-1883019")</f>
        <v>0</v>
      </c>
      <c r="B494" t="s">
        <v>28</v>
      </c>
      <c r="C494" t="s">
        <v>52</v>
      </c>
      <c r="D494" t="s">
        <v>61</v>
      </c>
      <c r="E494" t="s">
        <v>879</v>
      </c>
      <c r="F494" t="s">
        <v>1242</v>
      </c>
      <c r="G494" t="s">
        <v>1305</v>
      </c>
      <c r="H494" t="s">
        <v>1375</v>
      </c>
      <c r="I494" t="s">
        <v>1379</v>
      </c>
      <c r="J494" t="s">
        <v>1382</v>
      </c>
      <c r="K494" t="s">
        <v>1385</v>
      </c>
      <c r="M494" t="s">
        <v>1389</v>
      </c>
      <c r="P494" t="s">
        <v>1400</v>
      </c>
      <c r="Q494">
        <v>0</v>
      </c>
      <c r="R494">
        <v>0</v>
      </c>
      <c r="S494">
        <v>0</v>
      </c>
      <c r="T494">
        <v>0</v>
      </c>
      <c r="U494" t="s">
        <v>1404</v>
      </c>
      <c r="V494" t="s">
        <v>1404</v>
      </c>
      <c r="W494">
        <v>0</v>
      </c>
      <c r="X494">
        <v>0</v>
      </c>
      <c r="Y494">
        <v>0</v>
      </c>
      <c r="Z494">
        <v>0</v>
      </c>
    </row>
    <row r="495" spans="1:26">
      <c r="A495" s="1">
        <f>HYPERLINK("https://cms.ls-nyc.org/matter/dynamic-profile/view/1883134","18-1883134")</f>
        <v>0</v>
      </c>
      <c r="B495" t="s">
        <v>26</v>
      </c>
      <c r="C495" t="s">
        <v>53</v>
      </c>
      <c r="D495" t="s">
        <v>455</v>
      </c>
      <c r="E495" t="s">
        <v>880</v>
      </c>
      <c r="F495" t="s">
        <v>1243</v>
      </c>
      <c r="G495" t="s">
        <v>1364</v>
      </c>
      <c r="H495" t="s">
        <v>1375</v>
      </c>
      <c r="I495" t="s">
        <v>1379</v>
      </c>
      <c r="J495" t="s">
        <v>1383</v>
      </c>
      <c r="K495" t="s">
        <v>1385</v>
      </c>
      <c r="M495" t="s">
        <v>1390</v>
      </c>
      <c r="P495" t="s">
        <v>1398</v>
      </c>
      <c r="Q495">
        <v>0</v>
      </c>
      <c r="R495">
        <v>0</v>
      </c>
      <c r="S495">
        <v>939</v>
      </c>
      <c r="T495">
        <v>939</v>
      </c>
      <c r="U495" t="s">
        <v>1492</v>
      </c>
      <c r="V495" t="s">
        <v>1653</v>
      </c>
      <c r="W495">
        <v>939</v>
      </c>
      <c r="X495">
        <v>0</v>
      </c>
      <c r="Y495">
        <v>939.3</v>
      </c>
      <c r="Z495">
        <v>0</v>
      </c>
    </row>
    <row r="496" spans="1:26">
      <c r="A496" s="1">
        <f>HYPERLINK("https://cms.ls-nyc.org/matter/dynamic-profile/view/1883139","18-1883139")</f>
        <v>0</v>
      </c>
      <c r="B496" t="s">
        <v>26</v>
      </c>
      <c r="C496" t="s">
        <v>53</v>
      </c>
      <c r="D496" t="s">
        <v>349</v>
      </c>
      <c r="E496" t="s">
        <v>881</v>
      </c>
      <c r="F496" t="s">
        <v>1243</v>
      </c>
      <c r="G496" t="s">
        <v>1364</v>
      </c>
      <c r="H496" t="s">
        <v>1375</v>
      </c>
      <c r="I496" t="s">
        <v>1379</v>
      </c>
      <c r="J496" t="s">
        <v>1382</v>
      </c>
      <c r="K496" t="s">
        <v>1385</v>
      </c>
      <c r="M496" t="s">
        <v>1390</v>
      </c>
      <c r="P496" t="s">
        <v>1398</v>
      </c>
      <c r="Q496">
        <v>0</v>
      </c>
      <c r="R496">
        <v>0</v>
      </c>
      <c r="S496">
        <v>23222</v>
      </c>
      <c r="T496">
        <v>1080.6</v>
      </c>
      <c r="U496" t="s">
        <v>1493</v>
      </c>
      <c r="V496" t="s">
        <v>1654</v>
      </c>
      <c r="W496">
        <v>23222</v>
      </c>
      <c r="X496">
        <v>0</v>
      </c>
      <c r="Y496">
        <v>1080</v>
      </c>
      <c r="Z496">
        <v>0</v>
      </c>
    </row>
    <row r="497" spans="1:26">
      <c r="A497" s="1">
        <f>HYPERLINK("https://cms.ls-nyc.org/matter/dynamic-profile/view/1883155","18-1883155")</f>
        <v>0</v>
      </c>
      <c r="B497" t="s">
        <v>29</v>
      </c>
      <c r="C497" t="s">
        <v>44</v>
      </c>
      <c r="D497" t="s">
        <v>231</v>
      </c>
      <c r="E497" t="s">
        <v>882</v>
      </c>
      <c r="F497" t="s">
        <v>1243</v>
      </c>
      <c r="G497" t="s">
        <v>1361</v>
      </c>
      <c r="H497" t="s">
        <v>1375</v>
      </c>
      <c r="I497" t="s">
        <v>1379</v>
      </c>
      <c r="J497" t="s">
        <v>1383</v>
      </c>
      <c r="K497" t="s">
        <v>1385</v>
      </c>
      <c r="M497" t="s">
        <v>1390</v>
      </c>
      <c r="P497" t="s">
        <v>1398</v>
      </c>
      <c r="Q497">
        <v>0</v>
      </c>
      <c r="R497">
        <v>0</v>
      </c>
      <c r="S497">
        <v>5250</v>
      </c>
      <c r="T497">
        <v>750</v>
      </c>
      <c r="U497" t="s">
        <v>1408</v>
      </c>
      <c r="V497" t="s">
        <v>1404</v>
      </c>
      <c r="W497">
        <v>0</v>
      </c>
      <c r="X497">
        <v>750</v>
      </c>
      <c r="Y497">
        <v>0</v>
      </c>
      <c r="Z497">
        <v>0</v>
      </c>
    </row>
    <row r="498" spans="1:26">
      <c r="A498" s="1">
        <f>HYPERLINK("https://cms.ls-nyc.org/matter/dynamic-profile/view/1883219","18-1883219")</f>
        <v>0</v>
      </c>
      <c r="B498" t="s">
        <v>28</v>
      </c>
      <c r="C498" t="s">
        <v>50</v>
      </c>
      <c r="D498" t="s">
        <v>456</v>
      </c>
      <c r="E498" t="s">
        <v>883</v>
      </c>
      <c r="F498" t="s">
        <v>1243</v>
      </c>
      <c r="G498" t="s">
        <v>1353</v>
      </c>
      <c r="J498" t="s">
        <v>1382</v>
      </c>
      <c r="K498" t="s">
        <v>1385</v>
      </c>
      <c r="M498" t="s">
        <v>1394</v>
      </c>
      <c r="Q498">
        <v>0</v>
      </c>
      <c r="R498">
        <v>0</v>
      </c>
      <c r="S498">
        <v>0</v>
      </c>
      <c r="T498">
        <v>0</v>
      </c>
      <c r="U498" t="s">
        <v>1404</v>
      </c>
      <c r="V498" t="s">
        <v>1404</v>
      </c>
      <c r="W498">
        <v>0</v>
      </c>
      <c r="X498">
        <v>0</v>
      </c>
      <c r="Y498">
        <v>0</v>
      </c>
      <c r="Z498">
        <v>0</v>
      </c>
    </row>
    <row r="499" spans="1:26">
      <c r="A499" s="1">
        <f>HYPERLINK("https://cms.ls-nyc.org/matter/dynamic-profile/view/1883288","18-1883288")</f>
        <v>0</v>
      </c>
      <c r="B499" t="s">
        <v>27</v>
      </c>
      <c r="C499" t="s">
        <v>43</v>
      </c>
      <c r="D499" t="s">
        <v>457</v>
      </c>
      <c r="E499" t="s">
        <v>884</v>
      </c>
      <c r="F499" t="s">
        <v>1244</v>
      </c>
      <c r="G499" t="s">
        <v>1329</v>
      </c>
      <c r="H499" t="s">
        <v>1375</v>
      </c>
      <c r="I499" t="s">
        <v>1379</v>
      </c>
      <c r="J499" t="s">
        <v>1383</v>
      </c>
      <c r="K499" t="s">
        <v>1385</v>
      </c>
      <c r="M499" t="s">
        <v>1391</v>
      </c>
      <c r="P499" t="s">
        <v>1400</v>
      </c>
      <c r="Q499">
        <v>0</v>
      </c>
      <c r="R499">
        <v>0</v>
      </c>
      <c r="S499">
        <v>0</v>
      </c>
      <c r="T499">
        <v>0</v>
      </c>
      <c r="U499" t="s">
        <v>1404</v>
      </c>
      <c r="V499" t="s">
        <v>1404</v>
      </c>
      <c r="W499">
        <v>0</v>
      </c>
      <c r="X499">
        <v>0</v>
      </c>
      <c r="Y499">
        <v>0</v>
      </c>
      <c r="Z499">
        <v>0</v>
      </c>
    </row>
    <row r="500" spans="1:26">
      <c r="A500" s="1">
        <f>HYPERLINK("https://cms.ls-nyc.org/matter/dynamic-profile/view/1883379","18-1883379")</f>
        <v>0</v>
      </c>
      <c r="B500" t="s">
        <v>27</v>
      </c>
      <c r="C500" t="s">
        <v>60</v>
      </c>
      <c r="D500" t="s">
        <v>458</v>
      </c>
      <c r="E500" t="s">
        <v>567</v>
      </c>
      <c r="F500" t="s">
        <v>1245</v>
      </c>
      <c r="G500" t="s">
        <v>1255</v>
      </c>
      <c r="H500" t="s">
        <v>1375</v>
      </c>
      <c r="I500" t="s">
        <v>1379</v>
      </c>
      <c r="J500" t="s">
        <v>1383</v>
      </c>
      <c r="K500" t="s">
        <v>1385</v>
      </c>
      <c r="M500" t="s">
        <v>1391</v>
      </c>
      <c r="P500" t="s">
        <v>1400</v>
      </c>
      <c r="Q500">
        <v>0</v>
      </c>
      <c r="R500">
        <v>0</v>
      </c>
      <c r="S500">
        <v>0</v>
      </c>
      <c r="T500">
        <v>0</v>
      </c>
      <c r="U500" t="s">
        <v>1404</v>
      </c>
      <c r="V500" t="s">
        <v>1404</v>
      </c>
      <c r="W500">
        <v>0</v>
      </c>
      <c r="X500">
        <v>0</v>
      </c>
      <c r="Y500">
        <v>0</v>
      </c>
      <c r="Z500">
        <v>0</v>
      </c>
    </row>
    <row r="501" spans="1:26">
      <c r="A501" s="1">
        <f>HYPERLINK("https://cms.ls-nyc.org/matter/dynamic-profile/view/1883644","18-1883644")</f>
        <v>0</v>
      </c>
      <c r="B501" t="s">
        <v>27</v>
      </c>
      <c r="C501" t="s">
        <v>60</v>
      </c>
      <c r="D501" t="s">
        <v>459</v>
      </c>
      <c r="E501" t="s">
        <v>885</v>
      </c>
      <c r="F501" t="s">
        <v>1246</v>
      </c>
      <c r="G501" t="s">
        <v>1256</v>
      </c>
      <c r="H501" t="s">
        <v>1377</v>
      </c>
      <c r="I501" t="s">
        <v>1379</v>
      </c>
      <c r="J501" t="s">
        <v>1382</v>
      </c>
      <c r="K501" t="s">
        <v>1385</v>
      </c>
      <c r="M501" t="s">
        <v>1389</v>
      </c>
      <c r="P501" t="s">
        <v>1400</v>
      </c>
      <c r="Q501">
        <v>0</v>
      </c>
      <c r="R501">
        <v>0</v>
      </c>
      <c r="S501">
        <v>0</v>
      </c>
      <c r="T501">
        <v>0</v>
      </c>
      <c r="U501" t="s">
        <v>1404</v>
      </c>
      <c r="V501" t="s">
        <v>1404</v>
      </c>
      <c r="W501">
        <v>0</v>
      </c>
      <c r="X501">
        <v>0</v>
      </c>
      <c r="Y501">
        <v>0</v>
      </c>
      <c r="Z501">
        <v>0</v>
      </c>
    </row>
    <row r="502" spans="1:26">
      <c r="A502" s="1">
        <f>HYPERLINK("https://cms.ls-nyc.org/matter/dynamic-profile/view/1883664","18-1883664")</f>
        <v>0</v>
      </c>
      <c r="B502" t="s">
        <v>26</v>
      </c>
      <c r="C502" t="s">
        <v>56</v>
      </c>
      <c r="D502" t="s">
        <v>451</v>
      </c>
      <c r="E502" t="s">
        <v>886</v>
      </c>
      <c r="F502" t="s">
        <v>1246</v>
      </c>
      <c r="G502" t="s">
        <v>1256</v>
      </c>
      <c r="H502" t="s">
        <v>1375</v>
      </c>
      <c r="I502" t="s">
        <v>1379</v>
      </c>
      <c r="J502" t="s">
        <v>1383</v>
      </c>
      <c r="K502" t="s">
        <v>1385</v>
      </c>
      <c r="M502" t="s">
        <v>1389</v>
      </c>
      <c r="P502" t="s">
        <v>1400</v>
      </c>
      <c r="Q502">
        <v>0</v>
      </c>
      <c r="R502">
        <v>0</v>
      </c>
      <c r="S502">
        <v>0</v>
      </c>
      <c r="T502">
        <v>0</v>
      </c>
      <c r="U502" t="s">
        <v>1404</v>
      </c>
      <c r="V502" t="s">
        <v>1404</v>
      </c>
      <c r="W502">
        <v>0</v>
      </c>
      <c r="X502">
        <v>0</v>
      </c>
      <c r="Y502">
        <v>0</v>
      </c>
      <c r="Z502">
        <v>0</v>
      </c>
    </row>
    <row r="503" spans="1:26">
      <c r="A503" s="1">
        <f>HYPERLINK("https://cms.ls-nyc.org/matter/dynamic-profile/view/1883755","18-1883755")</f>
        <v>0</v>
      </c>
      <c r="B503" t="s">
        <v>27</v>
      </c>
      <c r="C503" t="s">
        <v>60</v>
      </c>
      <c r="D503" t="s">
        <v>460</v>
      </c>
      <c r="E503" t="s">
        <v>887</v>
      </c>
      <c r="F503" t="s">
        <v>1247</v>
      </c>
      <c r="G503" t="s">
        <v>1257</v>
      </c>
      <c r="H503" t="s">
        <v>1375</v>
      </c>
      <c r="I503" t="s">
        <v>1379</v>
      </c>
      <c r="J503" t="s">
        <v>1383</v>
      </c>
      <c r="K503" t="s">
        <v>1385</v>
      </c>
      <c r="M503" t="s">
        <v>1389</v>
      </c>
      <c r="P503" t="s">
        <v>1400</v>
      </c>
      <c r="Q503">
        <v>0</v>
      </c>
      <c r="R503">
        <v>0</v>
      </c>
      <c r="S503">
        <v>0</v>
      </c>
      <c r="T503">
        <v>0</v>
      </c>
      <c r="U503" t="s">
        <v>1404</v>
      </c>
      <c r="V503" t="s">
        <v>1404</v>
      </c>
      <c r="W503">
        <v>0</v>
      </c>
      <c r="X503">
        <v>0</v>
      </c>
      <c r="Y503">
        <v>0</v>
      </c>
      <c r="Z503">
        <v>0</v>
      </c>
    </row>
    <row r="504" spans="1:26">
      <c r="A504" s="1">
        <f>HYPERLINK("https://cms.ls-nyc.org/matter/dynamic-profile/view/1883999","18-1883999")</f>
        <v>0</v>
      </c>
      <c r="B504" t="s">
        <v>29</v>
      </c>
      <c r="C504" t="s">
        <v>40</v>
      </c>
      <c r="D504" t="s">
        <v>147</v>
      </c>
      <c r="E504" t="s">
        <v>545</v>
      </c>
      <c r="F504" t="s">
        <v>1248</v>
      </c>
      <c r="G504" t="s">
        <v>1282</v>
      </c>
      <c r="H504" t="s">
        <v>1375</v>
      </c>
      <c r="I504" t="s">
        <v>1379</v>
      </c>
      <c r="J504" t="s">
        <v>1383</v>
      </c>
      <c r="K504" t="s">
        <v>1385</v>
      </c>
      <c r="M504" t="s">
        <v>1391</v>
      </c>
      <c r="P504" t="s">
        <v>1400</v>
      </c>
      <c r="Q504">
        <v>0</v>
      </c>
      <c r="R504">
        <v>0</v>
      </c>
      <c r="S504">
        <v>0</v>
      </c>
      <c r="T504">
        <v>0</v>
      </c>
      <c r="U504" t="s">
        <v>1404</v>
      </c>
      <c r="V504" t="s">
        <v>1404</v>
      </c>
      <c r="W504">
        <v>0</v>
      </c>
      <c r="X504">
        <v>0</v>
      </c>
      <c r="Y504">
        <v>0</v>
      </c>
      <c r="Z504">
        <v>0</v>
      </c>
    </row>
    <row r="505" spans="1:26">
      <c r="A505" s="1">
        <f>HYPERLINK("https://cms.ls-nyc.org/matter/dynamic-profile/view/1884137","18-1884137")</f>
        <v>0</v>
      </c>
      <c r="B505" t="s">
        <v>26</v>
      </c>
      <c r="C505" t="s">
        <v>58</v>
      </c>
      <c r="D505" t="s">
        <v>461</v>
      </c>
      <c r="E505" t="s">
        <v>888</v>
      </c>
      <c r="F505" t="s">
        <v>1249</v>
      </c>
      <c r="G505" t="s">
        <v>1342</v>
      </c>
      <c r="H505" t="s">
        <v>1375</v>
      </c>
      <c r="I505" t="s">
        <v>1379</v>
      </c>
      <c r="J505" t="s">
        <v>1382</v>
      </c>
      <c r="K505" t="s">
        <v>1385</v>
      </c>
      <c r="M505" t="s">
        <v>1389</v>
      </c>
      <c r="P505" t="s">
        <v>1400</v>
      </c>
      <c r="Q505">
        <v>0</v>
      </c>
      <c r="R505">
        <v>0</v>
      </c>
      <c r="S505">
        <v>0</v>
      </c>
      <c r="T505">
        <v>0</v>
      </c>
      <c r="U505" t="s">
        <v>1404</v>
      </c>
      <c r="V505" t="s">
        <v>1404</v>
      </c>
      <c r="W505">
        <v>0</v>
      </c>
      <c r="X505">
        <v>0</v>
      </c>
      <c r="Y505">
        <v>0</v>
      </c>
      <c r="Z505">
        <v>0</v>
      </c>
    </row>
    <row r="506" spans="1:26">
      <c r="A506" s="1">
        <f>HYPERLINK("https://cms.ls-nyc.org/matter/dynamic-profile/view/1884314","18-1884314")</f>
        <v>0</v>
      </c>
      <c r="B506" t="s">
        <v>29</v>
      </c>
      <c r="C506" t="s">
        <v>40</v>
      </c>
      <c r="D506" t="s">
        <v>451</v>
      </c>
      <c r="E506" t="s">
        <v>889</v>
      </c>
      <c r="F506" t="s">
        <v>1250</v>
      </c>
      <c r="G506" t="s">
        <v>1322</v>
      </c>
      <c r="H506" t="s">
        <v>1375</v>
      </c>
      <c r="I506" t="s">
        <v>1379</v>
      </c>
      <c r="J506" t="s">
        <v>1383</v>
      </c>
      <c r="K506" t="s">
        <v>1385</v>
      </c>
      <c r="M506" t="s">
        <v>1389</v>
      </c>
      <c r="P506" t="s">
        <v>1400</v>
      </c>
      <c r="Q506">
        <v>0</v>
      </c>
      <c r="R506">
        <v>0</v>
      </c>
      <c r="S506">
        <v>0</v>
      </c>
      <c r="T506">
        <v>0</v>
      </c>
      <c r="U506" t="s">
        <v>1404</v>
      </c>
      <c r="V506" t="s">
        <v>1404</v>
      </c>
      <c r="W506">
        <v>0</v>
      </c>
      <c r="X506">
        <v>0</v>
      </c>
      <c r="Y506">
        <v>0</v>
      </c>
      <c r="Z506">
        <v>0</v>
      </c>
    </row>
    <row r="507" spans="1:26">
      <c r="A507" s="1">
        <f>HYPERLINK("https://cms.ls-nyc.org/matter/dynamic-profile/view/1884327","18-1884327")</f>
        <v>0</v>
      </c>
      <c r="B507" t="s">
        <v>27</v>
      </c>
      <c r="C507" t="s">
        <v>37</v>
      </c>
      <c r="D507" t="s">
        <v>462</v>
      </c>
      <c r="E507" t="s">
        <v>890</v>
      </c>
      <c r="F507" t="s">
        <v>1250</v>
      </c>
      <c r="G507" t="s">
        <v>1304</v>
      </c>
      <c r="H507" t="s">
        <v>1375</v>
      </c>
      <c r="I507" t="s">
        <v>1379</v>
      </c>
      <c r="J507" t="s">
        <v>1382</v>
      </c>
      <c r="K507" t="s">
        <v>1385</v>
      </c>
      <c r="M507" t="s">
        <v>1389</v>
      </c>
      <c r="P507" t="s">
        <v>1400</v>
      </c>
      <c r="Q507">
        <v>0</v>
      </c>
      <c r="R507">
        <v>0</v>
      </c>
      <c r="S507">
        <v>0</v>
      </c>
      <c r="T507">
        <v>0</v>
      </c>
      <c r="U507" t="s">
        <v>1404</v>
      </c>
      <c r="V507" t="s">
        <v>1404</v>
      </c>
      <c r="W507">
        <v>0</v>
      </c>
      <c r="X507">
        <v>0</v>
      </c>
      <c r="Y507">
        <v>0</v>
      </c>
      <c r="Z507">
        <v>0</v>
      </c>
    </row>
    <row r="508" spans="1:26">
      <c r="A508" s="1">
        <f>HYPERLINK("https://cms.ls-nyc.org/matter/dynamic-profile/view/1884465","18-1884465")</f>
        <v>0</v>
      </c>
      <c r="B508" t="s">
        <v>26</v>
      </c>
      <c r="C508" t="s">
        <v>31</v>
      </c>
      <c r="D508" t="s">
        <v>81</v>
      </c>
      <c r="E508" t="s">
        <v>800</v>
      </c>
      <c r="F508" t="s">
        <v>1251</v>
      </c>
      <c r="G508" t="s">
        <v>1366</v>
      </c>
      <c r="H508" t="s">
        <v>1375</v>
      </c>
      <c r="I508" t="s">
        <v>1380</v>
      </c>
      <c r="J508" t="s">
        <v>1382</v>
      </c>
      <c r="K508" t="s">
        <v>1385</v>
      </c>
      <c r="M508" t="s">
        <v>1390</v>
      </c>
      <c r="P508" t="s">
        <v>1398</v>
      </c>
      <c r="Q508">
        <v>0</v>
      </c>
      <c r="R508">
        <v>0</v>
      </c>
      <c r="S508">
        <v>0</v>
      </c>
      <c r="T508">
        <v>0</v>
      </c>
      <c r="U508" t="s">
        <v>1407</v>
      </c>
      <c r="V508" t="s">
        <v>1404</v>
      </c>
      <c r="W508">
        <v>0</v>
      </c>
      <c r="X508">
        <v>794</v>
      </c>
      <c r="Y508">
        <v>0</v>
      </c>
      <c r="Z508">
        <v>0</v>
      </c>
    </row>
    <row r="509" spans="1:26">
      <c r="A509" s="1">
        <f>HYPERLINK("https://cms.ls-nyc.org/matter/dynamic-profile/view/1884564","18-1884564")</f>
        <v>0</v>
      </c>
      <c r="B509" t="s">
        <v>29</v>
      </c>
      <c r="C509" t="s">
        <v>40</v>
      </c>
      <c r="D509" t="s">
        <v>221</v>
      </c>
      <c r="E509" t="s">
        <v>891</v>
      </c>
      <c r="F509" t="s">
        <v>1252</v>
      </c>
      <c r="G509" t="s">
        <v>1282</v>
      </c>
      <c r="H509" t="s">
        <v>1375</v>
      </c>
      <c r="I509" t="s">
        <v>1379</v>
      </c>
      <c r="J509" t="s">
        <v>1383</v>
      </c>
      <c r="K509" t="s">
        <v>1385</v>
      </c>
      <c r="M509" t="s">
        <v>1390</v>
      </c>
      <c r="P509" t="s">
        <v>1398</v>
      </c>
      <c r="Q509">
        <v>0</v>
      </c>
      <c r="R509">
        <v>0</v>
      </c>
      <c r="S509">
        <v>60552.3</v>
      </c>
      <c r="T509">
        <v>1971</v>
      </c>
      <c r="U509" t="s">
        <v>1494</v>
      </c>
      <c r="V509" t="s">
        <v>1655</v>
      </c>
      <c r="W509">
        <v>60552.3</v>
      </c>
      <c r="X509">
        <v>0</v>
      </c>
      <c r="Y509">
        <v>1971.1</v>
      </c>
      <c r="Z509">
        <v>0</v>
      </c>
    </row>
    <row r="510" spans="1:26">
      <c r="A510" s="1">
        <f>HYPERLINK("https://cms.ls-nyc.org/matter/dynamic-profile/view/1884946","18-1884946")</f>
        <v>0</v>
      </c>
      <c r="B510" t="s">
        <v>26</v>
      </c>
      <c r="C510" t="s">
        <v>53</v>
      </c>
      <c r="D510" t="s">
        <v>463</v>
      </c>
      <c r="E510" t="s">
        <v>892</v>
      </c>
      <c r="F510" t="s">
        <v>1253</v>
      </c>
      <c r="G510" t="s">
        <v>1327</v>
      </c>
      <c r="H510" t="s">
        <v>1375</v>
      </c>
      <c r="I510" t="s">
        <v>1379</v>
      </c>
      <c r="J510" t="s">
        <v>1383</v>
      </c>
      <c r="K510" t="s">
        <v>1385</v>
      </c>
      <c r="M510" t="s">
        <v>1391</v>
      </c>
      <c r="P510" t="s">
        <v>1400</v>
      </c>
      <c r="Q510">
        <v>0</v>
      </c>
      <c r="R510">
        <v>0</v>
      </c>
      <c r="S510">
        <v>0</v>
      </c>
      <c r="T510">
        <v>0</v>
      </c>
      <c r="U510" t="s">
        <v>1404</v>
      </c>
      <c r="V510" t="s">
        <v>1404</v>
      </c>
      <c r="W510">
        <v>0</v>
      </c>
      <c r="X510">
        <v>0</v>
      </c>
      <c r="Y510">
        <v>0</v>
      </c>
      <c r="Z510">
        <v>0</v>
      </c>
    </row>
    <row r="511" spans="1:26">
      <c r="A511" s="1">
        <f>HYPERLINK("https://cms.ls-nyc.org/matter/dynamic-profile/view/1885012","18-1885012")</f>
        <v>0</v>
      </c>
      <c r="B511" t="s">
        <v>27</v>
      </c>
      <c r="C511" t="s">
        <v>48</v>
      </c>
      <c r="D511" t="s">
        <v>464</v>
      </c>
      <c r="E511" t="s">
        <v>893</v>
      </c>
      <c r="F511" t="s">
        <v>1254</v>
      </c>
      <c r="G511" t="s">
        <v>1342</v>
      </c>
      <c r="H511" t="s">
        <v>1375</v>
      </c>
      <c r="I511" t="s">
        <v>1379</v>
      </c>
      <c r="J511" t="s">
        <v>1382</v>
      </c>
      <c r="K511" t="s">
        <v>1385</v>
      </c>
      <c r="M511" t="s">
        <v>1391</v>
      </c>
      <c r="P511" t="s">
        <v>1400</v>
      </c>
      <c r="Q511">
        <v>0</v>
      </c>
      <c r="R511">
        <v>0</v>
      </c>
      <c r="S511">
        <v>0</v>
      </c>
      <c r="T511">
        <v>0</v>
      </c>
      <c r="U511" t="s">
        <v>1404</v>
      </c>
      <c r="V511" t="s">
        <v>1404</v>
      </c>
      <c r="W511">
        <v>0</v>
      </c>
      <c r="X511">
        <v>0</v>
      </c>
      <c r="Y511">
        <v>0</v>
      </c>
      <c r="Z511">
        <v>0</v>
      </c>
    </row>
    <row r="512" spans="1:26">
      <c r="A512" s="1">
        <f>HYPERLINK("https://cms.ls-nyc.org/matter/dynamic-profile/view/1885064","18-1885064")</f>
        <v>0</v>
      </c>
      <c r="B512" t="s">
        <v>26</v>
      </c>
      <c r="C512" t="s">
        <v>53</v>
      </c>
      <c r="D512" t="s">
        <v>465</v>
      </c>
      <c r="E512" t="s">
        <v>894</v>
      </c>
      <c r="F512" t="s">
        <v>1255</v>
      </c>
      <c r="G512" t="s">
        <v>1367</v>
      </c>
      <c r="H512" t="s">
        <v>1375</v>
      </c>
      <c r="I512" t="s">
        <v>1379</v>
      </c>
      <c r="J512" t="s">
        <v>1382</v>
      </c>
      <c r="K512" t="s">
        <v>1385</v>
      </c>
      <c r="M512" t="s">
        <v>1389</v>
      </c>
      <c r="P512" t="s">
        <v>1400</v>
      </c>
      <c r="Q512">
        <v>0</v>
      </c>
      <c r="R512">
        <v>0</v>
      </c>
      <c r="S512">
        <v>0</v>
      </c>
      <c r="T512">
        <v>0</v>
      </c>
      <c r="U512" t="s">
        <v>1404</v>
      </c>
      <c r="V512" t="s">
        <v>1404</v>
      </c>
      <c r="W512">
        <v>0</v>
      </c>
      <c r="X512">
        <v>0</v>
      </c>
      <c r="Y512">
        <v>0</v>
      </c>
      <c r="Z512">
        <v>0</v>
      </c>
    </row>
    <row r="513" spans="1:26">
      <c r="A513" s="1">
        <f>HYPERLINK("https://cms.ls-nyc.org/matter/dynamic-profile/view/1885194","18-1885194")</f>
        <v>0</v>
      </c>
      <c r="B513" t="s">
        <v>29</v>
      </c>
      <c r="C513" t="s">
        <v>40</v>
      </c>
      <c r="D513" t="s">
        <v>466</v>
      </c>
      <c r="E513" t="s">
        <v>895</v>
      </c>
      <c r="F513" t="s">
        <v>1256</v>
      </c>
      <c r="G513" t="s">
        <v>1282</v>
      </c>
      <c r="H513" t="s">
        <v>1375</v>
      </c>
      <c r="I513" t="s">
        <v>1379</v>
      </c>
      <c r="J513" t="s">
        <v>1383</v>
      </c>
      <c r="K513" t="s">
        <v>1385</v>
      </c>
      <c r="L513" t="s">
        <v>1385</v>
      </c>
      <c r="M513" t="s">
        <v>1391</v>
      </c>
      <c r="P513" t="s">
        <v>1400</v>
      </c>
      <c r="Q513">
        <v>0</v>
      </c>
      <c r="R513">
        <v>0</v>
      </c>
      <c r="S513">
        <v>0</v>
      </c>
      <c r="T513">
        <v>0</v>
      </c>
      <c r="U513" t="s">
        <v>1404</v>
      </c>
      <c r="V513" t="s">
        <v>1404</v>
      </c>
      <c r="W513">
        <v>0</v>
      </c>
      <c r="X513">
        <v>0</v>
      </c>
      <c r="Y513">
        <v>0</v>
      </c>
      <c r="Z513">
        <v>0</v>
      </c>
    </row>
    <row r="514" spans="1:26">
      <c r="A514" s="1">
        <f>HYPERLINK("https://cms.ls-nyc.org/matter/dynamic-profile/view/1885845","18-1885845")</f>
        <v>0</v>
      </c>
      <c r="B514" t="s">
        <v>27</v>
      </c>
      <c r="C514" t="s">
        <v>60</v>
      </c>
      <c r="D514" t="s">
        <v>467</v>
      </c>
      <c r="E514" t="s">
        <v>896</v>
      </c>
      <c r="F514" t="s">
        <v>1257</v>
      </c>
      <c r="G514" t="s">
        <v>1311</v>
      </c>
      <c r="H514" t="s">
        <v>1375</v>
      </c>
      <c r="I514" t="s">
        <v>1378</v>
      </c>
      <c r="J514" t="s">
        <v>1382</v>
      </c>
      <c r="K514" t="s">
        <v>1385</v>
      </c>
      <c r="M514" t="s">
        <v>1391</v>
      </c>
      <c r="P514" t="s">
        <v>1400</v>
      </c>
      <c r="Q514">
        <v>0</v>
      </c>
      <c r="R514">
        <v>0</v>
      </c>
      <c r="S514">
        <v>0</v>
      </c>
      <c r="T514">
        <v>0</v>
      </c>
      <c r="U514" t="s">
        <v>1404</v>
      </c>
      <c r="V514" t="s">
        <v>1404</v>
      </c>
      <c r="W514">
        <v>0</v>
      </c>
      <c r="X514">
        <v>0</v>
      </c>
      <c r="Y514">
        <v>0</v>
      </c>
      <c r="Z514">
        <v>0</v>
      </c>
    </row>
    <row r="515" spans="1:26">
      <c r="A515" s="1">
        <f>HYPERLINK("https://cms.ls-nyc.org/matter/dynamic-profile/view/1885850","18-1885850")</f>
        <v>0</v>
      </c>
      <c r="B515" t="s">
        <v>29</v>
      </c>
      <c r="C515" t="s">
        <v>44</v>
      </c>
      <c r="D515" t="s">
        <v>468</v>
      </c>
      <c r="E515" t="s">
        <v>580</v>
      </c>
      <c r="F515" t="s">
        <v>1257</v>
      </c>
      <c r="G515" t="s">
        <v>1307</v>
      </c>
      <c r="H515" t="s">
        <v>1375</v>
      </c>
      <c r="I515" t="s">
        <v>1379</v>
      </c>
      <c r="J515" t="s">
        <v>1383</v>
      </c>
      <c r="K515" t="s">
        <v>1385</v>
      </c>
      <c r="L515" t="s">
        <v>1385</v>
      </c>
      <c r="M515" t="s">
        <v>1390</v>
      </c>
      <c r="P515" t="s">
        <v>1398</v>
      </c>
      <c r="Q515">
        <v>0</v>
      </c>
      <c r="R515">
        <v>0</v>
      </c>
      <c r="S515">
        <v>5333</v>
      </c>
      <c r="T515">
        <v>0</v>
      </c>
      <c r="U515" t="s">
        <v>1422</v>
      </c>
      <c r="V515" t="s">
        <v>1656</v>
      </c>
      <c r="W515">
        <v>5333</v>
      </c>
      <c r="X515">
        <v>514</v>
      </c>
      <c r="Y515">
        <v>0</v>
      </c>
      <c r="Z515">
        <v>0</v>
      </c>
    </row>
    <row r="516" spans="1:26">
      <c r="A516" s="1">
        <f>HYPERLINK("https://cms.ls-nyc.org/matter/dynamic-profile/view/1885860","18-1885860")</f>
        <v>0</v>
      </c>
      <c r="B516" t="s">
        <v>29</v>
      </c>
      <c r="C516" t="s">
        <v>42</v>
      </c>
      <c r="D516" t="s">
        <v>63</v>
      </c>
      <c r="E516" t="s">
        <v>897</v>
      </c>
      <c r="F516" t="s">
        <v>1257</v>
      </c>
      <c r="G516" t="s">
        <v>1336</v>
      </c>
      <c r="H516" t="s">
        <v>1375</v>
      </c>
      <c r="I516" t="s">
        <v>1379</v>
      </c>
      <c r="J516" t="s">
        <v>1383</v>
      </c>
      <c r="K516" t="s">
        <v>1385</v>
      </c>
      <c r="M516" t="s">
        <v>1389</v>
      </c>
      <c r="P516" t="s">
        <v>1400</v>
      </c>
      <c r="Q516">
        <v>0</v>
      </c>
      <c r="R516">
        <v>0</v>
      </c>
      <c r="S516">
        <v>0</v>
      </c>
      <c r="T516">
        <v>0</v>
      </c>
      <c r="U516" t="s">
        <v>1404</v>
      </c>
      <c r="V516" t="s">
        <v>1404</v>
      </c>
      <c r="W516">
        <v>0</v>
      </c>
      <c r="X516">
        <v>0</v>
      </c>
      <c r="Y516">
        <v>0</v>
      </c>
      <c r="Z516">
        <v>0</v>
      </c>
    </row>
    <row r="517" spans="1:26">
      <c r="A517" s="1">
        <f>HYPERLINK("https://cms.ls-nyc.org/matter/dynamic-profile/view/1886132","18-1886132")</f>
        <v>0</v>
      </c>
      <c r="B517" t="s">
        <v>26</v>
      </c>
      <c r="C517" t="s">
        <v>53</v>
      </c>
      <c r="D517" t="s">
        <v>469</v>
      </c>
      <c r="E517" t="s">
        <v>604</v>
      </c>
      <c r="F517" t="s">
        <v>1258</v>
      </c>
      <c r="G517" t="s">
        <v>1324</v>
      </c>
      <c r="H517" t="s">
        <v>1375</v>
      </c>
      <c r="I517" t="s">
        <v>1379</v>
      </c>
      <c r="J517" t="s">
        <v>1382</v>
      </c>
      <c r="K517" t="s">
        <v>1385</v>
      </c>
      <c r="M517" t="s">
        <v>1390</v>
      </c>
      <c r="P517" t="s">
        <v>1398</v>
      </c>
      <c r="Q517">
        <v>0</v>
      </c>
      <c r="R517">
        <v>0</v>
      </c>
      <c r="S517">
        <v>0</v>
      </c>
      <c r="T517">
        <v>0</v>
      </c>
      <c r="U517" t="s">
        <v>1404</v>
      </c>
      <c r="V517" t="s">
        <v>1404</v>
      </c>
      <c r="W517">
        <v>0</v>
      </c>
      <c r="X517">
        <v>0</v>
      </c>
      <c r="Y517">
        <v>0</v>
      </c>
      <c r="Z517">
        <v>0</v>
      </c>
    </row>
    <row r="518" spans="1:26">
      <c r="A518" s="1">
        <f>HYPERLINK("https://cms.ls-nyc.org/matter/dynamic-profile/view/1886134","18-1886134")</f>
        <v>0</v>
      </c>
      <c r="B518" t="s">
        <v>29</v>
      </c>
      <c r="C518" t="s">
        <v>44</v>
      </c>
      <c r="D518" t="s">
        <v>183</v>
      </c>
      <c r="E518" t="s">
        <v>626</v>
      </c>
      <c r="F518" t="s">
        <v>1258</v>
      </c>
      <c r="G518" t="s">
        <v>1363</v>
      </c>
      <c r="J518" t="s">
        <v>1382</v>
      </c>
      <c r="K518" t="s">
        <v>1385</v>
      </c>
      <c r="M518" t="s">
        <v>1389</v>
      </c>
      <c r="Q518">
        <v>0</v>
      </c>
      <c r="R518">
        <v>0</v>
      </c>
      <c r="S518">
        <v>0</v>
      </c>
      <c r="T518">
        <v>0</v>
      </c>
      <c r="U518" t="s">
        <v>1404</v>
      </c>
      <c r="V518" t="s">
        <v>1404</v>
      </c>
      <c r="W518">
        <v>0</v>
      </c>
      <c r="X518">
        <v>0</v>
      </c>
      <c r="Y518">
        <v>0</v>
      </c>
      <c r="Z518">
        <v>0</v>
      </c>
    </row>
    <row r="519" spans="1:26">
      <c r="A519" s="1">
        <f>HYPERLINK("https://cms.ls-nyc.org/matter/dynamic-profile/view/1886155","18-1886155")</f>
        <v>0</v>
      </c>
      <c r="B519" t="s">
        <v>26</v>
      </c>
      <c r="C519" t="s">
        <v>51</v>
      </c>
      <c r="D519" t="s">
        <v>470</v>
      </c>
      <c r="E519" t="s">
        <v>898</v>
      </c>
      <c r="F519" t="s">
        <v>1258</v>
      </c>
      <c r="G519" t="s">
        <v>1280</v>
      </c>
      <c r="H519" t="s">
        <v>1378</v>
      </c>
      <c r="I519" t="s">
        <v>1379</v>
      </c>
      <c r="J519" t="s">
        <v>1382</v>
      </c>
      <c r="K519" t="s">
        <v>1385</v>
      </c>
      <c r="M519" t="s">
        <v>1389</v>
      </c>
      <c r="P519" t="s">
        <v>1399</v>
      </c>
      <c r="Q519">
        <v>0</v>
      </c>
      <c r="R519">
        <v>0</v>
      </c>
      <c r="S519">
        <v>0</v>
      </c>
      <c r="T519">
        <v>0</v>
      </c>
      <c r="U519" t="s">
        <v>1404</v>
      </c>
      <c r="V519" t="s">
        <v>1404</v>
      </c>
      <c r="W519">
        <v>0</v>
      </c>
      <c r="X519">
        <v>0</v>
      </c>
      <c r="Y519">
        <v>0</v>
      </c>
      <c r="Z519">
        <v>0</v>
      </c>
    </row>
    <row r="520" spans="1:26">
      <c r="A520" s="1">
        <f>HYPERLINK("https://cms.ls-nyc.org/matter/dynamic-profile/view/1886195","18-1886195")</f>
        <v>0</v>
      </c>
      <c r="B520" t="s">
        <v>29</v>
      </c>
      <c r="C520" t="s">
        <v>40</v>
      </c>
      <c r="D520" t="s">
        <v>445</v>
      </c>
      <c r="E520" t="s">
        <v>558</v>
      </c>
      <c r="F520" t="s">
        <v>1259</v>
      </c>
      <c r="G520" t="s">
        <v>1282</v>
      </c>
      <c r="H520" t="s">
        <v>1375</v>
      </c>
      <c r="I520" t="s">
        <v>1380</v>
      </c>
      <c r="J520" t="s">
        <v>1382</v>
      </c>
      <c r="K520" t="s">
        <v>1385</v>
      </c>
      <c r="M520" t="s">
        <v>1391</v>
      </c>
      <c r="P520" t="s">
        <v>1400</v>
      </c>
      <c r="Q520">
        <v>0</v>
      </c>
      <c r="R520">
        <v>0</v>
      </c>
      <c r="S520">
        <v>0</v>
      </c>
      <c r="T520">
        <v>0</v>
      </c>
      <c r="U520" t="s">
        <v>1404</v>
      </c>
      <c r="V520" t="s">
        <v>1404</v>
      </c>
      <c r="W520">
        <v>0</v>
      </c>
      <c r="X520">
        <v>0</v>
      </c>
      <c r="Y520">
        <v>0</v>
      </c>
      <c r="Z520">
        <v>0</v>
      </c>
    </row>
    <row r="521" spans="1:26">
      <c r="A521" s="1">
        <f>HYPERLINK("https://cms.ls-nyc.org/matter/dynamic-profile/view/1886197","18-1886197")</f>
        <v>0</v>
      </c>
      <c r="B521" t="s">
        <v>29</v>
      </c>
      <c r="C521" t="s">
        <v>44</v>
      </c>
      <c r="D521" t="s">
        <v>471</v>
      </c>
      <c r="E521" t="s">
        <v>899</v>
      </c>
      <c r="F521" t="s">
        <v>1259</v>
      </c>
      <c r="G521" t="s">
        <v>1307</v>
      </c>
      <c r="H521" t="s">
        <v>1375</v>
      </c>
      <c r="I521" t="s">
        <v>1379</v>
      </c>
      <c r="J521" t="s">
        <v>1382</v>
      </c>
      <c r="K521" t="s">
        <v>1385</v>
      </c>
      <c r="M521" t="s">
        <v>1390</v>
      </c>
      <c r="P521" t="s">
        <v>1398</v>
      </c>
      <c r="Q521">
        <v>0</v>
      </c>
      <c r="R521">
        <v>0</v>
      </c>
      <c r="S521">
        <v>0</v>
      </c>
      <c r="T521">
        <v>750</v>
      </c>
      <c r="U521" t="s">
        <v>1408</v>
      </c>
      <c r="V521" t="s">
        <v>1404</v>
      </c>
      <c r="W521">
        <v>0</v>
      </c>
      <c r="X521">
        <v>750</v>
      </c>
      <c r="Y521">
        <v>0</v>
      </c>
      <c r="Z521">
        <v>0</v>
      </c>
    </row>
    <row r="522" spans="1:26">
      <c r="A522" s="1">
        <f>HYPERLINK("https://cms.ls-nyc.org/matter/dynamic-profile/view/1886386","18-1886386")</f>
        <v>0</v>
      </c>
      <c r="B522" t="s">
        <v>29</v>
      </c>
      <c r="C522" t="s">
        <v>42</v>
      </c>
      <c r="D522" t="s">
        <v>472</v>
      </c>
      <c r="E522" t="s">
        <v>900</v>
      </c>
      <c r="F522" t="s">
        <v>1260</v>
      </c>
      <c r="G522" t="s">
        <v>1344</v>
      </c>
      <c r="H522" t="s">
        <v>1375</v>
      </c>
      <c r="I522" t="s">
        <v>1379</v>
      </c>
      <c r="J522" t="s">
        <v>1382</v>
      </c>
      <c r="K522" t="s">
        <v>1385</v>
      </c>
      <c r="M522" t="s">
        <v>1390</v>
      </c>
      <c r="P522" t="s">
        <v>1397</v>
      </c>
      <c r="Q522">
        <v>0</v>
      </c>
      <c r="R522">
        <v>0</v>
      </c>
      <c r="S522">
        <v>0</v>
      </c>
      <c r="T522">
        <v>0</v>
      </c>
      <c r="U522" t="s">
        <v>1404</v>
      </c>
      <c r="V522" t="s">
        <v>1404</v>
      </c>
      <c r="W522">
        <v>0</v>
      </c>
      <c r="X522">
        <v>0</v>
      </c>
      <c r="Y522">
        <v>0</v>
      </c>
      <c r="Z522">
        <v>0</v>
      </c>
    </row>
    <row r="523" spans="1:26">
      <c r="A523" s="1">
        <f>HYPERLINK("https://cms.ls-nyc.org/matter/dynamic-profile/view/1886476","18-1886476")</f>
        <v>0</v>
      </c>
      <c r="B523" t="s">
        <v>29</v>
      </c>
      <c r="C523" t="s">
        <v>42</v>
      </c>
      <c r="D523" t="s">
        <v>148</v>
      </c>
      <c r="E523" t="s">
        <v>601</v>
      </c>
      <c r="F523" t="s">
        <v>1261</v>
      </c>
      <c r="G523" t="s">
        <v>1332</v>
      </c>
      <c r="H523" t="s">
        <v>1375</v>
      </c>
      <c r="I523" t="s">
        <v>1380</v>
      </c>
      <c r="J523" t="s">
        <v>1383</v>
      </c>
      <c r="K523" t="s">
        <v>1385</v>
      </c>
      <c r="M523" t="s">
        <v>1389</v>
      </c>
      <c r="P523" t="s">
        <v>1400</v>
      </c>
      <c r="Q523">
        <v>0</v>
      </c>
      <c r="R523">
        <v>0</v>
      </c>
      <c r="S523">
        <v>0</v>
      </c>
      <c r="T523">
        <v>0</v>
      </c>
      <c r="U523" t="s">
        <v>1404</v>
      </c>
      <c r="V523" t="s">
        <v>1404</v>
      </c>
      <c r="W523">
        <v>0</v>
      </c>
      <c r="X523">
        <v>0</v>
      </c>
      <c r="Y523">
        <v>0</v>
      </c>
      <c r="Z523">
        <v>0</v>
      </c>
    </row>
    <row r="524" spans="1:26">
      <c r="A524" s="1">
        <f>HYPERLINK("https://cms.ls-nyc.org/matter/dynamic-profile/view/1886557","18-1886557")</f>
        <v>0</v>
      </c>
      <c r="B524" t="s">
        <v>29</v>
      </c>
      <c r="C524" t="s">
        <v>42</v>
      </c>
      <c r="D524" t="s">
        <v>271</v>
      </c>
      <c r="E524" t="s">
        <v>901</v>
      </c>
      <c r="F524" t="s">
        <v>1262</v>
      </c>
      <c r="G524" t="s">
        <v>1277</v>
      </c>
      <c r="H524" t="s">
        <v>1375</v>
      </c>
      <c r="I524" t="s">
        <v>1380</v>
      </c>
      <c r="J524" t="s">
        <v>1382</v>
      </c>
      <c r="K524" t="s">
        <v>1385</v>
      </c>
      <c r="M524" t="s">
        <v>1389</v>
      </c>
      <c r="P524" t="s">
        <v>1400</v>
      </c>
      <c r="Q524">
        <v>0</v>
      </c>
      <c r="R524">
        <v>0</v>
      </c>
      <c r="S524">
        <v>0</v>
      </c>
      <c r="T524">
        <v>0</v>
      </c>
      <c r="U524" t="s">
        <v>1404</v>
      </c>
      <c r="V524" t="s">
        <v>1404</v>
      </c>
      <c r="W524">
        <v>0</v>
      </c>
      <c r="X524">
        <v>0</v>
      </c>
      <c r="Y524">
        <v>0</v>
      </c>
      <c r="Z524">
        <v>0</v>
      </c>
    </row>
    <row r="525" spans="1:26">
      <c r="A525" s="1">
        <f>HYPERLINK("https://cms.ls-nyc.org/matter/dynamic-profile/view/1886693","18-1886693")</f>
        <v>0</v>
      </c>
      <c r="B525" t="s">
        <v>29</v>
      </c>
      <c r="C525" t="s">
        <v>40</v>
      </c>
      <c r="D525" t="s">
        <v>442</v>
      </c>
      <c r="E525" t="s">
        <v>554</v>
      </c>
      <c r="F525" t="s">
        <v>1263</v>
      </c>
      <c r="G525" t="s">
        <v>1322</v>
      </c>
      <c r="H525" t="s">
        <v>1375</v>
      </c>
      <c r="I525" t="s">
        <v>1379</v>
      </c>
      <c r="J525" t="s">
        <v>1383</v>
      </c>
      <c r="K525" t="s">
        <v>1385</v>
      </c>
      <c r="M525" t="s">
        <v>1391</v>
      </c>
      <c r="P525" t="s">
        <v>1400</v>
      </c>
      <c r="Q525">
        <v>0</v>
      </c>
      <c r="R525">
        <v>0</v>
      </c>
      <c r="S525">
        <v>0</v>
      </c>
      <c r="T525">
        <v>0</v>
      </c>
      <c r="U525" t="s">
        <v>1404</v>
      </c>
      <c r="V525" t="s">
        <v>1404</v>
      </c>
      <c r="W525">
        <v>0</v>
      </c>
      <c r="X525">
        <v>0</v>
      </c>
      <c r="Y525">
        <v>0</v>
      </c>
      <c r="Z525">
        <v>0</v>
      </c>
    </row>
    <row r="526" spans="1:26">
      <c r="A526" s="1">
        <f>HYPERLINK("https://cms.ls-nyc.org/matter/dynamic-profile/view/1886941","19-1886941")</f>
        <v>0</v>
      </c>
      <c r="B526" t="s">
        <v>29</v>
      </c>
      <c r="C526" t="s">
        <v>40</v>
      </c>
      <c r="D526" t="s">
        <v>473</v>
      </c>
      <c r="E526" t="s">
        <v>902</v>
      </c>
      <c r="F526" t="s">
        <v>1264</v>
      </c>
      <c r="G526" t="s">
        <v>1282</v>
      </c>
      <c r="H526" t="s">
        <v>1375</v>
      </c>
      <c r="I526" t="s">
        <v>1380</v>
      </c>
      <c r="J526" t="s">
        <v>1382</v>
      </c>
      <c r="K526" t="s">
        <v>1385</v>
      </c>
      <c r="M526" t="s">
        <v>1391</v>
      </c>
      <c r="P526" t="s">
        <v>1400</v>
      </c>
      <c r="Q526">
        <v>0</v>
      </c>
      <c r="R526">
        <v>0</v>
      </c>
      <c r="S526">
        <v>0</v>
      </c>
      <c r="T526">
        <v>0</v>
      </c>
      <c r="U526" t="s">
        <v>1404</v>
      </c>
      <c r="V526" t="s">
        <v>1404</v>
      </c>
      <c r="W526">
        <v>0</v>
      </c>
      <c r="X526">
        <v>0</v>
      </c>
      <c r="Y526">
        <v>0</v>
      </c>
      <c r="Z526">
        <v>0</v>
      </c>
    </row>
    <row r="527" spans="1:26">
      <c r="A527" s="1">
        <f>HYPERLINK("https://cms.ls-nyc.org/matter/dynamic-profile/view/1886984","19-1886984")</f>
        <v>0</v>
      </c>
      <c r="B527" t="s">
        <v>27</v>
      </c>
      <c r="C527" t="s">
        <v>60</v>
      </c>
      <c r="D527" t="s">
        <v>172</v>
      </c>
      <c r="E527" t="s">
        <v>709</v>
      </c>
      <c r="F527" t="s">
        <v>1264</v>
      </c>
      <c r="G527" t="s">
        <v>1337</v>
      </c>
      <c r="H527" t="s">
        <v>1375</v>
      </c>
      <c r="I527" t="s">
        <v>1379</v>
      </c>
      <c r="J527" t="s">
        <v>1382</v>
      </c>
      <c r="K527" t="s">
        <v>1385</v>
      </c>
      <c r="M527" t="s">
        <v>1389</v>
      </c>
      <c r="P527" t="s">
        <v>1400</v>
      </c>
      <c r="Q527">
        <v>0</v>
      </c>
      <c r="R527">
        <v>0</v>
      </c>
      <c r="S527">
        <v>0</v>
      </c>
      <c r="T527">
        <v>0</v>
      </c>
      <c r="U527" t="s">
        <v>1404</v>
      </c>
      <c r="V527" t="s">
        <v>1404</v>
      </c>
      <c r="W527">
        <v>0</v>
      </c>
      <c r="X527">
        <v>0</v>
      </c>
      <c r="Y527">
        <v>0</v>
      </c>
      <c r="Z527">
        <v>0</v>
      </c>
    </row>
    <row r="528" spans="1:26">
      <c r="A528" s="1">
        <f>HYPERLINK("https://cms.ls-nyc.org/matter/dynamic-profile/view/1887094","19-1887094")</f>
        <v>0</v>
      </c>
      <c r="B528" t="s">
        <v>29</v>
      </c>
      <c r="C528" t="s">
        <v>44</v>
      </c>
      <c r="D528" t="s">
        <v>474</v>
      </c>
      <c r="E528" t="s">
        <v>903</v>
      </c>
      <c r="F528" t="s">
        <v>1253</v>
      </c>
      <c r="G528" t="s">
        <v>1307</v>
      </c>
      <c r="H528" t="s">
        <v>1375</v>
      </c>
      <c r="I528" t="s">
        <v>1379</v>
      </c>
      <c r="J528" t="s">
        <v>1382</v>
      </c>
      <c r="K528" t="s">
        <v>1385</v>
      </c>
      <c r="M528" t="s">
        <v>1390</v>
      </c>
      <c r="P528" t="s">
        <v>1398</v>
      </c>
      <c r="Q528">
        <v>0</v>
      </c>
      <c r="R528">
        <v>0</v>
      </c>
      <c r="S528">
        <v>0</v>
      </c>
      <c r="T528">
        <v>750</v>
      </c>
      <c r="U528" t="s">
        <v>1408</v>
      </c>
      <c r="V528" t="s">
        <v>1404</v>
      </c>
      <c r="W528">
        <v>0</v>
      </c>
      <c r="X528">
        <v>750</v>
      </c>
      <c r="Y528">
        <v>0</v>
      </c>
      <c r="Z528">
        <v>0</v>
      </c>
    </row>
    <row r="529" spans="1:26">
      <c r="A529" s="1">
        <f>HYPERLINK("https://cms.ls-nyc.org/matter/dynamic-profile/view/1887282","19-1887282")</f>
        <v>0</v>
      </c>
      <c r="B529" t="s">
        <v>26</v>
      </c>
      <c r="C529" t="s">
        <v>31</v>
      </c>
      <c r="D529" t="s">
        <v>475</v>
      </c>
      <c r="E529" t="s">
        <v>592</v>
      </c>
      <c r="F529" t="s">
        <v>1265</v>
      </c>
      <c r="G529" t="s">
        <v>1368</v>
      </c>
      <c r="H529" t="s">
        <v>1375</v>
      </c>
      <c r="I529" t="s">
        <v>1380</v>
      </c>
      <c r="J529" t="s">
        <v>1383</v>
      </c>
      <c r="K529" t="s">
        <v>1385</v>
      </c>
      <c r="M529" t="s">
        <v>1390</v>
      </c>
      <c r="P529" t="s">
        <v>1397</v>
      </c>
      <c r="Q529">
        <v>0</v>
      </c>
      <c r="R529">
        <v>0</v>
      </c>
      <c r="S529">
        <v>0</v>
      </c>
      <c r="T529">
        <v>0</v>
      </c>
      <c r="U529" t="s">
        <v>1404</v>
      </c>
      <c r="V529" t="s">
        <v>1404</v>
      </c>
      <c r="W529">
        <v>0</v>
      </c>
      <c r="X529">
        <v>0</v>
      </c>
      <c r="Y529">
        <v>0</v>
      </c>
      <c r="Z529">
        <v>0</v>
      </c>
    </row>
    <row r="530" spans="1:26">
      <c r="A530" s="1">
        <f>HYPERLINK("https://cms.ls-nyc.org/matter/dynamic-profile/view/1887378","19-1887378")</f>
        <v>0</v>
      </c>
      <c r="B530" t="s">
        <v>26</v>
      </c>
      <c r="C530" t="s">
        <v>56</v>
      </c>
      <c r="D530" t="s">
        <v>148</v>
      </c>
      <c r="E530" t="s">
        <v>904</v>
      </c>
      <c r="F530" t="s">
        <v>1266</v>
      </c>
      <c r="G530" t="s">
        <v>1311</v>
      </c>
      <c r="H530" t="s">
        <v>1375</v>
      </c>
      <c r="I530" t="s">
        <v>1379</v>
      </c>
      <c r="J530" t="s">
        <v>1383</v>
      </c>
      <c r="K530" t="s">
        <v>1385</v>
      </c>
      <c r="M530" t="s">
        <v>1389</v>
      </c>
      <c r="P530" t="s">
        <v>1400</v>
      </c>
      <c r="Q530">
        <v>0</v>
      </c>
      <c r="R530">
        <v>0</v>
      </c>
      <c r="S530">
        <v>0</v>
      </c>
      <c r="T530">
        <v>0</v>
      </c>
      <c r="U530" t="s">
        <v>1404</v>
      </c>
      <c r="V530" t="s">
        <v>1404</v>
      </c>
      <c r="W530">
        <v>0</v>
      </c>
      <c r="X530">
        <v>0</v>
      </c>
      <c r="Y530">
        <v>0</v>
      </c>
      <c r="Z530">
        <v>0</v>
      </c>
    </row>
    <row r="531" spans="1:26">
      <c r="A531" s="1">
        <f>HYPERLINK("https://cms.ls-nyc.org/matter/dynamic-profile/view/1887439","19-1887439")</f>
        <v>0</v>
      </c>
      <c r="B531" t="s">
        <v>29</v>
      </c>
      <c r="C531" t="s">
        <v>44</v>
      </c>
      <c r="D531" t="s">
        <v>476</v>
      </c>
      <c r="E531" t="s">
        <v>818</v>
      </c>
      <c r="F531" t="s">
        <v>1267</v>
      </c>
      <c r="G531" t="s">
        <v>1369</v>
      </c>
      <c r="H531" t="s">
        <v>1375</v>
      </c>
      <c r="I531" t="s">
        <v>1379</v>
      </c>
      <c r="J531" t="s">
        <v>1383</v>
      </c>
      <c r="K531" t="s">
        <v>1385</v>
      </c>
      <c r="M531" t="s">
        <v>1389</v>
      </c>
      <c r="P531" t="s">
        <v>1400</v>
      </c>
      <c r="Q531">
        <v>0</v>
      </c>
      <c r="R531">
        <v>0</v>
      </c>
      <c r="S531">
        <v>0</v>
      </c>
      <c r="T531">
        <v>0</v>
      </c>
      <c r="U531" t="s">
        <v>1404</v>
      </c>
      <c r="V531" t="s">
        <v>1404</v>
      </c>
      <c r="W531">
        <v>0</v>
      </c>
      <c r="X531">
        <v>0</v>
      </c>
      <c r="Y531">
        <v>0</v>
      </c>
      <c r="Z531">
        <v>0</v>
      </c>
    </row>
    <row r="532" spans="1:26">
      <c r="A532" s="1">
        <f>HYPERLINK("https://cms.ls-nyc.org/matter/dynamic-profile/view/1888315","19-1888315")</f>
        <v>0</v>
      </c>
      <c r="B532" t="s">
        <v>29</v>
      </c>
      <c r="C532" t="s">
        <v>40</v>
      </c>
      <c r="D532" t="s">
        <v>477</v>
      </c>
      <c r="E532" t="s">
        <v>905</v>
      </c>
      <c r="F532" t="s">
        <v>1268</v>
      </c>
      <c r="G532" t="s">
        <v>1322</v>
      </c>
      <c r="H532" t="s">
        <v>1375</v>
      </c>
      <c r="I532" t="s">
        <v>1379</v>
      </c>
      <c r="J532" t="s">
        <v>1383</v>
      </c>
      <c r="K532" t="s">
        <v>1385</v>
      </c>
      <c r="M532" t="s">
        <v>1389</v>
      </c>
      <c r="P532" t="s">
        <v>1400</v>
      </c>
      <c r="Q532">
        <v>0</v>
      </c>
      <c r="R532">
        <v>0</v>
      </c>
      <c r="S532">
        <v>0</v>
      </c>
      <c r="T532">
        <v>0</v>
      </c>
      <c r="U532" t="s">
        <v>1404</v>
      </c>
      <c r="V532" t="s">
        <v>1404</v>
      </c>
      <c r="W532">
        <v>0</v>
      </c>
      <c r="X532">
        <v>0</v>
      </c>
      <c r="Y532">
        <v>0</v>
      </c>
      <c r="Z532">
        <v>0</v>
      </c>
    </row>
    <row r="533" spans="1:26">
      <c r="A533" s="1">
        <f>HYPERLINK("https://cms.ls-nyc.org/matter/dynamic-profile/view/1888550","19-1888550")</f>
        <v>0</v>
      </c>
      <c r="B533" t="s">
        <v>29</v>
      </c>
      <c r="C533" t="s">
        <v>40</v>
      </c>
      <c r="D533" t="s">
        <v>478</v>
      </c>
      <c r="E533" t="s">
        <v>906</v>
      </c>
      <c r="F533" t="s">
        <v>1269</v>
      </c>
      <c r="G533" t="s">
        <v>1282</v>
      </c>
      <c r="H533" t="s">
        <v>1375</v>
      </c>
      <c r="I533" t="s">
        <v>1379</v>
      </c>
      <c r="J533" t="s">
        <v>1382</v>
      </c>
      <c r="K533" t="s">
        <v>1385</v>
      </c>
      <c r="M533" t="s">
        <v>1391</v>
      </c>
      <c r="P533" t="s">
        <v>1400</v>
      </c>
      <c r="Q533">
        <v>0</v>
      </c>
      <c r="R533">
        <v>0</v>
      </c>
      <c r="S533">
        <v>0</v>
      </c>
      <c r="T533">
        <v>0</v>
      </c>
      <c r="U533" t="s">
        <v>1404</v>
      </c>
      <c r="V533" t="s">
        <v>1404</v>
      </c>
      <c r="W533">
        <v>0</v>
      </c>
      <c r="X533">
        <v>0</v>
      </c>
      <c r="Y533">
        <v>0</v>
      </c>
      <c r="Z533">
        <v>0</v>
      </c>
    </row>
    <row r="534" spans="1:26">
      <c r="A534" s="1">
        <f>HYPERLINK("https://cms.ls-nyc.org/matter/dynamic-profile/view/1888556","19-1888556")</f>
        <v>0</v>
      </c>
      <c r="B534" t="s">
        <v>27</v>
      </c>
      <c r="C534" t="s">
        <v>60</v>
      </c>
      <c r="D534" t="s">
        <v>479</v>
      </c>
      <c r="E534" t="s">
        <v>907</v>
      </c>
      <c r="F534" t="s">
        <v>1269</v>
      </c>
      <c r="G534" t="s">
        <v>1370</v>
      </c>
      <c r="H534" t="s">
        <v>1375</v>
      </c>
      <c r="I534" t="s">
        <v>1378</v>
      </c>
      <c r="J534" t="s">
        <v>1383</v>
      </c>
      <c r="K534" t="s">
        <v>1385</v>
      </c>
      <c r="M534" t="s">
        <v>1389</v>
      </c>
      <c r="P534" t="s">
        <v>1400</v>
      </c>
      <c r="Q534">
        <v>0</v>
      </c>
      <c r="R534">
        <v>0</v>
      </c>
      <c r="S534">
        <v>0</v>
      </c>
      <c r="T534">
        <v>0</v>
      </c>
      <c r="U534" t="s">
        <v>1404</v>
      </c>
      <c r="V534" t="s">
        <v>1404</v>
      </c>
      <c r="W534">
        <v>0</v>
      </c>
      <c r="X534">
        <v>0</v>
      </c>
      <c r="Y534">
        <v>0</v>
      </c>
      <c r="Z534">
        <v>0</v>
      </c>
    </row>
    <row r="535" spans="1:26">
      <c r="A535" s="1">
        <f>HYPERLINK("https://cms.ls-nyc.org/matter/dynamic-profile/view/1889439","19-1889439")</f>
        <v>0</v>
      </c>
      <c r="B535" t="s">
        <v>29</v>
      </c>
      <c r="C535" t="s">
        <v>44</v>
      </c>
      <c r="D535" t="s">
        <v>480</v>
      </c>
      <c r="E535" t="s">
        <v>787</v>
      </c>
      <c r="F535" t="s">
        <v>1270</v>
      </c>
      <c r="G535" t="s">
        <v>1363</v>
      </c>
      <c r="H535" t="s">
        <v>1375</v>
      </c>
      <c r="I535" t="s">
        <v>1379</v>
      </c>
      <c r="J535" t="s">
        <v>1382</v>
      </c>
      <c r="K535" t="s">
        <v>1385</v>
      </c>
      <c r="M535" t="s">
        <v>1389</v>
      </c>
      <c r="P535" t="s">
        <v>1400</v>
      </c>
      <c r="Q535">
        <v>0</v>
      </c>
      <c r="R535">
        <v>0</v>
      </c>
      <c r="S535">
        <v>0</v>
      </c>
      <c r="T535">
        <v>0</v>
      </c>
      <c r="U535" t="s">
        <v>1404</v>
      </c>
      <c r="V535" t="s">
        <v>1404</v>
      </c>
      <c r="W535">
        <v>0</v>
      </c>
      <c r="X535">
        <v>0</v>
      </c>
      <c r="Y535">
        <v>0</v>
      </c>
      <c r="Z535">
        <v>0</v>
      </c>
    </row>
    <row r="536" spans="1:26">
      <c r="A536" s="1">
        <f>HYPERLINK("https://cms.ls-nyc.org/matter/dynamic-profile/view/1889461","19-1889461")</f>
        <v>0</v>
      </c>
      <c r="B536" t="s">
        <v>27</v>
      </c>
      <c r="C536" t="s">
        <v>60</v>
      </c>
      <c r="D536" t="s">
        <v>481</v>
      </c>
      <c r="E536" t="s">
        <v>709</v>
      </c>
      <c r="F536" t="s">
        <v>1270</v>
      </c>
      <c r="G536" t="s">
        <v>1282</v>
      </c>
      <c r="H536" t="s">
        <v>1375</v>
      </c>
      <c r="I536" t="s">
        <v>1378</v>
      </c>
      <c r="J536" t="s">
        <v>1383</v>
      </c>
      <c r="K536" t="s">
        <v>1385</v>
      </c>
      <c r="M536" t="s">
        <v>1389</v>
      </c>
      <c r="P536" t="s">
        <v>1400</v>
      </c>
      <c r="Q536">
        <v>0</v>
      </c>
      <c r="R536">
        <v>0</v>
      </c>
      <c r="S536">
        <v>0</v>
      </c>
      <c r="T536">
        <v>0</v>
      </c>
      <c r="U536" t="s">
        <v>1404</v>
      </c>
      <c r="V536" t="s">
        <v>1404</v>
      </c>
      <c r="W536">
        <v>0</v>
      </c>
      <c r="X536">
        <v>0</v>
      </c>
      <c r="Y536">
        <v>0</v>
      </c>
      <c r="Z536">
        <v>0</v>
      </c>
    </row>
    <row r="537" spans="1:26">
      <c r="A537" s="1">
        <f>HYPERLINK("https://cms.ls-nyc.org/matter/dynamic-profile/view/1890899","19-1890899")</f>
        <v>0</v>
      </c>
      <c r="B537" t="s">
        <v>27</v>
      </c>
      <c r="C537" t="s">
        <v>60</v>
      </c>
      <c r="D537" t="s">
        <v>482</v>
      </c>
      <c r="E537" t="s">
        <v>908</v>
      </c>
      <c r="F537" t="s">
        <v>1271</v>
      </c>
      <c r="G537" t="s">
        <v>1371</v>
      </c>
      <c r="H537" t="s">
        <v>1375</v>
      </c>
      <c r="I537" t="s">
        <v>1378</v>
      </c>
      <c r="J537" t="s">
        <v>1382</v>
      </c>
      <c r="K537" t="s">
        <v>1385</v>
      </c>
      <c r="M537" t="s">
        <v>1389</v>
      </c>
      <c r="P537" t="s">
        <v>1400</v>
      </c>
      <c r="Q537">
        <v>0</v>
      </c>
      <c r="R537">
        <v>0</v>
      </c>
      <c r="S537">
        <v>0</v>
      </c>
      <c r="T537">
        <v>0</v>
      </c>
      <c r="U537" t="s">
        <v>1404</v>
      </c>
      <c r="V537" t="s">
        <v>1404</v>
      </c>
      <c r="W537">
        <v>0</v>
      </c>
      <c r="X537">
        <v>0</v>
      </c>
      <c r="Y537">
        <v>0</v>
      </c>
      <c r="Z537">
        <v>0</v>
      </c>
    </row>
    <row r="538" spans="1:26">
      <c r="A538" s="1">
        <f>HYPERLINK("https://cms.ls-nyc.org/matter/dynamic-profile/view/1893200","19-1893200")</f>
        <v>0</v>
      </c>
      <c r="B538" t="s">
        <v>26</v>
      </c>
      <c r="C538" t="s">
        <v>60</v>
      </c>
      <c r="D538" t="s">
        <v>483</v>
      </c>
      <c r="E538" t="s">
        <v>533</v>
      </c>
      <c r="F538" t="s">
        <v>1272</v>
      </c>
      <c r="G538" t="s">
        <v>1372</v>
      </c>
      <c r="H538" t="s">
        <v>1375</v>
      </c>
      <c r="I538" t="s">
        <v>1378</v>
      </c>
      <c r="J538" t="s">
        <v>1383</v>
      </c>
      <c r="K538" t="s">
        <v>1385</v>
      </c>
      <c r="M538" t="s">
        <v>1389</v>
      </c>
      <c r="P538" t="s">
        <v>1400</v>
      </c>
      <c r="Q538">
        <v>0</v>
      </c>
      <c r="R538">
        <v>0</v>
      </c>
      <c r="S538">
        <v>0</v>
      </c>
      <c r="T538">
        <v>0</v>
      </c>
      <c r="U538" t="s">
        <v>1404</v>
      </c>
      <c r="V538" t="s">
        <v>1404</v>
      </c>
      <c r="W538">
        <v>0</v>
      </c>
      <c r="X538">
        <v>0</v>
      </c>
      <c r="Y538">
        <v>0</v>
      </c>
      <c r="Z538">
        <v>0</v>
      </c>
    </row>
    <row r="539" spans="1:26">
      <c r="A539" s="1">
        <f>HYPERLINK("https://cms.ls-nyc.org/matter/dynamic-profile/view/1893730","19-1893730")</f>
        <v>0</v>
      </c>
      <c r="B539" t="s">
        <v>27</v>
      </c>
      <c r="C539" t="s">
        <v>60</v>
      </c>
      <c r="D539" t="s">
        <v>484</v>
      </c>
      <c r="E539" t="s">
        <v>909</v>
      </c>
      <c r="F539" t="s">
        <v>1273</v>
      </c>
      <c r="G539" t="s">
        <v>1279</v>
      </c>
      <c r="H539" t="s">
        <v>1375</v>
      </c>
      <c r="I539" t="s">
        <v>1378</v>
      </c>
      <c r="J539" t="s">
        <v>1382</v>
      </c>
      <c r="K539" t="s">
        <v>1385</v>
      </c>
      <c r="M539" t="s">
        <v>1389</v>
      </c>
      <c r="P539" t="s">
        <v>1400</v>
      </c>
      <c r="Q539">
        <v>0</v>
      </c>
      <c r="R539">
        <v>0</v>
      </c>
      <c r="S539">
        <v>0</v>
      </c>
      <c r="T539">
        <v>0</v>
      </c>
      <c r="U539" t="s">
        <v>1404</v>
      </c>
      <c r="V539" t="s">
        <v>1404</v>
      </c>
      <c r="W539">
        <v>0</v>
      </c>
      <c r="X539">
        <v>0</v>
      </c>
      <c r="Y539">
        <v>0</v>
      </c>
      <c r="Z539">
        <v>0</v>
      </c>
    </row>
    <row r="540" spans="1:26">
      <c r="A540" s="1">
        <f>HYPERLINK("https://cms.ls-nyc.org/matter/dynamic-profile/view/1893974","19-1893974")</f>
        <v>0</v>
      </c>
      <c r="B540" t="s">
        <v>29</v>
      </c>
      <c r="C540" t="s">
        <v>44</v>
      </c>
      <c r="D540" t="s">
        <v>485</v>
      </c>
      <c r="E540" t="s">
        <v>910</v>
      </c>
      <c r="F540" t="s">
        <v>1274</v>
      </c>
      <c r="G540" t="s">
        <v>1363</v>
      </c>
      <c r="H540" t="s">
        <v>1375</v>
      </c>
      <c r="I540" t="s">
        <v>1379</v>
      </c>
      <c r="J540" t="s">
        <v>1383</v>
      </c>
      <c r="K540" t="s">
        <v>1385</v>
      </c>
      <c r="M540" t="s">
        <v>1389</v>
      </c>
      <c r="P540" t="s">
        <v>1399</v>
      </c>
      <c r="Q540">
        <v>0</v>
      </c>
      <c r="R540">
        <v>0</v>
      </c>
      <c r="S540">
        <v>0</v>
      </c>
      <c r="T540">
        <v>0</v>
      </c>
      <c r="U540" t="s">
        <v>1404</v>
      </c>
      <c r="V540" t="s">
        <v>1404</v>
      </c>
      <c r="W540">
        <v>0</v>
      </c>
      <c r="X540">
        <v>0</v>
      </c>
      <c r="Y540">
        <v>0</v>
      </c>
      <c r="Z540">
        <v>0</v>
      </c>
    </row>
    <row r="541" spans="1:26">
      <c r="A541" s="1">
        <f>HYPERLINK("https://cms.ls-nyc.org/matter/dynamic-profile/view/1894047","19-1894047")</f>
        <v>0</v>
      </c>
      <c r="B541" t="s">
        <v>26</v>
      </c>
      <c r="C541" t="s">
        <v>31</v>
      </c>
      <c r="D541" t="s">
        <v>399</v>
      </c>
      <c r="E541" t="s">
        <v>911</v>
      </c>
      <c r="F541" t="s">
        <v>1275</v>
      </c>
      <c r="G541" t="s">
        <v>1310</v>
      </c>
      <c r="H541" t="s">
        <v>1375</v>
      </c>
      <c r="I541" t="s">
        <v>1379</v>
      </c>
      <c r="J541" t="s">
        <v>1383</v>
      </c>
      <c r="K541" t="s">
        <v>1385</v>
      </c>
      <c r="M541" t="s">
        <v>1391</v>
      </c>
      <c r="P541" t="s">
        <v>1400</v>
      </c>
      <c r="Q541">
        <v>0</v>
      </c>
      <c r="R541">
        <v>0</v>
      </c>
      <c r="S541">
        <v>0</v>
      </c>
      <c r="T541">
        <v>0</v>
      </c>
      <c r="U541" t="s">
        <v>1404</v>
      </c>
      <c r="V541" t="s">
        <v>1404</v>
      </c>
      <c r="W541">
        <v>0</v>
      </c>
      <c r="X541">
        <v>0</v>
      </c>
      <c r="Y541">
        <v>0</v>
      </c>
      <c r="Z541">
        <v>0</v>
      </c>
    </row>
    <row r="542" spans="1:26">
      <c r="A542" s="1">
        <f>HYPERLINK("https://cms.ls-nyc.org/matter/dynamic-profile/view/1894114","19-1894114")</f>
        <v>0</v>
      </c>
      <c r="B542" t="s">
        <v>29</v>
      </c>
      <c r="C542" t="s">
        <v>44</v>
      </c>
      <c r="D542" t="s">
        <v>486</v>
      </c>
      <c r="E542" t="s">
        <v>670</v>
      </c>
      <c r="F542" t="s">
        <v>1275</v>
      </c>
      <c r="G542" t="s">
        <v>1363</v>
      </c>
      <c r="I542" t="s">
        <v>1379</v>
      </c>
      <c r="J542" t="s">
        <v>1383</v>
      </c>
      <c r="K542" t="s">
        <v>1385</v>
      </c>
      <c r="M542" t="s">
        <v>1389</v>
      </c>
      <c r="P542" t="s">
        <v>1399</v>
      </c>
      <c r="Q542">
        <v>0</v>
      </c>
      <c r="R542">
        <v>0</v>
      </c>
      <c r="S542">
        <v>0</v>
      </c>
      <c r="T542">
        <v>0</v>
      </c>
      <c r="U542" t="s">
        <v>1404</v>
      </c>
      <c r="V542" t="s">
        <v>1404</v>
      </c>
      <c r="W542">
        <v>0</v>
      </c>
      <c r="X542">
        <v>0</v>
      </c>
      <c r="Y542">
        <v>0</v>
      </c>
      <c r="Z542">
        <v>0</v>
      </c>
    </row>
    <row r="543" spans="1:26">
      <c r="A543" s="1">
        <f>HYPERLINK("https://cms.ls-nyc.org/matter/dynamic-profile/view/1894149","19-1894149")</f>
        <v>0</v>
      </c>
      <c r="B543" t="s">
        <v>27</v>
      </c>
      <c r="C543" t="s">
        <v>60</v>
      </c>
      <c r="D543" t="s">
        <v>145</v>
      </c>
      <c r="E543" t="s">
        <v>912</v>
      </c>
      <c r="F543" t="s">
        <v>1275</v>
      </c>
      <c r="G543" t="s">
        <v>1373</v>
      </c>
      <c r="H543" t="s">
        <v>1375</v>
      </c>
      <c r="I543" t="s">
        <v>1381</v>
      </c>
      <c r="J543" t="s">
        <v>1383</v>
      </c>
      <c r="K543" t="s">
        <v>1385</v>
      </c>
      <c r="M543" t="s">
        <v>1389</v>
      </c>
      <c r="P543" t="s">
        <v>1400</v>
      </c>
      <c r="Q543">
        <v>0</v>
      </c>
      <c r="R543">
        <v>0</v>
      </c>
      <c r="S543">
        <v>0</v>
      </c>
      <c r="T543">
        <v>0</v>
      </c>
      <c r="U543" t="s">
        <v>1404</v>
      </c>
      <c r="V543" t="s">
        <v>1404</v>
      </c>
      <c r="W543">
        <v>0</v>
      </c>
      <c r="X543">
        <v>0</v>
      </c>
      <c r="Y543">
        <v>0</v>
      </c>
      <c r="Z543">
        <v>0</v>
      </c>
    </row>
    <row r="544" spans="1:26">
      <c r="A544" s="1">
        <f>HYPERLINK("https://cms.ls-nyc.org/matter/dynamic-profile/view/1895068","19-1895068")</f>
        <v>0</v>
      </c>
      <c r="B544" t="s">
        <v>27</v>
      </c>
      <c r="C544" t="s">
        <v>43</v>
      </c>
      <c r="D544" t="s">
        <v>487</v>
      </c>
      <c r="E544" t="s">
        <v>870</v>
      </c>
      <c r="F544" t="s">
        <v>1276</v>
      </c>
      <c r="G544" t="s">
        <v>1280</v>
      </c>
      <c r="J544" t="s">
        <v>1383</v>
      </c>
      <c r="K544" t="s">
        <v>1385</v>
      </c>
      <c r="M544" t="s">
        <v>1389</v>
      </c>
      <c r="Q544">
        <v>0</v>
      </c>
      <c r="R544">
        <v>0</v>
      </c>
      <c r="S544">
        <v>0</v>
      </c>
      <c r="T544">
        <v>0</v>
      </c>
      <c r="U544" t="s">
        <v>1404</v>
      </c>
      <c r="V544" t="s">
        <v>1404</v>
      </c>
      <c r="W544">
        <v>0</v>
      </c>
      <c r="X544">
        <v>0</v>
      </c>
      <c r="Y544">
        <v>0</v>
      </c>
      <c r="Z544">
        <v>0</v>
      </c>
    </row>
    <row r="545" spans="1:26">
      <c r="A545" s="1">
        <f>HYPERLINK("https://cms.ls-nyc.org/matter/dynamic-profile/view/1895197","19-1895197")</f>
        <v>0</v>
      </c>
      <c r="B545" t="s">
        <v>27</v>
      </c>
      <c r="C545" t="s">
        <v>60</v>
      </c>
      <c r="D545" t="s">
        <v>488</v>
      </c>
      <c r="E545" t="s">
        <v>913</v>
      </c>
      <c r="F545" t="s">
        <v>1277</v>
      </c>
      <c r="G545" t="s">
        <v>1279</v>
      </c>
      <c r="H545" t="s">
        <v>1375</v>
      </c>
      <c r="I545" t="s">
        <v>1378</v>
      </c>
      <c r="J545" t="s">
        <v>1383</v>
      </c>
      <c r="K545" t="s">
        <v>1385</v>
      </c>
      <c r="M545" t="s">
        <v>1389</v>
      </c>
      <c r="P545" t="s">
        <v>1400</v>
      </c>
      <c r="Q545">
        <v>0</v>
      </c>
      <c r="R545">
        <v>0</v>
      </c>
      <c r="S545">
        <v>0</v>
      </c>
      <c r="T545">
        <v>0</v>
      </c>
      <c r="U545" t="s">
        <v>1404</v>
      </c>
      <c r="V545" t="s">
        <v>1404</v>
      </c>
      <c r="W545">
        <v>0</v>
      </c>
      <c r="X545">
        <v>0</v>
      </c>
      <c r="Y545">
        <v>0</v>
      </c>
      <c r="Z545">
        <v>0</v>
      </c>
    </row>
    <row r="546" spans="1:26">
      <c r="A546" s="1">
        <f>HYPERLINK("https://cms.ls-nyc.org/matter/dynamic-profile/view/1895773","19-1895773")</f>
        <v>0</v>
      </c>
      <c r="B546" t="s">
        <v>27</v>
      </c>
      <c r="C546" t="s">
        <v>60</v>
      </c>
      <c r="D546" t="s">
        <v>489</v>
      </c>
      <c r="E546" t="s">
        <v>914</v>
      </c>
      <c r="F546" t="s">
        <v>1278</v>
      </c>
      <c r="G546" t="s">
        <v>1289</v>
      </c>
      <c r="H546" t="s">
        <v>1375</v>
      </c>
      <c r="I546" t="s">
        <v>1379</v>
      </c>
      <c r="J546" t="s">
        <v>1383</v>
      </c>
      <c r="K546" t="s">
        <v>1385</v>
      </c>
      <c r="M546" t="s">
        <v>1391</v>
      </c>
      <c r="P546" t="s">
        <v>1400</v>
      </c>
      <c r="Q546">
        <v>0</v>
      </c>
      <c r="R546">
        <v>0</v>
      </c>
      <c r="S546">
        <v>0</v>
      </c>
      <c r="T546">
        <v>0</v>
      </c>
      <c r="U546" t="s">
        <v>1404</v>
      </c>
      <c r="V546" t="s">
        <v>1404</v>
      </c>
      <c r="W546">
        <v>0</v>
      </c>
      <c r="X546">
        <v>0</v>
      </c>
      <c r="Y546">
        <v>0</v>
      </c>
      <c r="Z546">
        <v>0</v>
      </c>
    </row>
    <row r="547" spans="1:26">
      <c r="A547" s="1">
        <f>HYPERLINK("https://cms.ls-nyc.org/matter/dynamic-profile/view/1896111","19-1896111")</f>
        <v>0</v>
      </c>
      <c r="B547" t="s">
        <v>27</v>
      </c>
      <c r="C547" t="s">
        <v>60</v>
      </c>
      <c r="D547" t="s">
        <v>490</v>
      </c>
      <c r="E547" t="s">
        <v>724</v>
      </c>
      <c r="F547" t="s">
        <v>1279</v>
      </c>
      <c r="G547" t="s">
        <v>1353</v>
      </c>
      <c r="H547" t="s">
        <v>1375</v>
      </c>
      <c r="I547" t="s">
        <v>1381</v>
      </c>
      <c r="J547" t="s">
        <v>1382</v>
      </c>
      <c r="K547" t="s">
        <v>1385</v>
      </c>
      <c r="M547" t="s">
        <v>1389</v>
      </c>
      <c r="P547" t="s">
        <v>1400</v>
      </c>
      <c r="Q547">
        <v>0</v>
      </c>
      <c r="R547">
        <v>0</v>
      </c>
      <c r="S547">
        <v>0</v>
      </c>
      <c r="T547">
        <v>0</v>
      </c>
      <c r="U547" t="s">
        <v>1404</v>
      </c>
      <c r="V547" t="s">
        <v>1404</v>
      </c>
      <c r="W547">
        <v>0</v>
      </c>
      <c r="X547">
        <v>0</v>
      </c>
      <c r="Y547">
        <v>0</v>
      </c>
      <c r="Z547">
        <v>0</v>
      </c>
    </row>
    <row r="548" spans="1:26">
      <c r="A548" s="1">
        <f>HYPERLINK("https://cms.ls-nyc.org/matter/dynamic-profile/view/1896129","19-1896129")</f>
        <v>0</v>
      </c>
      <c r="B548" t="s">
        <v>27</v>
      </c>
      <c r="C548" t="s">
        <v>60</v>
      </c>
      <c r="D548" t="s">
        <v>491</v>
      </c>
      <c r="E548" t="s">
        <v>915</v>
      </c>
      <c r="F548" t="s">
        <v>1280</v>
      </c>
      <c r="G548" t="s">
        <v>1291</v>
      </c>
      <c r="H548" t="s">
        <v>1377</v>
      </c>
      <c r="I548" t="s">
        <v>1378</v>
      </c>
      <c r="J548" t="s">
        <v>1383</v>
      </c>
      <c r="K548" t="s">
        <v>1385</v>
      </c>
      <c r="M548" t="s">
        <v>1389</v>
      </c>
      <c r="P548" t="s">
        <v>1400</v>
      </c>
      <c r="Q548">
        <v>0</v>
      </c>
      <c r="R548">
        <v>0</v>
      </c>
      <c r="S548">
        <v>0</v>
      </c>
      <c r="T548">
        <v>0</v>
      </c>
      <c r="U548" t="s">
        <v>1404</v>
      </c>
      <c r="V548" t="s">
        <v>1404</v>
      </c>
      <c r="W548">
        <v>0</v>
      </c>
      <c r="X548">
        <v>0</v>
      </c>
      <c r="Y548">
        <v>0</v>
      </c>
      <c r="Z548">
        <v>0</v>
      </c>
    </row>
    <row r="549" spans="1:26">
      <c r="A549" s="1">
        <f>HYPERLINK("https://cms.ls-nyc.org/matter/dynamic-profile/view/1896545","19-1896545")</f>
        <v>0</v>
      </c>
      <c r="B549" t="s">
        <v>27</v>
      </c>
      <c r="C549" t="s">
        <v>60</v>
      </c>
      <c r="D549" t="s">
        <v>492</v>
      </c>
      <c r="E549" t="s">
        <v>916</v>
      </c>
      <c r="F549" t="s">
        <v>1281</v>
      </c>
      <c r="G549" t="s">
        <v>1374</v>
      </c>
      <c r="H549" t="s">
        <v>1375</v>
      </c>
      <c r="I549" t="s">
        <v>1378</v>
      </c>
      <c r="J549" t="s">
        <v>1383</v>
      </c>
      <c r="K549" t="s">
        <v>1385</v>
      </c>
      <c r="M549" t="s">
        <v>1389</v>
      </c>
      <c r="P549" t="s">
        <v>1400</v>
      </c>
      <c r="Q549">
        <v>0</v>
      </c>
      <c r="R549">
        <v>0</v>
      </c>
      <c r="S549">
        <v>0</v>
      </c>
      <c r="T549">
        <v>0</v>
      </c>
      <c r="U549" t="s">
        <v>1404</v>
      </c>
      <c r="V549" t="s">
        <v>1404</v>
      </c>
      <c r="W549">
        <v>0</v>
      </c>
      <c r="X549">
        <v>0</v>
      </c>
      <c r="Y549">
        <v>0</v>
      </c>
      <c r="Z549">
        <v>0</v>
      </c>
    </row>
    <row r="550" spans="1:26">
      <c r="A550" s="1">
        <f>HYPERLINK("https://cms.ls-nyc.org/matter/dynamic-profile/view/1897025","19-1897025")</f>
        <v>0</v>
      </c>
      <c r="B550" t="s">
        <v>27</v>
      </c>
      <c r="C550" t="s">
        <v>60</v>
      </c>
      <c r="D550" t="s">
        <v>493</v>
      </c>
      <c r="E550" t="s">
        <v>242</v>
      </c>
      <c r="F550" t="s">
        <v>1282</v>
      </c>
      <c r="G550" t="s">
        <v>1285</v>
      </c>
      <c r="H550" t="s">
        <v>1375</v>
      </c>
      <c r="I550" t="s">
        <v>1381</v>
      </c>
      <c r="J550" t="s">
        <v>1383</v>
      </c>
      <c r="K550" t="s">
        <v>1385</v>
      </c>
      <c r="M550" t="s">
        <v>1389</v>
      </c>
      <c r="P550" t="s">
        <v>1400</v>
      </c>
      <c r="Q550">
        <v>0</v>
      </c>
      <c r="R550">
        <v>0</v>
      </c>
      <c r="S550">
        <v>0</v>
      </c>
      <c r="T550">
        <v>0</v>
      </c>
      <c r="U550" t="s">
        <v>1404</v>
      </c>
      <c r="V550" t="s">
        <v>1404</v>
      </c>
      <c r="W550">
        <v>0</v>
      </c>
      <c r="X550">
        <v>0</v>
      </c>
      <c r="Y550">
        <v>0</v>
      </c>
      <c r="Z550">
        <v>0</v>
      </c>
    </row>
    <row r="551" spans="1:26">
      <c r="A551" s="1">
        <f>HYPERLINK("https://cms.ls-nyc.org/matter/dynamic-profile/view/1897151","19-1897151")</f>
        <v>0</v>
      </c>
      <c r="B551" t="s">
        <v>27</v>
      </c>
      <c r="C551" t="s">
        <v>60</v>
      </c>
      <c r="D551" t="s">
        <v>371</v>
      </c>
      <c r="E551" t="s">
        <v>917</v>
      </c>
      <c r="F551" t="s">
        <v>1283</v>
      </c>
      <c r="G551" t="s">
        <v>1373</v>
      </c>
      <c r="H551" t="s">
        <v>1375</v>
      </c>
      <c r="I551" t="s">
        <v>1381</v>
      </c>
      <c r="J551" t="s">
        <v>1383</v>
      </c>
      <c r="K551" t="s">
        <v>1385</v>
      </c>
      <c r="M551" t="s">
        <v>1389</v>
      </c>
      <c r="P551" t="s">
        <v>1400</v>
      </c>
      <c r="Q551">
        <v>0</v>
      </c>
      <c r="R551">
        <v>0</v>
      </c>
      <c r="S551">
        <v>0</v>
      </c>
      <c r="T551">
        <v>0</v>
      </c>
      <c r="U551" t="s">
        <v>1404</v>
      </c>
      <c r="V551" t="s">
        <v>1404</v>
      </c>
      <c r="W551">
        <v>0</v>
      </c>
      <c r="X551">
        <v>0</v>
      </c>
      <c r="Y551">
        <v>0</v>
      </c>
      <c r="Z551">
        <v>0</v>
      </c>
    </row>
    <row r="552" spans="1:26">
      <c r="A552" s="1">
        <f>HYPERLINK("https://cms.ls-nyc.org/matter/dynamic-profile/view/1898464","19-1898464")</f>
        <v>0</v>
      </c>
      <c r="B552" t="s">
        <v>27</v>
      </c>
      <c r="C552" t="s">
        <v>60</v>
      </c>
      <c r="D552" t="s">
        <v>494</v>
      </c>
      <c r="E552" t="s">
        <v>918</v>
      </c>
      <c r="F552" t="s">
        <v>1284</v>
      </c>
      <c r="G552" t="s">
        <v>1372</v>
      </c>
      <c r="H552" t="s">
        <v>1375</v>
      </c>
      <c r="I552" t="s">
        <v>1379</v>
      </c>
      <c r="J552" t="s">
        <v>1383</v>
      </c>
      <c r="K552" t="s">
        <v>1385</v>
      </c>
      <c r="M552" t="s">
        <v>1389</v>
      </c>
      <c r="P552" t="s">
        <v>1400</v>
      </c>
      <c r="Q552">
        <v>0</v>
      </c>
      <c r="R552">
        <v>0</v>
      </c>
      <c r="S552">
        <v>0</v>
      </c>
      <c r="T552">
        <v>0</v>
      </c>
      <c r="U552" t="s">
        <v>1404</v>
      </c>
      <c r="V552" t="s">
        <v>1404</v>
      </c>
      <c r="W552">
        <v>0</v>
      </c>
      <c r="X552">
        <v>0</v>
      </c>
      <c r="Y552">
        <v>0</v>
      </c>
      <c r="Z552">
        <v>0</v>
      </c>
    </row>
    <row r="553" spans="1:26">
      <c r="A553" s="1">
        <f>HYPERLINK("https://cms.ls-nyc.org/matter/dynamic-profile/view/1898676","19-1898676")</f>
        <v>0</v>
      </c>
      <c r="B553" t="s">
        <v>27</v>
      </c>
      <c r="C553" t="s">
        <v>60</v>
      </c>
      <c r="D553" t="s">
        <v>495</v>
      </c>
      <c r="E553" t="s">
        <v>734</v>
      </c>
      <c r="F553" t="s">
        <v>1285</v>
      </c>
      <c r="G553" t="s">
        <v>1344</v>
      </c>
      <c r="H553" t="s">
        <v>1375</v>
      </c>
      <c r="I553" t="s">
        <v>1379</v>
      </c>
      <c r="J553" t="s">
        <v>1383</v>
      </c>
      <c r="K553" t="s">
        <v>1385</v>
      </c>
      <c r="M553" t="s">
        <v>1389</v>
      </c>
      <c r="P553" t="s">
        <v>1400</v>
      </c>
      <c r="Q553">
        <v>0</v>
      </c>
      <c r="R553">
        <v>0</v>
      </c>
      <c r="S553">
        <v>0</v>
      </c>
      <c r="T553">
        <v>0</v>
      </c>
      <c r="U553" t="s">
        <v>1404</v>
      </c>
      <c r="V553" t="s">
        <v>1404</v>
      </c>
      <c r="W553">
        <v>0</v>
      </c>
      <c r="X553">
        <v>0</v>
      </c>
      <c r="Y553">
        <v>0</v>
      </c>
      <c r="Z553">
        <v>0</v>
      </c>
    </row>
    <row r="554" spans="1:26">
      <c r="A554" s="1">
        <f>HYPERLINK("https://cms.ls-nyc.org/matter/dynamic-profile/view/1899203","19-1899203")</f>
        <v>0</v>
      </c>
      <c r="B554" t="s">
        <v>27</v>
      </c>
      <c r="C554" t="s">
        <v>60</v>
      </c>
      <c r="D554" t="s">
        <v>496</v>
      </c>
      <c r="E554" t="s">
        <v>919</v>
      </c>
      <c r="F554" t="s">
        <v>1286</v>
      </c>
      <c r="G554" t="s">
        <v>1373</v>
      </c>
      <c r="H554" t="s">
        <v>1375</v>
      </c>
      <c r="I554" t="s">
        <v>1381</v>
      </c>
      <c r="J554" t="s">
        <v>1382</v>
      </c>
      <c r="K554" t="s">
        <v>1385</v>
      </c>
      <c r="M554" t="s">
        <v>1389</v>
      </c>
      <c r="P554" t="s">
        <v>1400</v>
      </c>
      <c r="Q554">
        <v>0</v>
      </c>
      <c r="R554">
        <v>0</v>
      </c>
      <c r="S554">
        <v>0</v>
      </c>
      <c r="T554">
        <v>0</v>
      </c>
      <c r="U554" t="s">
        <v>1404</v>
      </c>
      <c r="V554" t="s">
        <v>1404</v>
      </c>
      <c r="W554">
        <v>0</v>
      </c>
      <c r="X554">
        <v>0</v>
      </c>
      <c r="Y554">
        <v>0</v>
      </c>
      <c r="Z554">
        <v>0</v>
      </c>
    </row>
    <row r="555" spans="1:26">
      <c r="A555" s="1">
        <f>HYPERLINK("https://cms.ls-nyc.org/matter/dynamic-profile/view/1900350","19-1900350")</f>
        <v>0</v>
      </c>
      <c r="B555" t="s">
        <v>27</v>
      </c>
      <c r="C555" t="s">
        <v>60</v>
      </c>
      <c r="D555" t="s">
        <v>497</v>
      </c>
      <c r="E555" t="s">
        <v>754</v>
      </c>
      <c r="F555" t="s">
        <v>1287</v>
      </c>
      <c r="G555" t="s">
        <v>1374</v>
      </c>
      <c r="H555" t="s">
        <v>1377</v>
      </c>
      <c r="I555" t="s">
        <v>1378</v>
      </c>
      <c r="J555" t="s">
        <v>1382</v>
      </c>
      <c r="K555" t="s">
        <v>1385</v>
      </c>
      <c r="M555" t="s">
        <v>1389</v>
      </c>
      <c r="P555" t="s">
        <v>1400</v>
      </c>
      <c r="Q555">
        <v>0</v>
      </c>
      <c r="R555">
        <v>0</v>
      </c>
      <c r="S555">
        <v>0</v>
      </c>
      <c r="T555">
        <v>0</v>
      </c>
      <c r="U555" t="s">
        <v>1404</v>
      </c>
      <c r="V555" t="s">
        <v>1404</v>
      </c>
      <c r="W555">
        <v>0</v>
      </c>
      <c r="X555">
        <v>0</v>
      </c>
      <c r="Y555">
        <v>0</v>
      </c>
      <c r="Z555">
        <v>0</v>
      </c>
    </row>
    <row r="556" spans="1:26">
      <c r="A556" s="1">
        <f>HYPERLINK("https://cms.ls-nyc.org/matter/dynamic-profile/view/E-1001633","X02E-1001633")</f>
        <v>0</v>
      </c>
      <c r="B556" t="s">
        <v>29</v>
      </c>
      <c r="C556" t="s">
        <v>35</v>
      </c>
      <c r="D556" t="s">
        <v>498</v>
      </c>
      <c r="E556" t="s">
        <v>920</v>
      </c>
      <c r="F556" t="s">
        <v>1288</v>
      </c>
      <c r="G556" t="s">
        <v>1217</v>
      </c>
      <c r="H556" t="s">
        <v>1377</v>
      </c>
      <c r="I556" t="s">
        <v>1378</v>
      </c>
      <c r="J556" t="s">
        <v>1382</v>
      </c>
      <c r="K556" t="s">
        <v>1385</v>
      </c>
      <c r="M556" t="s">
        <v>1393</v>
      </c>
      <c r="P556" t="s">
        <v>1402</v>
      </c>
      <c r="Q556">
        <v>0</v>
      </c>
      <c r="R556">
        <v>0</v>
      </c>
      <c r="S556">
        <v>3903.86</v>
      </c>
      <c r="T556">
        <v>613</v>
      </c>
      <c r="U556" t="s">
        <v>1495</v>
      </c>
      <c r="V556" t="s">
        <v>1657</v>
      </c>
      <c r="W556">
        <v>3903.86</v>
      </c>
      <c r="X556">
        <v>0</v>
      </c>
      <c r="Y556">
        <v>613</v>
      </c>
      <c r="Z5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2019-06-06T19:28:48Z</dcterms:created>
  <dcterms:modified xsi:type="dcterms:W3CDTF">2019-06-06T19:28:48Z</dcterms:modified>
</cp:coreProperties>
</file>