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<sst xmlns="http://schemas.openxmlformats.org/spreadsheetml/2006/main" count="5953" uniqueCount="1312">
  <si>
    <t>Hyperlinked Case #</t>
  </si>
  <si>
    <t>Primary Advocate</t>
  </si>
  <si>
    <t>Case Disposition</t>
  </si>
  <si>
    <t>Date Opened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</si>
  <si>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</si>
  <si>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</si>
  <si>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</si>
  <si>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</si>
  <si>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</si>
  <si>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</si>
  <si>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</si>
  <si>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</si>
  <si>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Type Of Case</t>
  </si>
  <si>
    <t>Housing Level of Service</t>
  </si>
  <si>
    <t>HAL Eligibility Date</t>
  </si>
  <si>
    <t>Percentage of Poverty</t>
  </si>
  <si>
    <t>Housing Date Of Waiver Approval</t>
  </si>
  <si>
    <t>Housing Outcome</t>
  </si>
  <si>
    <t>Housing Outcome Date</t>
  </si>
  <si>
    <t>Total Time For Case</t>
  </si>
  <si>
    <t>Treadwell, Nathan</t>
  </si>
  <si>
    <t>Porcelli, Ronald</t>
  </si>
  <si>
    <t>Briggs, John</t>
  </si>
  <si>
    <t>Kelly, Kitanya</t>
  </si>
  <si>
    <t>James, Lelia</t>
  </si>
  <si>
    <t>Honan, Thomas</t>
  </si>
  <si>
    <t>Mottley, Darlene</t>
  </si>
  <si>
    <t>Abbas, Sayeda</t>
  </si>
  <si>
    <t>Vega, Rita</t>
  </si>
  <si>
    <t>Heller, Steven</t>
  </si>
  <si>
    <t>McCowen, Tamella</t>
  </si>
  <si>
    <t>Almanzar, Milagros</t>
  </si>
  <si>
    <t>Yamasaki, Emily Woo</t>
  </si>
  <si>
    <t>Spencer, Eleanor</t>
  </si>
  <si>
    <t>Hao, Lindsay</t>
  </si>
  <si>
    <t>Bromberg, Iris</t>
  </si>
  <si>
    <t>Braudy, Erica</t>
  </si>
  <si>
    <t>Englard, Rubin</t>
  </si>
  <si>
    <t>Anunkor, Ifeoma</t>
  </si>
  <si>
    <t>Sharma, Sagar</t>
  </si>
  <si>
    <t>Wilkes, Nicole</t>
  </si>
  <si>
    <t>Guillaume, Naura</t>
  </si>
  <si>
    <t>Black, Rosalind</t>
  </si>
  <si>
    <t>Open</t>
  </si>
  <si>
    <t>02/26/2018</t>
  </si>
  <si>
    <t>04/04/2019</t>
  </si>
  <si>
    <t>07/03/2018</t>
  </si>
  <si>
    <t>05/16/2017</t>
  </si>
  <si>
    <t>06/10/2019</t>
  </si>
  <si>
    <t>10/11/2017</t>
  </si>
  <si>
    <t>04/24/2019</t>
  </si>
  <si>
    <t>09/05/2018</t>
  </si>
  <si>
    <t>08/28/2018</t>
  </si>
  <si>
    <t>03/22/2019</t>
  </si>
  <si>
    <t>03/19/2019</t>
  </si>
  <si>
    <t>06/13/2019</t>
  </si>
  <si>
    <t>01/25/2019</t>
  </si>
  <si>
    <t>04/23/2019</t>
  </si>
  <si>
    <t>05/24/2019</t>
  </si>
  <si>
    <t>01/29/2019</t>
  </si>
  <si>
    <t>04/30/2019</t>
  </si>
  <si>
    <t>06/06/2016</t>
  </si>
  <si>
    <t>03/15/2018</t>
  </si>
  <si>
    <t>10/30/2018</t>
  </si>
  <si>
    <t>04/06/2018</t>
  </si>
  <si>
    <t>08/03/2018</t>
  </si>
  <si>
    <t>11/08/2018</t>
  </si>
  <si>
    <t>09/14/2018</t>
  </si>
  <si>
    <t>12/13/2017</t>
  </si>
  <si>
    <t>10/24/2018</t>
  </si>
  <si>
    <t>11/28/2018</t>
  </si>
  <si>
    <t>08/15/2018</t>
  </si>
  <si>
    <t>03/07/2017</t>
  </si>
  <si>
    <t>03/23/2017</t>
  </si>
  <si>
    <t>04/25/2017</t>
  </si>
  <si>
    <t>04/16/2019</t>
  </si>
  <si>
    <t>09/19/2018</t>
  </si>
  <si>
    <t>03/05/2018</t>
  </si>
  <si>
    <t>07/24/2018</t>
  </si>
  <si>
    <t>04/22/2019</t>
  </si>
  <si>
    <t>01/09/2019</t>
  </si>
  <si>
    <t>05/03/2019</t>
  </si>
  <si>
    <t>11/01/2018</t>
  </si>
  <si>
    <t>03/08/2019</t>
  </si>
  <si>
    <t>05/01/2018</t>
  </si>
  <si>
    <t>05/29/2018</t>
  </si>
  <si>
    <t>08/14/2018</t>
  </si>
  <si>
    <t>10/23/2018</t>
  </si>
  <si>
    <t>10/03/2017</t>
  </si>
  <si>
    <t>05/14/2019</t>
  </si>
  <si>
    <t>02/20/2018</t>
  </si>
  <si>
    <t>07/31/2018</t>
  </si>
  <si>
    <t>05/04/2018</t>
  </si>
  <si>
    <t>06/01/2016</t>
  </si>
  <si>
    <t>07/12/2017</t>
  </si>
  <si>
    <t>11/21/2017</t>
  </si>
  <si>
    <t>02/21/2017</t>
  </si>
  <si>
    <t>09/28/2018</t>
  </si>
  <si>
    <t>02/08/2019</t>
  </si>
  <si>
    <t>01/15/2019</t>
  </si>
  <si>
    <t>02/15/2019</t>
  </si>
  <si>
    <t>07/26/2017</t>
  </si>
  <si>
    <t>05/04/2017</t>
  </si>
  <si>
    <t>05/26/2017</t>
  </si>
  <si>
    <t>02/06/2018</t>
  </si>
  <si>
    <t>03/21/2017</t>
  </si>
  <si>
    <t>04/17/2019</t>
  </si>
  <si>
    <t>04/01/2019</t>
  </si>
  <si>
    <t>06/19/2018</t>
  </si>
  <si>
    <t>05/08/2017</t>
  </si>
  <si>
    <t>01/23/2018</t>
  </si>
  <si>
    <t>12/18/2018</t>
  </si>
  <si>
    <t>04/11/2017</t>
  </si>
  <si>
    <t>04/09/2019</t>
  </si>
  <si>
    <t>08/24/2018</t>
  </si>
  <si>
    <t>04/03/2018</t>
  </si>
  <si>
    <t>11/15/2018</t>
  </si>
  <si>
    <t>02/13/2019</t>
  </si>
  <si>
    <t>05/23/2019</t>
  </si>
  <si>
    <t>01/02/2019</t>
  </si>
  <si>
    <t>03/12/2019</t>
  </si>
  <si>
    <t>10/03/2016</t>
  </si>
  <si>
    <t>03/06/2019</t>
  </si>
  <si>
    <t>02/28/2018</t>
  </si>
  <si>
    <t>04/10/2018</t>
  </si>
  <si>
    <t>03/12/2018</t>
  </si>
  <si>
    <t>03/02/2018</t>
  </si>
  <si>
    <t>06/20/2017</t>
  </si>
  <si>
    <t>09/10/2018</t>
  </si>
  <si>
    <t>06/04/2019</t>
  </si>
  <si>
    <t>08/21/2018</t>
  </si>
  <si>
    <t>03/21/2018</t>
  </si>
  <si>
    <t>03/01/2018</t>
  </si>
  <si>
    <t>10/29/2018</t>
  </si>
  <si>
    <t>02/01/2018</t>
  </si>
  <si>
    <t>07/21/2017</t>
  </si>
  <si>
    <t>01/22/2018</t>
  </si>
  <si>
    <t>07/10/2017</t>
  </si>
  <si>
    <t>10/16/2018</t>
  </si>
  <si>
    <t>08/22/2017</t>
  </si>
  <si>
    <t>12/12/2017</t>
  </si>
  <si>
    <t>03/29/2018</t>
  </si>
  <si>
    <t>09/21/2017</t>
  </si>
  <si>
    <t>10/10/2018</t>
  </si>
  <si>
    <t>04/05/2017</t>
  </si>
  <si>
    <t>05/08/2018</t>
  </si>
  <si>
    <t>01/14/2019</t>
  </si>
  <si>
    <t>05/29/2019</t>
  </si>
  <si>
    <t>11/02/2017</t>
  </si>
  <si>
    <t>01/16/2019</t>
  </si>
  <si>
    <t>02/10/2017</t>
  </si>
  <si>
    <t>05/22/2019</t>
  </si>
  <si>
    <t>05/31/2019</t>
  </si>
  <si>
    <t>01/22/2019</t>
  </si>
  <si>
    <t>12/08/2015</t>
  </si>
  <si>
    <t>05/09/2017</t>
  </si>
  <si>
    <t>12/07/2016</t>
  </si>
  <si>
    <t>10/31/2018</t>
  </si>
  <si>
    <t>02/20/2019</t>
  </si>
  <si>
    <t>07/18/2018</t>
  </si>
  <si>
    <t>03/01/2019</t>
  </si>
  <si>
    <t>04/03/2019</t>
  </si>
  <si>
    <t>11/14/2017</t>
  </si>
  <si>
    <t>02/22/2017</t>
  </si>
  <si>
    <t>11/06/2017</t>
  </si>
  <si>
    <t>12/21/2016</t>
  </si>
  <si>
    <t>01/12/2018</t>
  </si>
  <si>
    <t>06/12/2019</t>
  </si>
  <si>
    <t>02/07/2018</t>
  </si>
  <si>
    <t>03/05/2019</t>
  </si>
  <si>
    <t>05/22/2018</t>
  </si>
  <si>
    <t>09/21/2018</t>
  </si>
  <si>
    <t>11/09/2018</t>
  </si>
  <si>
    <t>08/29/2018</t>
  </si>
  <si>
    <t>08/15/2017</t>
  </si>
  <si>
    <t>12/16/2016</t>
  </si>
  <si>
    <t>09/06/2018</t>
  </si>
  <si>
    <t>12/19/2018</t>
  </si>
  <si>
    <t>08/06/2018</t>
  </si>
  <si>
    <t>08/01/2017</t>
  </si>
  <si>
    <t>01/06/2016</t>
  </si>
  <si>
    <t>01/31/2017</t>
  </si>
  <si>
    <t>08/16/2018</t>
  </si>
  <si>
    <t>02/05/2019</t>
  </si>
  <si>
    <t>05/03/2017</t>
  </si>
  <si>
    <t>03/22/2018</t>
  </si>
  <si>
    <t>06/03/2019</t>
  </si>
  <si>
    <t>12/01/2017</t>
  </si>
  <si>
    <t>05/15/2018</t>
  </si>
  <si>
    <t>04/04/2018</t>
  </si>
  <si>
    <t>05/21/2018</t>
  </si>
  <si>
    <t>05/15/2019</t>
  </si>
  <si>
    <t>08/08/2018</t>
  </si>
  <si>
    <t>09/12/2017</t>
  </si>
  <si>
    <t>01/08/2019</t>
  </si>
  <si>
    <t>12/12/2016</t>
  </si>
  <si>
    <t>01/02/2018</t>
  </si>
  <si>
    <t>02/04/2019</t>
  </si>
  <si>
    <t>04/30/2018</t>
  </si>
  <si>
    <t>12/19/2016</t>
  </si>
  <si>
    <t>02/01/2019</t>
  </si>
  <si>
    <t>05/30/2017</t>
  </si>
  <si>
    <t>07/20/2017</t>
  </si>
  <si>
    <t>09/15/2017</t>
  </si>
  <si>
    <t>12/07/2018</t>
  </si>
  <si>
    <t>07/16/2018</t>
  </si>
  <si>
    <t>05/16/2018</t>
  </si>
  <si>
    <t>05/02/2017</t>
  </si>
  <si>
    <t>08/09/2018</t>
  </si>
  <si>
    <t>05/14/2017</t>
  </si>
  <si>
    <t>10/24/2016</t>
  </si>
  <si>
    <t>03/29/2019</t>
  </si>
  <si>
    <t>05/07/2018</t>
  </si>
  <si>
    <t>06/06/2017</t>
  </si>
  <si>
    <t>07/25/2017</t>
  </si>
  <si>
    <t>06/15/2018</t>
  </si>
  <si>
    <t>06/25/2018</t>
  </si>
  <si>
    <t>12/20/2017</t>
  </si>
  <si>
    <t>12/14/2016</t>
  </si>
  <si>
    <t>10/12/2018</t>
  </si>
  <si>
    <t>06/13/2018</t>
  </si>
  <si>
    <t>01/03/2018</t>
  </si>
  <si>
    <t>02/14/2019</t>
  </si>
  <si>
    <t>12/09/2016</t>
  </si>
  <si>
    <t>10/31/2017</t>
  </si>
  <si>
    <t>07/03/2017</t>
  </si>
  <si>
    <t>02/27/2018</t>
  </si>
  <si>
    <t>11/28/2017</t>
  </si>
  <si>
    <t>07/13/2018</t>
  </si>
  <si>
    <t>05/11/2018</t>
  </si>
  <si>
    <t>10/02/2018</t>
  </si>
  <si>
    <t>03/04/2019</t>
  </si>
  <si>
    <t>03/20/2018</t>
  </si>
  <si>
    <t>01/28/2019</t>
  </si>
  <si>
    <t>11/13/2018</t>
  </si>
  <si>
    <t>04/03/2017</t>
  </si>
  <si>
    <t>06/20/2018</t>
  </si>
  <si>
    <t>06/04/2018</t>
  </si>
  <si>
    <t>06/14/2019</t>
  </si>
  <si>
    <t>03/15/2019</t>
  </si>
  <si>
    <t>06/26/2018</t>
  </si>
  <si>
    <t>01/25/2018</t>
  </si>
  <si>
    <t>03/24/2017</t>
  </si>
  <si>
    <t>10/26/2017</t>
  </si>
  <si>
    <t>08/07/2018</t>
  </si>
  <si>
    <t>11/07/2018</t>
  </si>
  <si>
    <t>10/17/2018</t>
  </si>
  <si>
    <t>08/10/2017</t>
  </si>
  <si>
    <t>10/02/2017</t>
  </si>
  <si>
    <t>08/08/2017</t>
  </si>
  <si>
    <t>10/21/2016</t>
  </si>
  <si>
    <t>10/04/2017</t>
  </si>
  <si>
    <t>05/17/2017</t>
  </si>
  <si>
    <t>01/18/2018</t>
  </si>
  <si>
    <t>07/20/2018</t>
  </si>
  <si>
    <t>03/08/2017</t>
  </si>
  <si>
    <t>10/26/2018</t>
  </si>
  <si>
    <t>02/19/2019</t>
  </si>
  <si>
    <t>04/26/2018</t>
  </si>
  <si>
    <t>04/26/2019</t>
  </si>
  <si>
    <t>06/28/2017</t>
  </si>
  <si>
    <t>10/12/2017</t>
  </si>
  <si>
    <t>07/24/2017</t>
  </si>
  <si>
    <t>05/31/2017</t>
  </si>
  <si>
    <t>03/13/2019</t>
  </si>
  <si>
    <t>04/24/2018</t>
  </si>
  <si>
    <t>06/09/2017</t>
  </si>
  <si>
    <t>04/18/2017</t>
  </si>
  <si>
    <t>07/30/2018</t>
  </si>
  <si>
    <t>05/01/2019</t>
  </si>
  <si>
    <t>05/30/2019</t>
  </si>
  <si>
    <t>11/30/2018</t>
  </si>
  <si>
    <t>01/17/2019</t>
  </si>
  <si>
    <t>04/06/2017</t>
  </si>
  <si>
    <t>10/27/2017</t>
  </si>
  <si>
    <t>09/17/2018</t>
  </si>
  <si>
    <t>03/07/2019</t>
  </si>
  <si>
    <t>03/30/2017</t>
  </si>
  <si>
    <t>09/23/2016</t>
  </si>
  <si>
    <t>12/07/2017</t>
  </si>
  <si>
    <t>05/07/2019</t>
  </si>
  <si>
    <t>04/18/2018</t>
  </si>
  <si>
    <t>05/18/2018</t>
  </si>
  <si>
    <t>06/05/2018</t>
  </si>
  <si>
    <t>Jonathan</t>
  </si>
  <si>
    <t>David</t>
  </si>
  <si>
    <t>Troy</t>
  </si>
  <si>
    <t>Rosa</t>
  </si>
  <si>
    <t>Blanca</t>
  </si>
  <si>
    <t>Yaribel</t>
  </si>
  <si>
    <t>Miguel</t>
  </si>
  <si>
    <t>Alba</t>
  </si>
  <si>
    <t>Raquel</t>
  </si>
  <si>
    <t>Ramona</t>
  </si>
  <si>
    <t>Modesto</t>
  </si>
  <si>
    <t>Angelina</t>
  </si>
  <si>
    <t>Claudina</t>
  </si>
  <si>
    <t>Patrice</t>
  </si>
  <si>
    <t>Amjad</t>
  </si>
  <si>
    <t>Cristina</t>
  </si>
  <si>
    <t>Carl</t>
  </si>
  <si>
    <t>Dalia Jaqueline</t>
  </si>
  <si>
    <t>Nadia</t>
  </si>
  <si>
    <t>Akasha</t>
  </si>
  <si>
    <t>Georgina</t>
  </si>
  <si>
    <t>Shaka</t>
  </si>
  <si>
    <t>Amada</t>
  </si>
  <si>
    <t>Miriam</t>
  </si>
  <si>
    <t>Kathy</t>
  </si>
  <si>
    <t>Denise</t>
  </si>
  <si>
    <t>Ana</t>
  </si>
  <si>
    <t>Rachel</t>
  </si>
  <si>
    <t>Genesis</t>
  </si>
  <si>
    <t>Carlos</t>
  </si>
  <si>
    <t>Shaquana</t>
  </si>
  <si>
    <t>Myra</t>
  </si>
  <si>
    <t>Sally</t>
  </si>
  <si>
    <t>Maria</t>
  </si>
  <si>
    <t>Tasha</t>
  </si>
  <si>
    <t>Mirely</t>
  </si>
  <si>
    <t>James</t>
  </si>
  <si>
    <t>Loida</t>
  </si>
  <si>
    <t>Julio</t>
  </si>
  <si>
    <t>Brunilda</t>
  </si>
  <si>
    <t>Katty</t>
  </si>
  <si>
    <t>Katherine</t>
  </si>
  <si>
    <t>Carmen</t>
  </si>
  <si>
    <t>Lena</t>
  </si>
  <si>
    <t>Belkis</t>
  </si>
  <si>
    <t>Isabel</t>
  </si>
  <si>
    <t>Pura</t>
  </si>
  <si>
    <t>Eduvigis</t>
  </si>
  <si>
    <t>Celiana</t>
  </si>
  <si>
    <t>Bernice</t>
  </si>
  <si>
    <t>Fausto</t>
  </si>
  <si>
    <t>Marjorie</t>
  </si>
  <si>
    <t>Melido</t>
  </si>
  <si>
    <t>Bernarda</t>
  </si>
  <si>
    <t>Diego</t>
  </si>
  <si>
    <t>Dolores</t>
  </si>
  <si>
    <t>Hilda</t>
  </si>
  <si>
    <t>Caroline</t>
  </si>
  <si>
    <t>Sylvia</t>
  </si>
  <si>
    <t>Mirella</t>
  </si>
  <si>
    <t>Rosita</t>
  </si>
  <si>
    <t>Elina</t>
  </si>
  <si>
    <t>Olga</t>
  </si>
  <si>
    <t>Lillian</t>
  </si>
  <si>
    <t>Mercedes</t>
  </si>
  <si>
    <t>Teresa</t>
  </si>
  <si>
    <t>Mokdul</t>
  </si>
  <si>
    <t>Rodolfo</t>
  </si>
  <si>
    <t>Jorge</t>
  </si>
  <si>
    <t>Braulia</t>
  </si>
  <si>
    <t>Alma</t>
  </si>
  <si>
    <t>Fiordaliza</t>
  </si>
  <si>
    <t>Hope</t>
  </si>
  <si>
    <t>Aida</t>
  </si>
  <si>
    <t>Engracia</t>
  </si>
  <si>
    <t>Milady</t>
  </si>
  <si>
    <t>Alida</t>
  </si>
  <si>
    <t>Ada</t>
  </si>
  <si>
    <t>Amarilis</t>
  </si>
  <si>
    <t>Yajaira</t>
  </si>
  <si>
    <t>Francisca</t>
  </si>
  <si>
    <t>Adalberto</t>
  </si>
  <si>
    <t>Yudelka</t>
  </si>
  <si>
    <t>Raheela</t>
  </si>
  <si>
    <t>Cathy</t>
  </si>
  <si>
    <t>Alejandro</t>
  </si>
  <si>
    <t>Marina</t>
  </si>
  <si>
    <t>Sheila</t>
  </si>
  <si>
    <t>Nancy</t>
  </si>
  <si>
    <t>Martha</t>
  </si>
  <si>
    <t>Fresi</t>
  </si>
  <si>
    <t>Margirita</t>
  </si>
  <si>
    <t>Michael</t>
  </si>
  <si>
    <t>Kathleen</t>
  </si>
  <si>
    <t>Nereyda</t>
  </si>
  <si>
    <t>Minerva</t>
  </si>
  <si>
    <t>Lorenzo</t>
  </si>
  <si>
    <t>Rene</t>
  </si>
  <si>
    <t>Francia</t>
  </si>
  <si>
    <t>Marcia</t>
  </si>
  <si>
    <t>Milagros</t>
  </si>
  <si>
    <t>Altagracia</t>
  </si>
  <si>
    <t>Doris</t>
  </si>
  <si>
    <t>Mireya</t>
  </si>
  <si>
    <t>Luz</t>
  </si>
  <si>
    <t>Riquilin</t>
  </si>
  <si>
    <t>Anthony</t>
  </si>
  <si>
    <t>Thelma</t>
  </si>
  <si>
    <t>Josefa</t>
  </si>
  <si>
    <t>Ninoska</t>
  </si>
  <si>
    <t>Jacqueline</t>
  </si>
  <si>
    <t>Violanda</t>
  </si>
  <si>
    <t>Charles</t>
  </si>
  <si>
    <t>Alexandra</t>
  </si>
  <si>
    <t>Chantal</t>
  </si>
  <si>
    <t>Rolando</t>
  </si>
  <si>
    <t>Hattie</t>
  </si>
  <si>
    <t>Luis</t>
  </si>
  <si>
    <t>Leonardo</t>
  </si>
  <si>
    <t>Elizabeth</t>
  </si>
  <si>
    <t>Peter</t>
  </si>
  <si>
    <t>Florentina</t>
  </si>
  <si>
    <t>Mariana</t>
  </si>
  <si>
    <t>Gladys</t>
  </si>
  <si>
    <t>Eusebio</t>
  </si>
  <si>
    <t>Ydalia</t>
  </si>
  <si>
    <t>Debra</t>
  </si>
  <si>
    <t>Nery</t>
  </si>
  <si>
    <t>Patricia</t>
  </si>
  <si>
    <t>Steve</t>
  </si>
  <si>
    <t>Nilda</t>
  </si>
  <si>
    <t>Marieme</t>
  </si>
  <si>
    <t>Neris</t>
  </si>
  <si>
    <t>Glenda</t>
  </si>
  <si>
    <t>Ana Maria</t>
  </si>
  <si>
    <t>Clarence</t>
  </si>
  <si>
    <t>Rafael</t>
  </si>
  <si>
    <t>Felix</t>
  </si>
  <si>
    <t>Sergio</t>
  </si>
  <si>
    <t>Alexis</t>
  </si>
  <si>
    <t>Jose</t>
  </si>
  <si>
    <t>Aura</t>
  </si>
  <si>
    <t>Ruth</t>
  </si>
  <si>
    <t>Daniella</t>
  </si>
  <si>
    <t>Dimaris</t>
  </si>
  <si>
    <t>Epifania</t>
  </si>
  <si>
    <t>Juana</t>
  </si>
  <si>
    <t>Danny</t>
  </si>
  <si>
    <t>Dimas</t>
  </si>
  <si>
    <t>Patrick</t>
  </si>
  <si>
    <t>Irene</t>
  </si>
  <si>
    <t>Ysabel</t>
  </si>
  <si>
    <t>Jane</t>
  </si>
  <si>
    <t>Alice</t>
  </si>
  <si>
    <t>Glenys</t>
  </si>
  <si>
    <t>Digna</t>
  </si>
  <si>
    <t>Mary</t>
  </si>
  <si>
    <t>Pedro</t>
  </si>
  <si>
    <t>Enrique</t>
  </si>
  <si>
    <t>Jacinta</t>
  </si>
  <si>
    <t>Diana</t>
  </si>
  <si>
    <t>Miladys</t>
  </si>
  <si>
    <t>Viviana</t>
  </si>
  <si>
    <t>Rosanna</t>
  </si>
  <si>
    <t>Julia</t>
  </si>
  <si>
    <t>Delfina</t>
  </si>
  <si>
    <t>Donald</t>
  </si>
  <si>
    <t>Nelson</t>
  </si>
  <si>
    <t>Ines</t>
  </si>
  <si>
    <t>Richardson</t>
  </si>
  <si>
    <t>Ernesto</t>
  </si>
  <si>
    <t>Albita</t>
  </si>
  <si>
    <t>Caridad</t>
  </si>
  <si>
    <t>Dagoberto</t>
  </si>
  <si>
    <t>Teodora</t>
  </si>
  <si>
    <t>Matilde</t>
  </si>
  <si>
    <t>Elvira</t>
  </si>
  <si>
    <t>Ramira</t>
  </si>
  <si>
    <t>Benjamin</t>
  </si>
  <si>
    <t>Ediltrudis</t>
  </si>
  <si>
    <t>Mark</t>
  </si>
  <si>
    <t>Marcelina</t>
  </si>
  <si>
    <t>Mardoqueo</t>
  </si>
  <si>
    <t>Jay</t>
  </si>
  <si>
    <t>Lilliam</t>
  </si>
  <si>
    <t>Antonia</t>
  </si>
  <si>
    <t>Yesenia</t>
  </si>
  <si>
    <t>Joe</t>
  </si>
  <si>
    <t>Khristen</t>
  </si>
  <si>
    <t>Angela</t>
  </si>
  <si>
    <t>Nila</t>
  </si>
  <si>
    <t>Marlene</t>
  </si>
  <si>
    <t>Stephanie</t>
  </si>
  <si>
    <t>Aurora</t>
  </si>
  <si>
    <t>Haydee</t>
  </si>
  <si>
    <t>Diojones</t>
  </si>
  <si>
    <t>Maura</t>
  </si>
  <si>
    <t>Naomi</t>
  </si>
  <si>
    <t>Christopher</t>
  </si>
  <si>
    <t>Dalmar</t>
  </si>
  <si>
    <t>Marilyn</t>
  </si>
  <si>
    <t>Victor</t>
  </si>
  <si>
    <t>Norris</t>
  </si>
  <si>
    <t>Modesta</t>
  </si>
  <si>
    <t>Gisela</t>
  </si>
  <si>
    <t>Manuel</t>
  </si>
  <si>
    <t>Edwin</t>
  </si>
  <si>
    <t>Yamie</t>
  </si>
  <si>
    <t>Erick</t>
  </si>
  <si>
    <t>Elba</t>
  </si>
  <si>
    <t>Adelina</t>
  </si>
  <si>
    <t>Natividad</t>
  </si>
  <si>
    <t>Walter</t>
  </si>
  <si>
    <t>Crisanta</t>
  </si>
  <si>
    <t>Lucia</t>
  </si>
  <si>
    <t>Mario</t>
  </si>
  <si>
    <t>Lourdes</t>
  </si>
  <si>
    <t>Anny</t>
  </si>
  <si>
    <t>Vicente</t>
  </si>
  <si>
    <t>Richard</t>
  </si>
  <si>
    <t>Suzanne</t>
  </si>
  <si>
    <t>Regla</t>
  </si>
  <si>
    <t>Evelina</t>
  </si>
  <si>
    <t>Tchaikvosky</t>
  </si>
  <si>
    <t>Eudacia</t>
  </si>
  <si>
    <t>Noemi</t>
  </si>
  <si>
    <t>Robert</t>
  </si>
  <si>
    <t>Alsacia</t>
  </si>
  <si>
    <t>Felipe</t>
  </si>
  <si>
    <t>Andres</t>
  </si>
  <si>
    <t>Claudia</t>
  </si>
  <si>
    <t>Elvida</t>
  </si>
  <si>
    <t>Dorothy</t>
  </si>
  <si>
    <t>Amy</t>
  </si>
  <si>
    <t>Angelita</t>
  </si>
  <si>
    <t>Elena</t>
  </si>
  <si>
    <t>Washington</t>
  </si>
  <si>
    <t>Celenia`</t>
  </si>
  <si>
    <t>Wayne</t>
  </si>
  <si>
    <t>Catalina</t>
  </si>
  <si>
    <t>Cindy</t>
  </si>
  <si>
    <t>Lucitania</t>
  </si>
  <si>
    <t>Raymond</t>
  </si>
  <si>
    <t>Jennifer</t>
  </si>
  <si>
    <t>Germania</t>
  </si>
  <si>
    <t>Peggy</t>
  </si>
  <si>
    <t>Elaine</t>
  </si>
  <si>
    <t>Belgica</t>
  </si>
  <si>
    <t>Sabrina</t>
  </si>
  <si>
    <t>Teofilo</t>
  </si>
  <si>
    <t>Kim</t>
  </si>
  <si>
    <t>Virginia</t>
  </si>
  <si>
    <t>Jessica</t>
  </si>
  <si>
    <t>Fatima</t>
  </si>
  <si>
    <t>Vanessa</t>
  </si>
  <si>
    <t>Santana</t>
  </si>
  <si>
    <t>Lurilla</t>
  </si>
  <si>
    <t>Lisa</t>
  </si>
  <si>
    <t>Alex</t>
  </si>
  <si>
    <t>Melissa</t>
  </si>
  <si>
    <t>Luis Angel</t>
  </si>
  <si>
    <t>Yudania</t>
  </si>
  <si>
    <t>Monique</t>
  </si>
  <si>
    <t>Lilia</t>
  </si>
  <si>
    <t>Alberto</t>
  </si>
  <si>
    <t>Yanira</t>
  </si>
  <si>
    <t>Laura</t>
  </si>
  <si>
    <t>Wilhelmina</t>
  </si>
  <si>
    <t>Margaret</t>
  </si>
  <si>
    <t>Francisco</t>
  </si>
  <si>
    <t>Rebecca</t>
  </si>
  <si>
    <t>Estela</t>
  </si>
  <si>
    <t>Mirza</t>
  </si>
  <si>
    <t>Cristobal</t>
  </si>
  <si>
    <t>Grecia</t>
  </si>
  <si>
    <t>Paola</t>
  </si>
  <si>
    <t>Renier</t>
  </si>
  <si>
    <t>Jeanette</t>
  </si>
  <si>
    <t>Juan</t>
  </si>
  <si>
    <t>Bukunmi</t>
  </si>
  <si>
    <t>Noel</t>
  </si>
  <si>
    <t>Ezequiel</t>
  </si>
  <si>
    <t>Raul</t>
  </si>
  <si>
    <t>Jacylin</t>
  </si>
  <si>
    <t>Matthew</t>
  </si>
  <si>
    <t>Lisbeth</t>
  </si>
  <si>
    <t>Thomas</t>
  </si>
  <si>
    <t>Andrea</t>
  </si>
  <si>
    <t>Orlando</t>
  </si>
  <si>
    <t>Isabelle</t>
  </si>
  <si>
    <t>William</t>
  </si>
  <si>
    <t>Sonia</t>
  </si>
  <si>
    <t>Karl</t>
  </si>
  <si>
    <t>Helen</t>
  </si>
  <si>
    <t>Susan</t>
  </si>
  <si>
    <t>Joel</t>
  </si>
  <si>
    <t>Emmanuel</t>
  </si>
  <si>
    <t>Iris</t>
  </si>
  <si>
    <t>Daniel</t>
  </si>
  <si>
    <t>Gerardo</t>
  </si>
  <si>
    <t>Dennis</t>
  </si>
  <si>
    <t>Gina</t>
  </si>
  <si>
    <t>Aimee</t>
  </si>
  <si>
    <t>Brian</t>
  </si>
  <si>
    <t>Steven</t>
  </si>
  <si>
    <t>Manuela</t>
  </si>
  <si>
    <t>Jarrett</t>
  </si>
  <si>
    <t>Jerome</t>
  </si>
  <si>
    <t>Renee</t>
  </si>
  <si>
    <t>Leslie</t>
  </si>
  <si>
    <t>Judith</t>
  </si>
  <si>
    <t>Gottlieb</t>
  </si>
  <si>
    <t>Galan-Batista</t>
  </si>
  <si>
    <t>Cook</t>
  </si>
  <si>
    <t>Genao</t>
  </si>
  <si>
    <t>Alvarado</t>
  </si>
  <si>
    <t>Montes De Oca</t>
  </si>
  <si>
    <t>Franco</t>
  </si>
  <si>
    <t>Beltre</t>
  </si>
  <si>
    <t>Peralta</t>
  </si>
  <si>
    <t>Taveras</t>
  </si>
  <si>
    <t>Lina</t>
  </si>
  <si>
    <t>De La Cruz</t>
  </si>
  <si>
    <t>Bravo</t>
  </si>
  <si>
    <t>Diaz-Migoyo</t>
  </si>
  <si>
    <t>Qayyem</t>
  </si>
  <si>
    <t>Apararicio</t>
  </si>
  <si>
    <t>Klapper</t>
  </si>
  <si>
    <t>Cuevas Espinoza</t>
  </si>
  <si>
    <t>Mota</t>
  </si>
  <si>
    <t>Carpenter</t>
  </si>
  <si>
    <t>Baus</t>
  </si>
  <si>
    <t>Tyler</t>
  </si>
  <si>
    <t>Chavez</t>
  </si>
  <si>
    <t>Ynfante</t>
  </si>
  <si>
    <t>Vanderhorst</t>
  </si>
  <si>
    <t>Miles Henry</t>
  </si>
  <si>
    <t>Rowland</t>
  </si>
  <si>
    <t>Ramos</t>
  </si>
  <si>
    <t>Ramirez</t>
  </si>
  <si>
    <t>Carter</t>
  </si>
  <si>
    <t>Chapman</t>
  </si>
  <si>
    <t>Pacifico</t>
  </si>
  <si>
    <t>Deitz</t>
  </si>
  <si>
    <t>Batista</t>
  </si>
  <si>
    <t>Cruz Balbi</t>
  </si>
  <si>
    <t>Connolly</t>
  </si>
  <si>
    <t>Croom</t>
  </si>
  <si>
    <t>Suarez</t>
  </si>
  <si>
    <t>Nivar</t>
  </si>
  <si>
    <t>Ferreira</t>
  </si>
  <si>
    <t>Imbert</t>
  </si>
  <si>
    <t>Almonte</t>
  </si>
  <si>
    <t>Moreau</t>
  </si>
  <si>
    <t>Sanchez</t>
  </si>
  <si>
    <t>Melendez</t>
  </si>
  <si>
    <t>Jimenez</t>
  </si>
  <si>
    <t>Lantigua</t>
  </si>
  <si>
    <t>Tejada</t>
  </si>
  <si>
    <t>Liriano</t>
  </si>
  <si>
    <t>Paulino</t>
  </si>
  <si>
    <t>Diaz</t>
  </si>
  <si>
    <t>Barnes</t>
  </si>
  <si>
    <t>Tito</t>
  </si>
  <si>
    <t>Soriano</t>
  </si>
  <si>
    <t>Flores</t>
  </si>
  <si>
    <t>Duran</t>
  </si>
  <si>
    <t>Molina</t>
  </si>
  <si>
    <t>Aguiar</t>
  </si>
  <si>
    <t>Hurbides</t>
  </si>
  <si>
    <t>Alcindor</t>
  </si>
  <si>
    <t>Cabrera</t>
  </si>
  <si>
    <t>Baez</t>
  </si>
  <si>
    <t>Quiles</t>
  </si>
  <si>
    <t>Contreras</t>
  </si>
  <si>
    <t>Abreu</t>
  </si>
  <si>
    <t>Vega</t>
  </si>
  <si>
    <t>Dilone</t>
  </si>
  <si>
    <t>McClucksey</t>
  </si>
  <si>
    <t>Dminguez</t>
  </si>
  <si>
    <t>Ahmed</t>
  </si>
  <si>
    <t>Perez</t>
  </si>
  <si>
    <t>Vargas</t>
  </si>
  <si>
    <t>Paula Martinez</t>
  </si>
  <si>
    <t>Mateo</t>
  </si>
  <si>
    <t>Cochran</t>
  </si>
  <si>
    <t>Garcia Collado</t>
  </si>
  <si>
    <t>Urena</t>
  </si>
  <si>
    <t>Lugo</t>
  </si>
  <si>
    <t>Garcia Cruz</t>
  </si>
  <si>
    <t>Carbuccia</t>
  </si>
  <si>
    <t>Torres</t>
  </si>
  <si>
    <t>Lopez</t>
  </si>
  <si>
    <t>Dowell</t>
  </si>
  <si>
    <t>Mercado</t>
  </si>
  <si>
    <t>Spruce</t>
  </si>
  <si>
    <t>Martinez</t>
  </si>
  <si>
    <t>Tariq</t>
  </si>
  <si>
    <t>Hernandez</t>
  </si>
  <si>
    <t>Guerrero</t>
  </si>
  <si>
    <t>Javier</t>
  </si>
  <si>
    <t>Nunez</t>
  </si>
  <si>
    <t>Reyes</t>
  </si>
  <si>
    <t>Acevedo</t>
  </si>
  <si>
    <t>Guillen</t>
  </si>
  <si>
    <t>Rodriguez</t>
  </si>
  <si>
    <t>Richiez</t>
  </si>
  <si>
    <t>Caughey</t>
  </si>
  <si>
    <t>Alcantara</t>
  </si>
  <si>
    <t>Herrera</t>
  </si>
  <si>
    <t>Rojas</t>
  </si>
  <si>
    <t>Rondon Nunez</t>
  </si>
  <si>
    <t>De Los Santos</t>
  </si>
  <si>
    <t>Arias</t>
  </si>
  <si>
    <t>Higgins</t>
  </si>
  <si>
    <t>Johnson</t>
  </si>
  <si>
    <t>De Pena</t>
  </si>
  <si>
    <t>De Leon</t>
  </si>
  <si>
    <t>Reynoso</t>
  </si>
  <si>
    <t>Espinal</t>
  </si>
  <si>
    <t>Dickey</t>
  </si>
  <si>
    <t>Zapata</t>
  </si>
  <si>
    <t>Del Rosario</t>
  </si>
  <si>
    <t>Storms</t>
  </si>
  <si>
    <t>Tapia</t>
  </si>
  <si>
    <t>Gonzalez</t>
  </si>
  <si>
    <t>Bouchereau</t>
  </si>
  <si>
    <t>Grullon</t>
  </si>
  <si>
    <t>Gossett</t>
  </si>
  <si>
    <t>Jiminian</t>
  </si>
  <si>
    <t>Parada</t>
  </si>
  <si>
    <t>Toribio</t>
  </si>
  <si>
    <t>Ofner</t>
  </si>
  <si>
    <t>Vasquez</t>
  </si>
  <si>
    <t>Rivas</t>
  </si>
  <si>
    <t>Minier</t>
  </si>
  <si>
    <t>Simmons</t>
  </si>
  <si>
    <t>Fernandez</t>
  </si>
  <si>
    <t>Bockman</t>
  </si>
  <si>
    <t>Bermudez</t>
  </si>
  <si>
    <t>Inoa</t>
  </si>
  <si>
    <t>Suazo</t>
  </si>
  <si>
    <t>Bland</t>
  </si>
  <si>
    <t>Castro</t>
  </si>
  <si>
    <t>Almanzar</t>
  </si>
  <si>
    <t>Cruz</t>
  </si>
  <si>
    <t>Pereyra</t>
  </si>
  <si>
    <t>Guzman</t>
  </si>
  <si>
    <t>Estrella</t>
  </si>
  <si>
    <t>Luna</t>
  </si>
  <si>
    <t>Aybar</t>
  </si>
  <si>
    <t>Hayes</t>
  </si>
  <si>
    <t>Custodio</t>
  </si>
  <si>
    <t>Vallecillo</t>
  </si>
  <si>
    <t>Medina</t>
  </si>
  <si>
    <t>Reyes Fernandez</t>
  </si>
  <si>
    <t>Asencio</t>
  </si>
  <si>
    <t>Adams</t>
  </si>
  <si>
    <t>Vazquez</t>
  </si>
  <si>
    <t>Warfield</t>
  </si>
  <si>
    <t>Millerick</t>
  </si>
  <si>
    <t>Brooks</t>
  </si>
  <si>
    <t>Silverio</t>
  </si>
  <si>
    <t>Colon</t>
  </si>
  <si>
    <t>Bethea</t>
  </si>
  <si>
    <t>Velez</t>
  </si>
  <si>
    <t>Mata</t>
  </si>
  <si>
    <t>Cortez</t>
  </si>
  <si>
    <t>Young</t>
  </si>
  <si>
    <t>Barnkow</t>
  </si>
  <si>
    <t>Mendez</t>
  </si>
  <si>
    <t>Rivera</t>
  </si>
  <si>
    <t>Bido</t>
  </si>
  <si>
    <t>Perdomo</t>
  </si>
  <si>
    <t>Recinos</t>
  </si>
  <si>
    <t>Aguilera</t>
  </si>
  <si>
    <t>Yearwood</t>
  </si>
  <si>
    <t>Mazara</t>
  </si>
  <si>
    <t>Aleman</t>
  </si>
  <si>
    <t>Gomez</t>
  </si>
  <si>
    <t>Deleon</t>
  </si>
  <si>
    <t>Cramer</t>
  </si>
  <si>
    <t>Weitzman</t>
  </si>
  <si>
    <t>Marte</t>
  </si>
  <si>
    <t>Pena</t>
  </si>
  <si>
    <t>Morales</t>
  </si>
  <si>
    <t>Egunen</t>
  </si>
  <si>
    <t>Meetze</t>
  </si>
  <si>
    <t>Scales</t>
  </si>
  <si>
    <t>Encarnacion</t>
  </si>
  <si>
    <t>Robletto</t>
  </si>
  <si>
    <t>Freeman</t>
  </si>
  <si>
    <t>Marmolejos</t>
  </si>
  <si>
    <t>Acosta</t>
  </si>
  <si>
    <t>Edwards</t>
  </si>
  <si>
    <t>de Torres</t>
  </si>
  <si>
    <t>Santiago</t>
  </si>
  <si>
    <t>Konzelman</t>
  </si>
  <si>
    <t>Jackson</t>
  </si>
  <si>
    <t>Polo</t>
  </si>
  <si>
    <t>Hidalgo</t>
  </si>
  <si>
    <t>Soto</t>
  </si>
  <si>
    <t>Nagaki</t>
  </si>
  <si>
    <t>Brujan</t>
  </si>
  <si>
    <t>Castillo</t>
  </si>
  <si>
    <t>Thorn Taber</t>
  </si>
  <si>
    <t>Keene</t>
  </si>
  <si>
    <t>Dominguez</t>
  </si>
  <si>
    <t>Munoz</t>
  </si>
  <si>
    <t>Pakiakis</t>
  </si>
  <si>
    <t>Tavarez</t>
  </si>
  <si>
    <t>St. Jean</t>
  </si>
  <si>
    <t>De Fran</t>
  </si>
  <si>
    <t>Berreta</t>
  </si>
  <si>
    <t>Pimentel</t>
  </si>
  <si>
    <t>Leger</t>
  </si>
  <si>
    <t>Aviles</t>
  </si>
  <si>
    <t>Schneider</t>
  </si>
  <si>
    <t>Schwing</t>
  </si>
  <si>
    <t>Zorrilla</t>
  </si>
  <si>
    <t>Calcano</t>
  </si>
  <si>
    <t>Carbonell</t>
  </si>
  <si>
    <t>Haduch</t>
  </si>
  <si>
    <t>Middleton</t>
  </si>
  <si>
    <t>Garcia</t>
  </si>
  <si>
    <t>Ramales</t>
  </si>
  <si>
    <t>Schaer</t>
  </si>
  <si>
    <t>D. Chauca</t>
  </si>
  <si>
    <t>De la Rosa</t>
  </si>
  <si>
    <t>De Pasquale</t>
  </si>
  <si>
    <t>Penalo</t>
  </si>
  <si>
    <t>Fortuna</t>
  </si>
  <si>
    <t>Quinones</t>
  </si>
  <si>
    <t>Ramos Ceballos</t>
  </si>
  <si>
    <t>Santos</t>
  </si>
  <si>
    <t>Parker</t>
  </si>
  <si>
    <t>Pelegrin</t>
  </si>
  <si>
    <t>Victoria</t>
  </si>
  <si>
    <t>McDonald</t>
  </si>
  <si>
    <t>Salamone</t>
  </si>
  <si>
    <t>Moronta</t>
  </si>
  <si>
    <t>Ordonez</t>
  </si>
  <si>
    <t>Gutierrez</t>
  </si>
  <si>
    <t>Feliz</t>
  </si>
  <si>
    <t>Cabral</t>
  </si>
  <si>
    <t>Schiebel</t>
  </si>
  <si>
    <t>Saneaux</t>
  </si>
  <si>
    <t>Payne</t>
  </si>
  <si>
    <t>Grasso</t>
  </si>
  <si>
    <t>Roberts</t>
  </si>
  <si>
    <t>Paula</t>
  </si>
  <si>
    <t>Chandler Coard</t>
  </si>
  <si>
    <t>d'Agestino</t>
  </si>
  <si>
    <t>Igantovich</t>
  </si>
  <si>
    <t>Valles</t>
  </si>
  <si>
    <t>Cisneros</t>
  </si>
  <si>
    <t>Payero</t>
  </si>
  <si>
    <t>Villegas</t>
  </si>
  <si>
    <t>Denehan</t>
  </si>
  <si>
    <t>Galdamez</t>
  </si>
  <si>
    <t>Tolentino</t>
  </si>
  <si>
    <t>O'Briant</t>
  </si>
  <si>
    <t>Vidal</t>
  </si>
  <si>
    <t>Smith</t>
  </si>
  <si>
    <t>Murphey</t>
  </si>
  <si>
    <t>Somthers</t>
  </si>
  <si>
    <t>Pichardo</t>
  </si>
  <si>
    <t>Alvarado Bobea</t>
  </si>
  <si>
    <t>Trujillo</t>
  </si>
  <si>
    <t>Vivar</t>
  </si>
  <si>
    <t>Caro</t>
  </si>
  <si>
    <t>Francisquini</t>
  </si>
  <si>
    <t>Pellot</t>
  </si>
  <si>
    <t>Cortorreal</t>
  </si>
  <si>
    <t>Minaya</t>
  </si>
  <si>
    <t>Ojumu</t>
  </si>
  <si>
    <t>Romero</t>
  </si>
  <si>
    <t>Puello</t>
  </si>
  <si>
    <t>Zawoiski</t>
  </si>
  <si>
    <t>Ridley Parson</t>
  </si>
  <si>
    <t>Apolinario</t>
  </si>
  <si>
    <t>Evans</t>
  </si>
  <si>
    <t>Steele</t>
  </si>
  <si>
    <t>Fields</t>
  </si>
  <si>
    <t>Frias</t>
  </si>
  <si>
    <t>McIntosh</t>
  </si>
  <si>
    <t>Dattaray</t>
  </si>
  <si>
    <t>Francis</t>
  </si>
  <si>
    <t>Pops</t>
  </si>
  <si>
    <t>Knight</t>
  </si>
  <si>
    <t>Blumenthal</t>
  </si>
  <si>
    <t>Hodges</t>
  </si>
  <si>
    <t>Gary</t>
  </si>
  <si>
    <t>Antigua</t>
  </si>
  <si>
    <t>Brown</t>
  </si>
  <si>
    <t>Biddle</t>
  </si>
  <si>
    <t>Mena</t>
  </si>
  <si>
    <t>Byrnes</t>
  </si>
  <si>
    <t>Crusco</t>
  </si>
  <si>
    <t>Anderson</t>
  </si>
  <si>
    <t>Dyer</t>
  </si>
  <si>
    <t>Dooley</t>
  </si>
  <si>
    <t>Zeidenberg</t>
  </si>
  <si>
    <t>Katt</t>
  </si>
  <si>
    <t>Corona Rios</t>
  </si>
  <si>
    <t>Lucas</t>
  </si>
  <si>
    <t>Burke</t>
  </si>
  <si>
    <t>Yuan</t>
  </si>
  <si>
    <t>Garrett</t>
  </si>
  <si>
    <t>Mendenhall</t>
  </si>
  <si>
    <t>49 Payson ave</t>
  </si>
  <si>
    <t>272 Sherman Ave</t>
  </si>
  <si>
    <t>5025 Broadway</t>
  </si>
  <si>
    <t>113 Sherman Ave</t>
  </si>
  <si>
    <t>110 Post Ave</t>
  </si>
  <si>
    <t>5009 Broadway</t>
  </si>
  <si>
    <t>41 Park Ter W</t>
  </si>
  <si>
    <t>4861 Broadway</t>
  </si>
  <si>
    <t>506 W 178th St</t>
  </si>
  <si>
    <t>260 Audubon Ave</t>
  </si>
  <si>
    <t>353 Fort Washington Ave</t>
  </si>
  <si>
    <t>539 W 179th St</t>
  </si>
  <si>
    <t>563 West 184th Street</t>
  </si>
  <si>
    <t>523 W 162nd St</t>
  </si>
  <si>
    <t>100 Fort Washington Ave</t>
  </si>
  <si>
    <t>1090 Saint Nicholas Ave</t>
  </si>
  <si>
    <t>565 W 162nd St</t>
  </si>
  <si>
    <t>321 Edgecombe Ave</t>
  </si>
  <si>
    <t>502 W 151st St</t>
  </si>
  <si>
    <t>549 Isham St</t>
  </si>
  <si>
    <t>3852 10th Ave</t>
  </si>
  <si>
    <t>547 W 160th St</t>
  </si>
  <si>
    <t>508 W 136th St</t>
  </si>
  <si>
    <t>117 Sherman Ave</t>
  </si>
  <si>
    <t>540 W 145th St</t>
  </si>
  <si>
    <t>545 Edgecombe Ave</t>
  </si>
  <si>
    <t>101 Post Ave</t>
  </si>
  <si>
    <t>3856 10th Ave</t>
  </si>
  <si>
    <t>685 Academy St</t>
  </si>
  <si>
    <t>25 Post Ave</t>
  </si>
  <si>
    <t>110 Seaman Ave</t>
  </si>
  <si>
    <t>165 Seaman Ave</t>
  </si>
  <si>
    <t>531 W 145th St</t>
  </si>
  <si>
    <t>248 Audubon Ave</t>
  </si>
  <si>
    <t>200 Nagle Ave</t>
  </si>
  <si>
    <t>521 W 185th St</t>
  </si>
  <si>
    <t>600 W 161st St</t>
  </si>
  <si>
    <t>90 Laurel Hill Ter</t>
  </si>
  <si>
    <t>580 W 215th St</t>
  </si>
  <si>
    <t>48 Post Ave</t>
  </si>
  <si>
    <t>25-31 Post Avenue</t>
  </si>
  <si>
    <t>10 Post Ave</t>
  </si>
  <si>
    <t>160 Vermilyea Ave</t>
  </si>
  <si>
    <t>532 W 145th St</t>
  </si>
  <si>
    <t>517 W 212th St</t>
  </si>
  <si>
    <t>168 Sherman Ave</t>
  </si>
  <si>
    <t>546 Isham St</t>
  </si>
  <si>
    <t>530 Isham St</t>
  </si>
  <si>
    <t>109 Post Ave</t>
  </si>
  <si>
    <t>655 W 160th St</t>
  </si>
  <si>
    <t>121 Sherman Ave</t>
  </si>
  <si>
    <t>4960 Broadway</t>
  </si>
  <si>
    <t>95 Seaman Ave</t>
  </si>
  <si>
    <t>64 Vermilyea Ave</t>
  </si>
  <si>
    <t>25 Vermilyea Ave</t>
  </si>
  <si>
    <t>555 W 173rd St</t>
  </si>
  <si>
    <t>252 Sherman Ave</t>
  </si>
  <si>
    <t>88 Seaman Ave</t>
  </si>
  <si>
    <t>182 Nagle Ave</t>
  </si>
  <si>
    <t>860 Riverside Dr</t>
  </si>
  <si>
    <t>73 Vermilyea Ave</t>
  </si>
  <si>
    <t>620 W 182nd St</t>
  </si>
  <si>
    <t>176 Nagle Ave # 182</t>
  </si>
  <si>
    <t>535 W 151st St</t>
  </si>
  <si>
    <t>554 W 181st St</t>
  </si>
  <si>
    <t>89-95 Seaman Avenue</t>
  </si>
  <si>
    <t>248 Sherman Ave</t>
  </si>
  <si>
    <t>115 Hamilton Pl</t>
  </si>
  <si>
    <t>247 Audubon Ave</t>
  </si>
  <si>
    <t>701 W 179th St</t>
  </si>
  <si>
    <t>578 Academy Street</t>
  </si>
  <si>
    <t>558 W 164th St</t>
  </si>
  <si>
    <t>170 Vermilyea Ave</t>
  </si>
  <si>
    <t>26 Post Ave</t>
  </si>
  <si>
    <t>104 Vermilyea Ave</t>
  </si>
  <si>
    <t>559 W 156th St</t>
  </si>
  <si>
    <t>125 Sherman Avenue</t>
  </si>
  <si>
    <t>66 Post Ave</t>
  </si>
  <si>
    <t>618 Academy St</t>
  </si>
  <si>
    <t>85 Seaman ave</t>
  </si>
  <si>
    <t>152 Sherman Avenue</t>
  </si>
  <si>
    <t>803 W 180th St</t>
  </si>
  <si>
    <t>85 Seaman Ave</t>
  </si>
  <si>
    <t>103 Vermilyea Ave</t>
  </si>
  <si>
    <t>517 W 160th St</t>
  </si>
  <si>
    <t>541 Isham St</t>
  </si>
  <si>
    <t>501 W 184th St</t>
  </si>
  <si>
    <t>561 W 179th St</t>
  </si>
  <si>
    <t>19 Vermilyea Ave</t>
  </si>
  <si>
    <t>775 Riverside Dr</t>
  </si>
  <si>
    <t>555 W 184th St</t>
  </si>
  <si>
    <t>140 Vermilyea Ave</t>
  </si>
  <si>
    <t>31 Park Ter W</t>
  </si>
  <si>
    <t>650 W 173rd St</t>
  </si>
  <si>
    <t>509 W 212th St</t>
  </si>
  <si>
    <t>152 Sherman Ave</t>
  </si>
  <si>
    <t>623 W 207th St</t>
  </si>
  <si>
    <t>254 Seaman Ave</t>
  </si>
  <si>
    <t>603 Academy St</t>
  </si>
  <si>
    <t>552 W 186th St</t>
  </si>
  <si>
    <t>3920 Broadway</t>
  </si>
  <si>
    <t>502 W 213th St</t>
  </si>
  <si>
    <t>260 Audubon ave</t>
  </si>
  <si>
    <t>5008 Broadway</t>
  </si>
  <si>
    <t>65 Post Ave</t>
  </si>
  <si>
    <t>189 Sherman Ave</t>
  </si>
  <si>
    <t>157 Vermilyea Ave</t>
  </si>
  <si>
    <t>100 Cooper St</t>
  </si>
  <si>
    <t>711 W 180th St</t>
  </si>
  <si>
    <t>73-83 Vermilyea Avenue</t>
  </si>
  <si>
    <t>3505 Broadway</t>
  </si>
  <si>
    <t>9 Post Ave</t>
  </si>
  <si>
    <t>272 Sherman ave</t>
  </si>
  <si>
    <t>65 Seaman Ave</t>
  </si>
  <si>
    <t>1781 Riverside Dr</t>
  </si>
  <si>
    <t>30 Post Ave</t>
  </si>
  <si>
    <t>615 W 164th St</t>
  </si>
  <si>
    <t>570 W 204th St</t>
  </si>
  <si>
    <t>530 W 136th St</t>
  </si>
  <si>
    <t>577 Isham Street</t>
  </si>
  <si>
    <t>199 Sherman Ave</t>
  </si>
  <si>
    <t>101 Sherman Avenue</t>
  </si>
  <si>
    <t>577 Isham St</t>
  </si>
  <si>
    <t>3852 10th ave</t>
  </si>
  <si>
    <t>571 W 139th St</t>
  </si>
  <si>
    <t>117 Sherman Avenue</t>
  </si>
  <si>
    <t>15 Post Ave</t>
  </si>
  <si>
    <t>55 cooper st</t>
  </si>
  <si>
    <t>72 Vermilyea Ave</t>
  </si>
  <si>
    <t>74 Post ave</t>
  </si>
  <si>
    <t>63 Post Ave</t>
  </si>
  <si>
    <t>33 Indian Rd</t>
  </si>
  <si>
    <t>425 W 160th St</t>
  </si>
  <si>
    <t>815 W 180th St</t>
  </si>
  <si>
    <t>20 Laurel Hill Ter</t>
  </si>
  <si>
    <t>506 W 170th St</t>
  </si>
  <si>
    <t>611 W 176th St</t>
  </si>
  <si>
    <t>101 sherman ave</t>
  </si>
  <si>
    <t>33 Post Ave</t>
  </si>
  <si>
    <t>34 Post Ave</t>
  </si>
  <si>
    <t>565 W 181st St</t>
  </si>
  <si>
    <t>545 W 162nd St</t>
  </si>
  <si>
    <t>536 Isham St</t>
  </si>
  <si>
    <t>25 Cooper St</t>
  </si>
  <si>
    <t>609 W 158th St</t>
  </si>
  <si>
    <t>547 W 135th St</t>
  </si>
  <si>
    <t>73 Cooper St</t>
  </si>
  <si>
    <t>22 Post Ave</t>
  </si>
  <si>
    <t>210 Sherman Ave</t>
  </si>
  <si>
    <t>10 Park Ter E</t>
  </si>
  <si>
    <t>165 Sherman Ave</t>
  </si>
  <si>
    <t>204 Sherman Ave</t>
  </si>
  <si>
    <t>132 Seaman Ave</t>
  </si>
  <si>
    <t>595 W 207th St</t>
  </si>
  <si>
    <t>395 Fort Washington Ave</t>
  </si>
  <si>
    <t>25-31 Post Ave</t>
  </si>
  <si>
    <t>208 Nagle Ave</t>
  </si>
  <si>
    <t>455 Fort Washington Ave</t>
  </si>
  <si>
    <t>128 Fort Washington Ave</t>
  </si>
  <si>
    <t>610 W 180th St</t>
  </si>
  <si>
    <t>19 Cooper St</t>
  </si>
  <si>
    <t>601 W 174th St</t>
  </si>
  <si>
    <t>601 West 149th Street 54</t>
  </si>
  <si>
    <t>656 W 162nd St</t>
  </si>
  <si>
    <t>69 Pinehurst Ave</t>
  </si>
  <si>
    <t>540 W 157th St</t>
  </si>
  <si>
    <t>221 Seaman Ave</t>
  </si>
  <si>
    <t>645 W 160th St</t>
  </si>
  <si>
    <t>482 Fort Washington Ave</t>
  </si>
  <si>
    <t>87 Post Ave</t>
  </si>
  <si>
    <t>221 Sherman Ave</t>
  </si>
  <si>
    <t>20 Seaman Ave</t>
  </si>
  <si>
    <t>468 W 140th St</t>
  </si>
  <si>
    <t>502 W 139th St</t>
  </si>
  <si>
    <t>89 Seaman Ave</t>
  </si>
  <si>
    <t>1370 Saint Nicholas Ave</t>
  </si>
  <si>
    <t>4966 Broadway</t>
  </si>
  <si>
    <t>551 W 185th St</t>
  </si>
  <si>
    <t>9 Post Ave # 15</t>
  </si>
  <si>
    <t>600 W 218th St</t>
  </si>
  <si>
    <t>145 Seaman Ave</t>
  </si>
  <si>
    <t>570 Fort Washington Ave</t>
  </si>
  <si>
    <t>105 Pinehurst Ave</t>
  </si>
  <si>
    <t>252 Sherman Aveue</t>
  </si>
  <si>
    <t>500 W 213th St</t>
  </si>
  <si>
    <t>24 Cooper St</t>
  </si>
  <si>
    <t>251 Sherman Ave</t>
  </si>
  <si>
    <t>256 Seaman Ave</t>
  </si>
  <si>
    <t>220 Wadsworth Ave</t>
  </si>
  <si>
    <t>200 Haven Ave</t>
  </si>
  <si>
    <t>240 Nagle Ave</t>
  </si>
  <si>
    <t>638 West 160</t>
  </si>
  <si>
    <t>1365 Saint Nicholas Ave</t>
  </si>
  <si>
    <t>31 Post Ave</t>
  </si>
  <si>
    <t>235 Seaman Ave</t>
  </si>
  <si>
    <t>516 W 167th St</t>
  </si>
  <si>
    <t>603 Isham St</t>
  </si>
  <si>
    <t>507 W 186th St</t>
  </si>
  <si>
    <t>250 Fort Washington Ave</t>
  </si>
  <si>
    <t>427 Fort Washington Ave</t>
  </si>
  <si>
    <t>106 Cabrini Blvd</t>
  </si>
  <si>
    <t>3333 Broadway</t>
  </si>
  <si>
    <t>801 W 181st St</t>
  </si>
  <si>
    <t>546 Isham st</t>
  </si>
  <si>
    <t>2102 Amsterdam Avenue</t>
  </si>
  <si>
    <t>260 Fort Washington Ave</t>
  </si>
  <si>
    <t>117 sherman ave</t>
  </si>
  <si>
    <t>812 W 181st St</t>
  </si>
  <si>
    <t>520 W 218th St</t>
  </si>
  <si>
    <t>1 Seaman Ave</t>
  </si>
  <si>
    <t>3D</t>
  </si>
  <si>
    <t>bment</t>
  </si>
  <si>
    <t>6I</t>
  </si>
  <si>
    <t>A</t>
  </si>
  <si>
    <t>4T</t>
  </si>
  <si>
    <t>6C</t>
  </si>
  <si>
    <t>28F</t>
  </si>
  <si>
    <t>3E</t>
  </si>
  <si>
    <t>2A</t>
  </si>
  <si>
    <t>5D</t>
  </si>
  <si>
    <t>5X</t>
  </si>
  <si>
    <t>1B</t>
  </si>
  <si>
    <t>5B</t>
  </si>
  <si>
    <t>2F</t>
  </si>
  <si>
    <t>5A</t>
  </si>
  <si>
    <t>4D</t>
  </si>
  <si>
    <t>2G</t>
  </si>
  <si>
    <t>5E</t>
  </si>
  <si>
    <t>3B</t>
  </si>
  <si>
    <t>2E</t>
  </si>
  <si>
    <t>6F</t>
  </si>
  <si>
    <t>5C</t>
  </si>
  <si>
    <t>2H</t>
  </si>
  <si>
    <t>5G</t>
  </si>
  <si>
    <t>9C1</t>
  </si>
  <si>
    <t>5c</t>
  </si>
  <si>
    <t>1D</t>
  </si>
  <si>
    <t>3I</t>
  </si>
  <si>
    <t>6G</t>
  </si>
  <si>
    <t>20F</t>
  </si>
  <si>
    <t>33B</t>
  </si>
  <si>
    <t>8D</t>
  </si>
  <si>
    <t>2D</t>
  </si>
  <si>
    <t>1C</t>
  </si>
  <si>
    <t>4H</t>
  </si>
  <si>
    <t>4F</t>
  </si>
  <si>
    <t>6D</t>
  </si>
  <si>
    <t>Apt A</t>
  </si>
  <si>
    <t>27D</t>
  </si>
  <si>
    <t>3C</t>
  </si>
  <si>
    <t>2C</t>
  </si>
  <si>
    <t>6A</t>
  </si>
  <si>
    <t>A32</t>
  </si>
  <si>
    <t>BSMT</t>
  </si>
  <si>
    <t>D</t>
  </si>
  <si>
    <t>B</t>
  </si>
  <si>
    <t>6B</t>
  </si>
  <si>
    <t>3k</t>
  </si>
  <si>
    <t>51B</t>
  </si>
  <si>
    <t>7G</t>
  </si>
  <si>
    <t>6J</t>
  </si>
  <si>
    <t>2B</t>
  </si>
  <si>
    <t>1H</t>
  </si>
  <si>
    <t>5H</t>
  </si>
  <si>
    <t>2 C</t>
  </si>
  <si>
    <t>3F</t>
  </si>
  <si>
    <t>4C</t>
  </si>
  <si>
    <t>C</t>
  </si>
  <si>
    <t>Bsmt</t>
  </si>
  <si>
    <t>E</t>
  </si>
  <si>
    <t>4E</t>
  </si>
  <si>
    <t>4A</t>
  </si>
  <si>
    <t>1E</t>
  </si>
  <si>
    <t>E9</t>
  </si>
  <si>
    <t>6K</t>
  </si>
  <si>
    <t>32b</t>
  </si>
  <si>
    <t>3H</t>
  </si>
  <si>
    <t>12H</t>
  </si>
  <si>
    <t>20C</t>
  </si>
  <si>
    <t>D9</t>
  </si>
  <si>
    <t>4B</t>
  </si>
  <si>
    <t>1A</t>
  </si>
  <si>
    <t>15H</t>
  </si>
  <si>
    <t>Apt. B2A</t>
  </si>
  <si>
    <t>1F</t>
  </si>
  <si>
    <t>4G</t>
  </si>
  <si>
    <t>5 D</t>
  </si>
  <si>
    <t>3M</t>
  </si>
  <si>
    <t>3A</t>
  </si>
  <si>
    <t>B24</t>
  </si>
  <si>
    <t>Apt 33</t>
  </si>
  <si>
    <t>9H</t>
  </si>
  <si>
    <t>6k</t>
  </si>
  <si>
    <t>41A</t>
  </si>
  <si>
    <t>5F</t>
  </si>
  <si>
    <t>1a</t>
  </si>
  <si>
    <t>44A</t>
  </si>
  <si>
    <t>23B</t>
  </si>
  <si>
    <t>32A</t>
  </si>
  <si>
    <t>4J</t>
  </si>
  <si>
    <t>22B</t>
  </si>
  <si>
    <t>27F</t>
  </si>
  <si>
    <t>42A</t>
  </si>
  <si>
    <t>1G</t>
  </si>
  <si>
    <t>5I</t>
  </si>
  <si>
    <t>24A</t>
  </si>
  <si>
    <t>3J</t>
  </si>
  <si>
    <t>2RE</t>
  </si>
  <si>
    <t>35 B</t>
  </si>
  <si>
    <t>3G</t>
  </si>
  <si>
    <t>6E</t>
  </si>
  <si>
    <t>41B</t>
  </si>
  <si>
    <t>27B</t>
  </si>
  <si>
    <t>1R</t>
  </si>
  <si>
    <t>F14</t>
  </si>
  <si>
    <t>Apt 309</t>
  </si>
  <si>
    <t>apt 4</t>
  </si>
  <si>
    <t>22A</t>
  </si>
  <si>
    <t>19S</t>
  </si>
  <si>
    <t>21B</t>
  </si>
  <si>
    <t>D6</t>
  </si>
  <si>
    <t>66B</t>
  </si>
  <si>
    <t>13D</t>
  </si>
  <si>
    <t>C4</t>
  </si>
  <si>
    <t>24D</t>
  </si>
  <si>
    <t>21A</t>
  </si>
  <si>
    <t>19G</t>
  </si>
  <si>
    <t>9J</t>
  </si>
  <si>
    <t>F2</t>
  </si>
  <si>
    <t>C2</t>
  </si>
  <si>
    <t>1J</t>
  </si>
  <si>
    <t>5N</t>
  </si>
  <si>
    <t>E11A</t>
  </si>
  <si>
    <t>26B</t>
  </si>
  <si>
    <t>52A</t>
  </si>
  <si>
    <t>74B</t>
  </si>
  <si>
    <t>5J</t>
  </si>
  <si>
    <t>26G</t>
  </si>
  <si>
    <t>6L</t>
  </si>
  <si>
    <t>2M</t>
  </si>
  <si>
    <t>New York</t>
  </si>
  <si>
    <t>New york</t>
  </si>
  <si>
    <t xml:space="preserve"> </t>
  </si>
  <si>
    <t>Yes</t>
  </si>
  <si>
    <t>No</t>
  </si>
  <si>
    <t>Holdover</t>
  </si>
  <si>
    <t>HP Action</t>
  </si>
  <si>
    <t>No Case</t>
  </si>
  <si>
    <t>Non-payment</t>
  </si>
  <si>
    <t>DHCR Administrative Action</t>
  </si>
  <si>
    <t>Tenant Rights</t>
  </si>
  <si>
    <t>SCRIE/DRIE</t>
  </si>
  <si>
    <t>PA Issue: Other</t>
  </si>
  <si>
    <t>Other</t>
  </si>
  <si>
    <t>Non-Litigation Advocacy</t>
  </si>
  <si>
    <t>PA Issue: FEPS</t>
  </si>
  <si>
    <t>Affirmative Litigation Supreme</t>
  </si>
  <si>
    <t>Mitchell-Lama Termination</t>
  </si>
  <si>
    <t>DHCR Proceeding</t>
  </si>
  <si>
    <t>Section 8 other</t>
  </si>
  <si>
    <t>Certificate of No Harassment Case</t>
  </si>
  <si>
    <t>Other Administrative Proceeding</t>
  </si>
  <si>
    <t>Illegal Lockout</t>
  </si>
  <si>
    <t>Other Civil Court</t>
  </si>
  <si>
    <t>Representation - State Court</t>
  </si>
  <si>
    <t>Out-of-Court Advocacy</t>
  </si>
  <si>
    <t>Brief Service</t>
  </si>
  <si>
    <t>Advice</t>
  </si>
  <si>
    <t>Hold For Review</t>
  </si>
  <si>
    <t>Representation - Admin. Agency</t>
  </si>
  <si>
    <t>06/01/2017</t>
  </si>
  <si>
    <t>10/05/2017</t>
  </si>
  <si>
    <t>06/06/2018</t>
  </si>
  <si>
    <t>10/09/2018</t>
  </si>
  <si>
    <t>02/21/2018</t>
  </si>
  <si>
    <t>01/24/2019</t>
  </si>
  <si>
    <t>07/07/2016</t>
  </si>
  <si>
    <t>06/18/2018</t>
  </si>
  <si>
    <t>07/01/2017</t>
  </si>
  <si>
    <t>07/01/2018</t>
  </si>
  <si>
    <t>12/04/2018</t>
  </si>
  <si>
    <t>08/30/2016</t>
  </si>
  <si>
    <t>12/06/2016</t>
  </si>
  <si>
    <t>02/28/2017</t>
  </si>
  <si>
    <t>03/14/2019</t>
  </si>
  <si>
    <t>07/06/2016</t>
  </si>
  <si>
    <t>01/26/2017</t>
  </si>
  <si>
    <t>01/06/2017</t>
  </si>
  <si>
    <t>04/17/2018</t>
  </si>
  <si>
    <t>03/02/2017</t>
  </si>
  <si>
    <t>09/07/2017</t>
  </si>
  <si>
    <t>05/10/2017</t>
  </si>
  <si>
    <t>10/05/2016</t>
  </si>
  <si>
    <t>05/12/2017</t>
  </si>
  <si>
    <t>02/01/2017</t>
  </si>
  <si>
    <t>09/01/2018</t>
  </si>
  <si>
    <t>12/19/2017</t>
  </si>
  <si>
    <t>02/24/2018</t>
  </si>
  <si>
    <t>09/20/2016</t>
  </si>
  <si>
    <t>09/26/2017</t>
  </si>
  <si>
    <t>06/08/2017</t>
  </si>
  <si>
    <t>01/04/2018</t>
  </si>
  <si>
    <t>12/11/2018</t>
  </si>
  <si>
    <t>09/29/2017</t>
  </si>
  <si>
    <t>05/16/2019</t>
  </si>
  <si>
    <t>06/21/2018</t>
  </si>
  <si>
    <t>11/28/2016</t>
  </si>
  <si>
    <t>05/22/2017</t>
  </si>
  <si>
    <t>09/27/2016</t>
  </si>
  <si>
    <t>08/18/2017</t>
  </si>
  <si>
    <t>06/12/2017</t>
  </si>
  <si>
    <t>07/11/2018</t>
  </si>
  <si>
    <t>02/26/2019</t>
  </si>
  <si>
    <t>08/23/2018</t>
  </si>
  <si>
    <t>04/05/2019</t>
  </si>
  <si>
    <t>Client Allowed to Remain in Residence</t>
  </si>
  <si>
    <t>2018-11-08</t>
  </si>
  <si>
    <t>2018-05-16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</si>
</sst>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72"/>
  <sheetViews>
    <sheetView tabSelected="1" workbookViewId="0"/>
  </sheetViews>
  <sheetFormatPr defaultRowHeight="15"/>
  <cols>
    <col min="1" max="1" width="20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f>HYPERLINK("https://cms.ls-nyc.org/matter/dynamic-profile/view/1859889","18-1859889")</f>
        <v>0</v>
      </c>
      <c r="B2" t="s">
        <v>20</v>
      </c>
      <c r="C2" t="s">
        <v>43</v>
      </c>
      <c r="D2" t="s">
        <v>44</v>
      </c>
      <c r="E2" t="s">
        <v>284</v>
      </c>
      <c r="F2" t="s">
        <v>595</v>
      </c>
      <c r="G2" t="s">
        <v>894</v>
      </c>
      <c r="H2" t="s">
        <v>1104</v>
      </c>
      <c r="I2" t="s">
        <v>1234</v>
      </c>
      <c r="J2">
        <v>10034</v>
      </c>
      <c r="K2" t="s">
        <v>1236</v>
      </c>
      <c r="L2" t="s">
        <v>1236</v>
      </c>
      <c r="M2" t="s">
        <v>1239</v>
      </c>
      <c r="P2">
        <v>0</v>
      </c>
      <c r="T2">
        <v>0.5</v>
      </c>
    </row>
    <row r="3" spans="1:20">
      <c r="A3" s="1">
        <f>HYPERLINK("https://cms.ls-nyc.org/matter/dynamic-profile/view/1896410","19-1896410")</f>
        <v>0</v>
      </c>
      <c r="B3" t="s">
        <v>21</v>
      </c>
      <c r="C3" t="s">
        <v>43</v>
      </c>
      <c r="D3" t="s">
        <v>45</v>
      </c>
      <c r="E3" t="s">
        <v>285</v>
      </c>
      <c r="F3" t="s">
        <v>596</v>
      </c>
      <c r="G3" t="s">
        <v>895</v>
      </c>
      <c r="H3" t="s">
        <v>1105</v>
      </c>
      <c r="I3" t="s">
        <v>1234</v>
      </c>
      <c r="J3">
        <v>10034</v>
      </c>
      <c r="K3" t="s">
        <v>1236</v>
      </c>
      <c r="L3" t="s">
        <v>1236</v>
      </c>
      <c r="M3" t="s">
        <v>1239</v>
      </c>
      <c r="P3">
        <v>0</v>
      </c>
      <c r="T3">
        <v>1.2</v>
      </c>
    </row>
    <row r="4" spans="1:20">
      <c r="A4" s="1">
        <f>HYPERLINK("https://cms.ls-nyc.org/matter/dynamic-profile/view/1871563","18-1871563")</f>
        <v>0</v>
      </c>
      <c r="B4" t="s">
        <v>22</v>
      </c>
      <c r="C4" t="s">
        <v>43</v>
      </c>
      <c r="D4" t="s">
        <v>46</v>
      </c>
      <c r="E4" t="s">
        <v>286</v>
      </c>
      <c r="F4" t="s">
        <v>597</v>
      </c>
      <c r="G4" t="s">
        <v>896</v>
      </c>
      <c r="H4" t="s">
        <v>1106</v>
      </c>
      <c r="I4" t="s">
        <v>1234</v>
      </c>
      <c r="J4">
        <v>10034</v>
      </c>
      <c r="K4" t="s">
        <v>1237</v>
      </c>
      <c r="L4" t="s">
        <v>1237</v>
      </c>
      <c r="M4" t="s">
        <v>1240</v>
      </c>
      <c r="N4" t="s">
        <v>1258</v>
      </c>
      <c r="O4" t="s">
        <v>46</v>
      </c>
      <c r="P4">
        <v>0</v>
      </c>
      <c r="T4">
        <v>3.3</v>
      </c>
    </row>
    <row r="5" spans="1:20">
      <c r="A5" s="1">
        <f>HYPERLINK("https://cms.ls-nyc.org/matter/dynamic-profile/view/1835700","17-1835700")</f>
        <v>0</v>
      </c>
      <c r="B5" t="s">
        <v>22</v>
      </c>
      <c r="C5" t="s">
        <v>43</v>
      </c>
      <c r="D5" t="s">
        <v>47</v>
      </c>
      <c r="E5" t="s">
        <v>287</v>
      </c>
      <c r="F5" t="s">
        <v>598</v>
      </c>
      <c r="G5" t="s">
        <v>897</v>
      </c>
      <c r="H5">
        <v>33</v>
      </c>
      <c r="I5" t="s">
        <v>1234</v>
      </c>
      <c r="J5">
        <v>10034</v>
      </c>
      <c r="K5" t="s">
        <v>1237</v>
      </c>
      <c r="L5" t="s">
        <v>1236</v>
      </c>
      <c r="M5" t="s">
        <v>1241</v>
      </c>
      <c r="N5" t="s">
        <v>1259</v>
      </c>
      <c r="O5" t="s">
        <v>1264</v>
      </c>
      <c r="P5">
        <v>0</v>
      </c>
      <c r="T5">
        <v>6.6</v>
      </c>
    </row>
    <row r="6" spans="1:20">
      <c r="A6" s="1">
        <f>HYPERLINK("https://cms.ls-nyc.org/matter/dynamic-profile/view/1902035","19-1902035")</f>
        <v>0</v>
      </c>
      <c r="B6" t="s">
        <v>23</v>
      </c>
      <c r="C6" t="s">
        <v>43</v>
      </c>
      <c r="D6" t="s">
        <v>48</v>
      </c>
      <c r="E6" t="s">
        <v>288</v>
      </c>
      <c r="F6" t="s">
        <v>599</v>
      </c>
      <c r="G6" t="s">
        <v>898</v>
      </c>
      <c r="H6">
        <v>304</v>
      </c>
      <c r="I6" t="s">
        <v>1234</v>
      </c>
      <c r="J6">
        <v>10034</v>
      </c>
      <c r="K6" t="s">
        <v>1237</v>
      </c>
      <c r="L6" t="s">
        <v>1236</v>
      </c>
      <c r="M6" t="s">
        <v>1241</v>
      </c>
      <c r="N6" t="s">
        <v>1260</v>
      </c>
      <c r="O6" t="s">
        <v>48</v>
      </c>
      <c r="P6">
        <v>0</v>
      </c>
      <c r="T6">
        <v>1</v>
      </c>
    </row>
    <row r="7" spans="1:20">
      <c r="A7" s="1">
        <f>HYPERLINK("https://cms.ls-nyc.org/matter/dynamic-profile/view/1848326","17-1848326")</f>
        <v>0</v>
      </c>
      <c r="B7" t="s">
        <v>24</v>
      </c>
      <c r="C7" t="s">
        <v>43</v>
      </c>
      <c r="D7" t="s">
        <v>49</v>
      </c>
      <c r="E7" t="s">
        <v>289</v>
      </c>
      <c r="F7" t="s">
        <v>600</v>
      </c>
      <c r="G7" t="s">
        <v>899</v>
      </c>
      <c r="H7">
        <v>201</v>
      </c>
      <c r="I7" t="s">
        <v>1234</v>
      </c>
      <c r="J7">
        <v>10034</v>
      </c>
      <c r="K7" t="s">
        <v>1237</v>
      </c>
      <c r="L7" t="s">
        <v>1236</v>
      </c>
      <c r="M7" t="s">
        <v>1242</v>
      </c>
      <c r="N7" t="s">
        <v>1258</v>
      </c>
      <c r="O7" t="s">
        <v>1265</v>
      </c>
      <c r="P7">
        <v>0</v>
      </c>
      <c r="T7">
        <v>80.8</v>
      </c>
    </row>
    <row r="8" spans="1:20">
      <c r="A8" s="1">
        <f>HYPERLINK("https://cms.ls-nyc.org/matter/dynamic-profile/view/1896304","19-1896304")</f>
        <v>0</v>
      </c>
      <c r="B8" t="s">
        <v>21</v>
      </c>
      <c r="C8" t="s">
        <v>43</v>
      </c>
      <c r="D8" t="s">
        <v>45</v>
      </c>
      <c r="E8" t="s">
        <v>290</v>
      </c>
      <c r="F8" t="s">
        <v>601</v>
      </c>
      <c r="G8" t="s">
        <v>900</v>
      </c>
      <c r="H8" t="s">
        <v>1107</v>
      </c>
      <c r="I8" t="s">
        <v>1234</v>
      </c>
      <c r="J8">
        <v>10034</v>
      </c>
      <c r="K8" t="s">
        <v>1237</v>
      </c>
      <c r="L8" t="s">
        <v>1237</v>
      </c>
      <c r="M8" t="s">
        <v>1242</v>
      </c>
      <c r="N8" t="s">
        <v>1261</v>
      </c>
      <c r="O8" t="s">
        <v>45</v>
      </c>
      <c r="P8">
        <v>0</v>
      </c>
      <c r="T8">
        <v>1</v>
      </c>
    </row>
    <row r="9" spans="1:20">
      <c r="A9" s="1">
        <f>HYPERLINK("https://cms.ls-nyc.org/matter/dynamic-profile/view/1896334","19-1896334")</f>
        <v>0</v>
      </c>
      <c r="B9" t="s">
        <v>21</v>
      </c>
      <c r="C9" t="s">
        <v>43</v>
      </c>
      <c r="D9" t="s">
        <v>45</v>
      </c>
      <c r="E9" t="s">
        <v>291</v>
      </c>
      <c r="F9" t="s">
        <v>602</v>
      </c>
      <c r="G9" t="s">
        <v>901</v>
      </c>
      <c r="H9" t="s">
        <v>1108</v>
      </c>
      <c r="I9" t="s">
        <v>1234</v>
      </c>
      <c r="J9">
        <v>10034</v>
      </c>
      <c r="K9" t="s">
        <v>1236</v>
      </c>
      <c r="L9" t="s">
        <v>1236</v>
      </c>
      <c r="M9" t="s">
        <v>1242</v>
      </c>
      <c r="P9">
        <v>0</v>
      </c>
      <c r="T9">
        <v>1</v>
      </c>
    </row>
    <row r="10" spans="1:20">
      <c r="A10" s="1">
        <f>HYPERLINK("https://cms.ls-nyc.org/matter/dynamic-profile/view/1897898","19-1897898")</f>
        <v>0</v>
      </c>
      <c r="B10" t="s">
        <v>25</v>
      </c>
      <c r="C10" t="s">
        <v>43</v>
      </c>
      <c r="D10" t="s">
        <v>50</v>
      </c>
      <c r="E10" t="s">
        <v>292</v>
      </c>
      <c r="F10" t="s">
        <v>603</v>
      </c>
      <c r="G10" t="s">
        <v>902</v>
      </c>
      <c r="H10" t="s">
        <v>1109</v>
      </c>
      <c r="I10" t="s">
        <v>1234</v>
      </c>
      <c r="J10">
        <v>10033</v>
      </c>
      <c r="K10" t="s">
        <v>1237</v>
      </c>
      <c r="L10" t="s">
        <v>1237</v>
      </c>
      <c r="M10" t="s">
        <v>1243</v>
      </c>
      <c r="N10" t="s">
        <v>1258</v>
      </c>
      <c r="O10" t="s">
        <v>50</v>
      </c>
      <c r="P10">
        <v>0</v>
      </c>
      <c r="T10">
        <v>0</v>
      </c>
    </row>
    <row r="11" spans="1:20">
      <c r="A11" s="1">
        <f>HYPERLINK("https://cms.ls-nyc.org/matter/dynamic-profile/view/1876735","18-1876735")</f>
        <v>0</v>
      </c>
      <c r="B11" t="s">
        <v>23</v>
      </c>
      <c r="C11" t="s">
        <v>43</v>
      </c>
      <c r="D11" t="s">
        <v>51</v>
      </c>
      <c r="E11" t="s">
        <v>293</v>
      </c>
      <c r="F11" t="s">
        <v>604</v>
      </c>
      <c r="G11" t="s">
        <v>903</v>
      </c>
      <c r="H11" t="s">
        <v>1110</v>
      </c>
      <c r="I11" t="s">
        <v>1234</v>
      </c>
      <c r="J11">
        <v>10033</v>
      </c>
      <c r="K11" t="s">
        <v>1237</v>
      </c>
      <c r="L11" t="s">
        <v>1237</v>
      </c>
      <c r="M11" t="s">
        <v>1240</v>
      </c>
      <c r="N11" t="s">
        <v>1258</v>
      </c>
      <c r="O11" t="s">
        <v>51</v>
      </c>
      <c r="P11">
        <v>0</v>
      </c>
      <c r="T11">
        <v>0.7</v>
      </c>
    </row>
    <row r="12" spans="1:20">
      <c r="A12" s="1">
        <f>HYPERLINK("https://cms.ls-nyc.org/matter/dynamic-profile/view/1876150","18-1876150")</f>
        <v>0</v>
      </c>
      <c r="B12" t="s">
        <v>22</v>
      </c>
      <c r="C12" t="s">
        <v>43</v>
      </c>
      <c r="D12" t="s">
        <v>52</v>
      </c>
      <c r="E12" t="s">
        <v>294</v>
      </c>
      <c r="F12" t="s">
        <v>605</v>
      </c>
      <c r="G12" t="s">
        <v>904</v>
      </c>
      <c r="H12" t="s">
        <v>1111</v>
      </c>
      <c r="I12" t="s">
        <v>1234</v>
      </c>
      <c r="J12">
        <v>10033</v>
      </c>
      <c r="K12" t="s">
        <v>1237</v>
      </c>
      <c r="L12" t="s">
        <v>1237</v>
      </c>
      <c r="M12" t="s">
        <v>1242</v>
      </c>
      <c r="N12" t="s">
        <v>1258</v>
      </c>
      <c r="O12" t="s">
        <v>52</v>
      </c>
      <c r="P12">
        <v>0</v>
      </c>
      <c r="T12">
        <v>38.25</v>
      </c>
    </row>
    <row r="13" spans="1:20">
      <c r="A13" s="1">
        <f>HYPERLINK("https://cms.ls-nyc.org/matter/dynamic-profile/view/1894615","19-1894615")</f>
        <v>0</v>
      </c>
      <c r="B13" t="s">
        <v>23</v>
      </c>
      <c r="C13" t="s">
        <v>43</v>
      </c>
      <c r="D13" t="s">
        <v>53</v>
      </c>
      <c r="E13" t="s">
        <v>295</v>
      </c>
      <c r="F13" t="s">
        <v>606</v>
      </c>
      <c r="G13" t="s">
        <v>905</v>
      </c>
      <c r="H13" t="s">
        <v>1112</v>
      </c>
      <c r="I13" t="s">
        <v>1234</v>
      </c>
      <c r="J13">
        <v>10033</v>
      </c>
      <c r="K13" t="s">
        <v>1237</v>
      </c>
      <c r="L13" t="s">
        <v>1237</v>
      </c>
      <c r="M13" t="s">
        <v>1242</v>
      </c>
      <c r="N13" t="s">
        <v>1261</v>
      </c>
      <c r="O13" t="s">
        <v>53</v>
      </c>
      <c r="P13">
        <v>0</v>
      </c>
      <c r="T13">
        <v>13.15</v>
      </c>
    </row>
    <row r="14" spans="1:20">
      <c r="A14" s="1">
        <f>HYPERLINK("https://cms.ls-nyc.org/matter/dynamic-profile/view/1894249","19-1894249")</f>
        <v>0</v>
      </c>
      <c r="B14" t="s">
        <v>25</v>
      </c>
      <c r="C14" t="s">
        <v>43</v>
      </c>
      <c r="D14" t="s">
        <v>54</v>
      </c>
      <c r="E14" t="s">
        <v>296</v>
      </c>
      <c r="F14" t="s">
        <v>607</v>
      </c>
      <c r="G14" t="s">
        <v>906</v>
      </c>
      <c r="H14" t="s">
        <v>1113</v>
      </c>
      <c r="I14" t="s">
        <v>1234</v>
      </c>
      <c r="J14">
        <v>10033</v>
      </c>
      <c r="K14" t="s">
        <v>1237</v>
      </c>
      <c r="L14" t="s">
        <v>1238</v>
      </c>
      <c r="M14" t="s">
        <v>1244</v>
      </c>
      <c r="N14" t="s">
        <v>1261</v>
      </c>
      <c r="O14" t="s">
        <v>54</v>
      </c>
      <c r="P14">
        <v>0</v>
      </c>
      <c r="T14">
        <v>0.1</v>
      </c>
    </row>
    <row r="15" spans="1:20">
      <c r="A15" s="1">
        <f>HYPERLINK("https://cms.ls-nyc.org/matter/dynamic-profile/view/1902355","19-1902355")</f>
        <v>0</v>
      </c>
      <c r="B15" t="s">
        <v>26</v>
      </c>
      <c r="C15" t="s">
        <v>43</v>
      </c>
      <c r="D15" t="s">
        <v>55</v>
      </c>
      <c r="E15" t="s">
        <v>297</v>
      </c>
      <c r="F15" t="s">
        <v>608</v>
      </c>
      <c r="G15" t="s">
        <v>907</v>
      </c>
      <c r="H15">
        <v>1</v>
      </c>
      <c r="I15" t="s">
        <v>1234</v>
      </c>
      <c r="J15">
        <v>10032</v>
      </c>
      <c r="K15" t="s">
        <v>1237</v>
      </c>
      <c r="L15" t="s">
        <v>1236</v>
      </c>
      <c r="M15" t="s">
        <v>1241</v>
      </c>
      <c r="N15" t="s">
        <v>1261</v>
      </c>
      <c r="O15" t="s">
        <v>55</v>
      </c>
      <c r="P15">
        <v>0</v>
      </c>
      <c r="T15">
        <v>1.5</v>
      </c>
    </row>
    <row r="16" spans="1:20">
      <c r="A16" s="1">
        <f>HYPERLINK("https://cms.ls-nyc.org/matter/dynamic-profile/view/1889022","19-1889022")</f>
        <v>0</v>
      </c>
      <c r="B16" t="s">
        <v>26</v>
      </c>
      <c r="C16" t="s">
        <v>43</v>
      </c>
      <c r="D16" t="s">
        <v>56</v>
      </c>
      <c r="E16" t="s">
        <v>298</v>
      </c>
      <c r="F16" t="s">
        <v>609</v>
      </c>
      <c r="G16" t="s">
        <v>908</v>
      </c>
      <c r="H16" t="s">
        <v>1104</v>
      </c>
      <c r="I16" t="s">
        <v>1234</v>
      </c>
      <c r="J16">
        <v>10032</v>
      </c>
      <c r="K16" t="s">
        <v>1237</v>
      </c>
      <c r="L16" t="s">
        <v>1237</v>
      </c>
      <c r="M16" t="s">
        <v>1244</v>
      </c>
      <c r="N16" t="s">
        <v>1261</v>
      </c>
      <c r="O16" t="s">
        <v>56</v>
      </c>
      <c r="P16">
        <v>0</v>
      </c>
      <c r="T16">
        <v>2</v>
      </c>
    </row>
    <row r="17" spans="1:20">
      <c r="A17" s="1">
        <f>HYPERLINK("https://cms.ls-nyc.org/matter/dynamic-profile/view/1897787","19-1897787")</f>
        <v>0</v>
      </c>
      <c r="B17" t="s">
        <v>24</v>
      </c>
      <c r="C17" t="s">
        <v>43</v>
      </c>
      <c r="D17" t="s">
        <v>57</v>
      </c>
      <c r="E17" t="s">
        <v>299</v>
      </c>
      <c r="F17" t="s">
        <v>610</v>
      </c>
      <c r="G17" t="s">
        <v>909</v>
      </c>
      <c r="H17">
        <v>33</v>
      </c>
      <c r="I17" t="s">
        <v>1234</v>
      </c>
      <c r="J17">
        <v>10032</v>
      </c>
      <c r="K17" t="s">
        <v>1237</v>
      </c>
      <c r="L17" t="s">
        <v>1237</v>
      </c>
      <c r="M17" t="s">
        <v>1244</v>
      </c>
      <c r="N17" t="s">
        <v>1261</v>
      </c>
      <c r="O17" t="s">
        <v>57</v>
      </c>
      <c r="P17">
        <v>0</v>
      </c>
      <c r="T17">
        <v>1</v>
      </c>
    </row>
    <row r="18" spans="1:20">
      <c r="A18" s="1">
        <f>HYPERLINK("https://cms.ls-nyc.org/matter/dynamic-profile/view/1900732","19-1900732")</f>
        <v>0</v>
      </c>
      <c r="B18" t="s">
        <v>26</v>
      </c>
      <c r="C18" t="s">
        <v>43</v>
      </c>
      <c r="D18" t="s">
        <v>58</v>
      </c>
      <c r="E18" t="s">
        <v>300</v>
      </c>
      <c r="F18" t="s">
        <v>611</v>
      </c>
      <c r="G18" t="s">
        <v>910</v>
      </c>
      <c r="H18">
        <v>62</v>
      </c>
      <c r="I18" t="s">
        <v>1234</v>
      </c>
      <c r="J18">
        <v>10032</v>
      </c>
      <c r="K18" t="s">
        <v>1237</v>
      </c>
      <c r="L18" t="s">
        <v>1236</v>
      </c>
      <c r="N18" t="s">
        <v>1261</v>
      </c>
      <c r="O18" t="s">
        <v>58</v>
      </c>
      <c r="P18">
        <v>0</v>
      </c>
      <c r="T18">
        <v>1.6</v>
      </c>
    </row>
    <row r="19" spans="1:20">
      <c r="A19" s="1">
        <f>HYPERLINK("https://cms.ls-nyc.org/matter/dynamic-profile/view/1889401","19-1889401")</f>
        <v>0</v>
      </c>
      <c r="B19" t="s">
        <v>21</v>
      </c>
      <c r="C19" t="s">
        <v>43</v>
      </c>
      <c r="D19" t="s">
        <v>59</v>
      </c>
      <c r="E19" t="s">
        <v>301</v>
      </c>
      <c r="F19" t="s">
        <v>612</v>
      </c>
      <c r="G19" t="s">
        <v>911</v>
      </c>
      <c r="H19" t="s">
        <v>1114</v>
      </c>
      <c r="I19" t="s">
        <v>1234</v>
      </c>
      <c r="J19">
        <v>10031</v>
      </c>
      <c r="K19" t="s">
        <v>1236</v>
      </c>
      <c r="L19" t="s">
        <v>1236</v>
      </c>
      <c r="N19" t="s">
        <v>1262</v>
      </c>
      <c r="P19">
        <v>0</v>
      </c>
      <c r="T19">
        <v>7.65</v>
      </c>
    </row>
    <row r="20" spans="1:20">
      <c r="A20" s="1">
        <f>HYPERLINK("https://cms.ls-nyc.org/matter/dynamic-profile/view/1898439","19-1898439")</f>
        <v>0</v>
      </c>
      <c r="B20" t="s">
        <v>21</v>
      </c>
      <c r="C20" t="s">
        <v>43</v>
      </c>
      <c r="D20" t="s">
        <v>60</v>
      </c>
      <c r="E20" t="s">
        <v>302</v>
      </c>
      <c r="F20" t="s">
        <v>613</v>
      </c>
      <c r="G20" t="s">
        <v>912</v>
      </c>
      <c r="H20" t="s">
        <v>1115</v>
      </c>
      <c r="I20" t="s">
        <v>1234</v>
      </c>
      <c r="J20">
        <v>10031</v>
      </c>
      <c r="K20" t="s">
        <v>1237</v>
      </c>
      <c r="L20" t="s">
        <v>1237</v>
      </c>
      <c r="N20" t="s">
        <v>1261</v>
      </c>
      <c r="O20" t="s">
        <v>60</v>
      </c>
      <c r="P20">
        <v>0</v>
      </c>
      <c r="T20">
        <v>1.5</v>
      </c>
    </row>
    <row r="21" spans="1:20">
      <c r="A21" s="1">
        <f>HYPERLINK("https://cms.ls-nyc.org/matter/dynamic-profile/view/0807221","16-0807221")</f>
        <v>0</v>
      </c>
      <c r="B21" t="s">
        <v>27</v>
      </c>
      <c r="C21" t="s">
        <v>43</v>
      </c>
      <c r="D21" t="s">
        <v>61</v>
      </c>
      <c r="E21" t="s">
        <v>303</v>
      </c>
      <c r="F21" t="s">
        <v>614</v>
      </c>
      <c r="G21" t="s">
        <v>913</v>
      </c>
      <c r="H21">
        <v>43</v>
      </c>
      <c r="I21" t="s">
        <v>1234</v>
      </c>
      <c r="J21">
        <v>10034</v>
      </c>
      <c r="K21" t="s">
        <v>1237</v>
      </c>
      <c r="L21" t="s">
        <v>1236</v>
      </c>
      <c r="M21" t="s">
        <v>1242</v>
      </c>
      <c r="N21" t="s">
        <v>1258</v>
      </c>
      <c r="O21" t="s">
        <v>61</v>
      </c>
      <c r="P21">
        <v>9.09</v>
      </c>
      <c r="T21">
        <v>178.83</v>
      </c>
    </row>
    <row r="22" spans="1:20">
      <c r="A22" s="1">
        <f>HYPERLINK("https://cms.ls-nyc.org/matter/dynamic-profile/view/1861676","18-1861676")</f>
        <v>0</v>
      </c>
      <c r="B22" t="s">
        <v>24</v>
      </c>
      <c r="C22" t="s">
        <v>43</v>
      </c>
      <c r="D22" t="s">
        <v>62</v>
      </c>
      <c r="E22" t="s">
        <v>304</v>
      </c>
      <c r="F22" t="s">
        <v>615</v>
      </c>
      <c r="G22" t="s">
        <v>914</v>
      </c>
      <c r="H22">
        <v>22</v>
      </c>
      <c r="I22" t="s">
        <v>1234</v>
      </c>
      <c r="J22">
        <v>10034</v>
      </c>
      <c r="K22" t="s">
        <v>1237</v>
      </c>
      <c r="L22" t="s">
        <v>1236</v>
      </c>
      <c r="M22" t="s">
        <v>1242</v>
      </c>
      <c r="N22" t="s">
        <v>1258</v>
      </c>
      <c r="O22" t="s">
        <v>124</v>
      </c>
      <c r="P22">
        <v>9.880000000000001</v>
      </c>
      <c r="T22">
        <v>156.6</v>
      </c>
    </row>
    <row r="23" spans="1:20">
      <c r="A23" s="1">
        <f>HYPERLINK("https://cms.ls-nyc.org/matter/dynamic-profile/view/1881881","18-1881881")</f>
        <v>0</v>
      </c>
      <c r="B23" t="s">
        <v>28</v>
      </c>
      <c r="C23" t="s">
        <v>43</v>
      </c>
      <c r="D23" t="s">
        <v>63</v>
      </c>
      <c r="E23" t="s">
        <v>305</v>
      </c>
      <c r="F23" t="s">
        <v>616</v>
      </c>
      <c r="G23" t="s">
        <v>915</v>
      </c>
      <c r="H23" t="s">
        <v>1116</v>
      </c>
      <c r="I23" t="s">
        <v>1234</v>
      </c>
      <c r="J23">
        <v>10032</v>
      </c>
      <c r="K23" t="s">
        <v>1237</v>
      </c>
      <c r="L23" t="s">
        <v>1237</v>
      </c>
      <c r="M23" t="s">
        <v>1240</v>
      </c>
      <c r="N23" t="s">
        <v>1258</v>
      </c>
      <c r="O23" t="s">
        <v>63</v>
      </c>
      <c r="P23">
        <v>15.95</v>
      </c>
      <c r="T23">
        <v>1.6</v>
      </c>
    </row>
    <row r="24" spans="1:20">
      <c r="A24" s="1">
        <f>HYPERLINK("https://cms.ls-nyc.org/matter/dynamic-profile/view/1863821","18-1863821")</f>
        <v>0</v>
      </c>
      <c r="B24" t="s">
        <v>22</v>
      </c>
      <c r="C24" t="s">
        <v>43</v>
      </c>
      <c r="D24" t="s">
        <v>64</v>
      </c>
      <c r="E24" t="s">
        <v>306</v>
      </c>
      <c r="F24" t="s">
        <v>617</v>
      </c>
      <c r="G24" t="s">
        <v>916</v>
      </c>
      <c r="H24">
        <v>10</v>
      </c>
      <c r="I24" t="s">
        <v>1234</v>
      </c>
      <c r="J24">
        <v>10031</v>
      </c>
      <c r="K24" t="s">
        <v>1237</v>
      </c>
      <c r="L24" t="s">
        <v>1236</v>
      </c>
      <c r="M24" t="s">
        <v>1241</v>
      </c>
      <c r="N24" t="s">
        <v>1259</v>
      </c>
      <c r="O24" t="s">
        <v>1266</v>
      </c>
      <c r="P24">
        <v>16.75</v>
      </c>
      <c r="Q24" t="s">
        <v>1300</v>
      </c>
      <c r="T24">
        <v>108.05</v>
      </c>
    </row>
    <row r="25" spans="1:20">
      <c r="A25" s="1">
        <f>HYPERLINK("https://cms.ls-nyc.org/matter/dynamic-profile/view/1874150","18-1874150")</f>
        <v>0</v>
      </c>
      <c r="B25" t="s">
        <v>22</v>
      </c>
      <c r="C25" t="s">
        <v>43</v>
      </c>
      <c r="D25" t="s">
        <v>65</v>
      </c>
      <c r="E25" t="s">
        <v>307</v>
      </c>
      <c r="F25" t="s">
        <v>618</v>
      </c>
      <c r="G25" t="s">
        <v>917</v>
      </c>
      <c r="H25">
        <v>44</v>
      </c>
      <c r="I25" t="s">
        <v>1234</v>
      </c>
      <c r="J25">
        <v>10034</v>
      </c>
      <c r="K25" t="s">
        <v>1237</v>
      </c>
      <c r="L25" t="s">
        <v>1237</v>
      </c>
      <c r="M25" t="s">
        <v>1242</v>
      </c>
      <c r="N25" t="s">
        <v>1258</v>
      </c>
      <c r="O25" t="s">
        <v>1267</v>
      </c>
      <c r="P25">
        <v>18.09</v>
      </c>
      <c r="T25">
        <v>28.98</v>
      </c>
    </row>
    <row r="26" spans="1:20">
      <c r="A26" s="1">
        <f>HYPERLINK("https://cms.ls-nyc.org/matter/dynamic-profile/view/1882586","18-1882586")</f>
        <v>0</v>
      </c>
      <c r="B26" t="s">
        <v>29</v>
      </c>
      <c r="C26" t="s">
        <v>43</v>
      </c>
      <c r="D26" t="s">
        <v>66</v>
      </c>
      <c r="E26" t="s">
        <v>308</v>
      </c>
      <c r="F26" t="s">
        <v>619</v>
      </c>
      <c r="G26" t="s">
        <v>918</v>
      </c>
      <c r="H26" t="s">
        <v>1117</v>
      </c>
      <c r="I26" t="s">
        <v>1234</v>
      </c>
      <c r="J26">
        <v>10031</v>
      </c>
      <c r="K26" t="s">
        <v>1237</v>
      </c>
      <c r="L26" t="s">
        <v>1237</v>
      </c>
      <c r="M26" t="s">
        <v>1240</v>
      </c>
      <c r="N26" t="s">
        <v>1258</v>
      </c>
      <c r="O26" t="s">
        <v>63</v>
      </c>
      <c r="P26">
        <v>20.33</v>
      </c>
      <c r="T26">
        <v>2</v>
      </c>
    </row>
    <row r="27" spans="1:20">
      <c r="A27" s="1">
        <f>HYPERLINK("https://cms.ls-nyc.org/matter/dynamic-profile/view/1877745","18-1877745")</f>
        <v>0</v>
      </c>
      <c r="B27" t="s">
        <v>26</v>
      </c>
      <c r="C27" t="s">
        <v>43</v>
      </c>
      <c r="D27" t="s">
        <v>67</v>
      </c>
      <c r="E27" t="s">
        <v>309</v>
      </c>
      <c r="F27" t="s">
        <v>620</v>
      </c>
      <c r="G27" t="s">
        <v>919</v>
      </c>
      <c r="H27" t="s">
        <v>1118</v>
      </c>
      <c r="I27" t="s">
        <v>1234</v>
      </c>
      <c r="J27">
        <v>10032</v>
      </c>
      <c r="K27" t="s">
        <v>1237</v>
      </c>
      <c r="L27" t="s">
        <v>1237</v>
      </c>
      <c r="M27" t="s">
        <v>1242</v>
      </c>
      <c r="N27" t="s">
        <v>1258</v>
      </c>
      <c r="O27" t="s">
        <v>67</v>
      </c>
      <c r="P27">
        <v>21.25</v>
      </c>
      <c r="T27">
        <v>53.3</v>
      </c>
    </row>
    <row r="28" spans="1:20">
      <c r="A28" s="1">
        <f>HYPERLINK("https://cms.ls-nyc.org/matter/dynamic-profile/view/1853541","17-1853541")</f>
        <v>0</v>
      </c>
      <c r="B28" t="s">
        <v>24</v>
      </c>
      <c r="C28" t="s">
        <v>43</v>
      </c>
      <c r="D28" t="s">
        <v>68</v>
      </c>
      <c r="E28" t="s">
        <v>310</v>
      </c>
      <c r="F28" t="s">
        <v>539</v>
      </c>
      <c r="G28" t="s">
        <v>920</v>
      </c>
      <c r="H28" t="s">
        <v>1119</v>
      </c>
      <c r="I28" t="s">
        <v>1234</v>
      </c>
      <c r="J28">
        <v>10034</v>
      </c>
      <c r="K28" t="s">
        <v>1237</v>
      </c>
      <c r="L28" t="s">
        <v>1236</v>
      </c>
      <c r="M28" t="s">
        <v>1242</v>
      </c>
      <c r="N28" t="s">
        <v>1258</v>
      </c>
      <c r="O28" t="s">
        <v>279</v>
      </c>
      <c r="P28">
        <v>21.39</v>
      </c>
      <c r="T28">
        <v>98.38</v>
      </c>
    </row>
    <row r="29" spans="1:20">
      <c r="A29" s="1">
        <f>HYPERLINK("https://cms.ls-nyc.org/matter/dynamic-profile/view/1881397","18-1881397")</f>
        <v>0</v>
      </c>
      <c r="B29" t="s">
        <v>29</v>
      </c>
      <c r="C29" t="s">
        <v>43</v>
      </c>
      <c r="D29" t="s">
        <v>69</v>
      </c>
      <c r="E29" t="s">
        <v>311</v>
      </c>
      <c r="F29" t="s">
        <v>621</v>
      </c>
      <c r="G29" t="s">
        <v>918</v>
      </c>
      <c r="H29" t="s">
        <v>1120</v>
      </c>
      <c r="I29" t="s">
        <v>1234</v>
      </c>
      <c r="J29">
        <v>10031</v>
      </c>
      <c r="K29" t="s">
        <v>1237</v>
      </c>
      <c r="L29" t="s">
        <v>1237</v>
      </c>
      <c r="M29" t="s">
        <v>1240</v>
      </c>
      <c r="N29" t="s">
        <v>1258</v>
      </c>
      <c r="O29" t="s">
        <v>246</v>
      </c>
      <c r="P29">
        <v>22.38</v>
      </c>
      <c r="T29">
        <v>0.25</v>
      </c>
    </row>
    <row r="30" spans="1:20">
      <c r="A30" s="1">
        <f>HYPERLINK("https://cms.ls-nyc.org/matter/dynamic-profile/view/1884197","18-1884197")</f>
        <v>0</v>
      </c>
      <c r="B30" t="s">
        <v>22</v>
      </c>
      <c r="C30" t="s">
        <v>43</v>
      </c>
      <c r="D30" t="s">
        <v>70</v>
      </c>
      <c r="E30" t="s">
        <v>312</v>
      </c>
      <c r="F30" t="s">
        <v>622</v>
      </c>
      <c r="G30" t="s">
        <v>921</v>
      </c>
      <c r="H30">
        <v>21</v>
      </c>
      <c r="I30" t="s">
        <v>1234</v>
      </c>
      <c r="J30">
        <v>10034</v>
      </c>
      <c r="K30" t="s">
        <v>1237</v>
      </c>
      <c r="L30" t="s">
        <v>1237</v>
      </c>
      <c r="M30" t="s">
        <v>1244</v>
      </c>
      <c r="N30" t="s">
        <v>1261</v>
      </c>
      <c r="O30" t="s">
        <v>70</v>
      </c>
      <c r="P30">
        <v>25.02</v>
      </c>
      <c r="T30">
        <v>57.73</v>
      </c>
    </row>
    <row r="31" spans="1:20">
      <c r="A31" s="1">
        <f>HYPERLINK("https://cms.ls-nyc.org/matter/dynamic-profile/view/1875112","18-1875112")</f>
        <v>0</v>
      </c>
      <c r="B31" t="s">
        <v>29</v>
      </c>
      <c r="C31" t="s">
        <v>43</v>
      </c>
      <c r="D31" t="s">
        <v>71</v>
      </c>
      <c r="E31" t="s">
        <v>313</v>
      </c>
      <c r="F31" t="s">
        <v>623</v>
      </c>
      <c r="G31" t="s">
        <v>918</v>
      </c>
      <c r="I31" t="s">
        <v>1234</v>
      </c>
      <c r="J31">
        <v>10031</v>
      </c>
      <c r="K31" t="s">
        <v>1237</v>
      </c>
      <c r="L31" t="s">
        <v>1237</v>
      </c>
      <c r="M31" t="s">
        <v>1240</v>
      </c>
      <c r="N31" t="s">
        <v>1261</v>
      </c>
      <c r="O31" t="s">
        <v>71</v>
      </c>
      <c r="P31">
        <v>25.52</v>
      </c>
      <c r="T31">
        <v>0</v>
      </c>
    </row>
    <row r="32" spans="1:20">
      <c r="A32" s="1">
        <f>HYPERLINK("https://cms.ls-nyc.org/matter/dynamic-profile/view/0829383","17-0829383")</f>
        <v>0</v>
      </c>
      <c r="B32" t="s">
        <v>25</v>
      </c>
      <c r="C32" t="s">
        <v>43</v>
      </c>
      <c r="D32" t="s">
        <v>72</v>
      </c>
      <c r="E32" t="s">
        <v>314</v>
      </c>
      <c r="F32" t="s">
        <v>624</v>
      </c>
      <c r="G32" t="s">
        <v>922</v>
      </c>
      <c r="H32">
        <v>45</v>
      </c>
      <c r="I32" t="s">
        <v>1234</v>
      </c>
      <c r="J32">
        <v>10034</v>
      </c>
      <c r="K32" t="s">
        <v>1237</v>
      </c>
      <c r="L32" t="s">
        <v>1236</v>
      </c>
      <c r="M32" t="s">
        <v>1239</v>
      </c>
      <c r="N32" t="s">
        <v>1258</v>
      </c>
      <c r="O32" t="s">
        <v>72</v>
      </c>
      <c r="P32">
        <v>29.33</v>
      </c>
      <c r="T32">
        <v>69.15000000000001</v>
      </c>
    </row>
    <row r="33" spans="1:20">
      <c r="A33" s="1">
        <f>HYPERLINK("https://cms.ls-nyc.org/matter/dynamic-profile/view/0830911","17-0830911")</f>
        <v>0</v>
      </c>
      <c r="B33" t="s">
        <v>28</v>
      </c>
      <c r="C33" t="s">
        <v>43</v>
      </c>
      <c r="D33" t="s">
        <v>73</v>
      </c>
      <c r="E33" t="s">
        <v>310</v>
      </c>
      <c r="F33" t="s">
        <v>625</v>
      </c>
      <c r="G33" t="s">
        <v>923</v>
      </c>
      <c r="H33" t="s">
        <v>1121</v>
      </c>
      <c r="I33" t="s">
        <v>1234</v>
      </c>
      <c r="J33">
        <v>10034</v>
      </c>
      <c r="K33" t="s">
        <v>1237</v>
      </c>
      <c r="L33" t="s">
        <v>1236</v>
      </c>
      <c r="M33" t="s">
        <v>1241</v>
      </c>
      <c r="N33" t="s">
        <v>1258</v>
      </c>
      <c r="O33" t="s">
        <v>179</v>
      </c>
      <c r="P33">
        <v>31.74</v>
      </c>
      <c r="T33">
        <v>75.2</v>
      </c>
    </row>
    <row r="34" spans="1:20">
      <c r="A34" s="1">
        <f>HYPERLINK("https://cms.ls-nyc.org/matter/dynamic-profile/view/1833670","17-1833670")</f>
        <v>0</v>
      </c>
      <c r="B34" t="s">
        <v>25</v>
      </c>
      <c r="C34" t="s">
        <v>43</v>
      </c>
      <c r="D34" t="s">
        <v>74</v>
      </c>
      <c r="E34" t="s">
        <v>315</v>
      </c>
      <c r="F34" t="s">
        <v>626</v>
      </c>
      <c r="G34" t="s">
        <v>924</v>
      </c>
      <c r="H34" t="s">
        <v>1111</v>
      </c>
      <c r="I34" t="s">
        <v>1234</v>
      </c>
      <c r="J34">
        <v>10034</v>
      </c>
      <c r="K34" t="s">
        <v>1237</v>
      </c>
      <c r="L34" t="s">
        <v>1236</v>
      </c>
      <c r="M34" t="s">
        <v>1239</v>
      </c>
      <c r="N34" t="s">
        <v>1258</v>
      </c>
      <c r="O34" t="s">
        <v>103</v>
      </c>
      <c r="P34">
        <v>35.32</v>
      </c>
      <c r="T34">
        <v>96.22</v>
      </c>
    </row>
    <row r="35" spans="1:20">
      <c r="A35" s="1">
        <f>HYPERLINK("https://cms.ls-nyc.org/matter/dynamic-profile/view/1896986","19-1896986")</f>
        <v>0</v>
      </c>
      <c r="B35" t="s">
        <v>24</v>
      </c>
      <c r="C35" t="s">
        <v>43</v>
      </c>
      <c r="D35" t="s">
        <v>75</v>
      </c>
      <c r="E35" t="s">
        <v>316</v>
      </c>
      <c r="F35" t="s">
        <v>627</v>
      </c>
      <c r="G35" t="s">
        <v>925</v>
      </c>
      <c r="H35" t="s">
        <v>1122</v>
      </c>
      <c r="I35" t="s">
        <v>1234</v>
      </c>
      <c r="J35">
        <v>10034</v>
      </c>
      <c r="K35" t="s">
        <v>1237</v>
      </c>
      <c r="L35" t="s">
        <v>1237</v>
      </c>
      <c r="M35" t="s">
        <v>1242</v>
      </c>
      <c r="N35" t="s">
        <v>1261</v>
      </c>
      <c r="O35" t="s">
        <v>75</v>
      </c>
      <c r="P35">
        <v>35.93</v>
      </c>
      <c r="T35">
        <v>3</v>
      </c>
    </row>
    <row r="36" spans="1:20">
      <c r="A36" s="1">
        <f>HYPERLINK("https://cms.ls-nyc.org/matter/dynamic-profile/view/1878163","18-1878163")</f>
        <v>0</v>
      </c>
      <c r="B36" t="s">
        <v>22</v>
      </c>
      <c r="C36" t="s">
        <v>43</v>
      </c>
      <c r="D36" t="s">
        <v>76</v>
      </c>
      <c r="E36" t="s">
        <v>317</v>
      </c>
      <c r="F36" t="s">
        <v>628</v>
      </c>
      <c r="G36" t="s">
        <v>926</v>
      </c>
      <c r="H36" t="s">
        <v>1123</v>
      </c>
      <c r="I36" t="s">
        <v>1234</v>
      </c>
      <c r="J36">
        <v>10031</v>
      </c>
      <c r="K36" t="s">
        <v>1237</v>
      </c>
      <c r="L36" t="s">
        <v>1237</v>
      </c>
      <c r="M36" t="s">
        <v>1239</v>
      </c>
      <c r="N36" t="s">
        <v>1258</v>
      </c>
      <c r="O36" t="s">
        <v>76</v>
      </c>
      <c r="P36">
        <v>35.97</v>
      </c>
      <c r="R36" t="s">
        <v>1309</v>
      </c>
      <c r="S36" t="s">
        <v>1310</v>
      </c>
      <c r="T36">
        <v>6.7</v>
      </c>
    </row>
    <row r="37" spans="1:20">
      <c r="A37" s="1">
        <f>HYPERLINK("https://cms.ls-nyc.org/matter/dynamic-profile/view/1860628","18-1860628")</f>
        <v>0</v>
      </c>
      <c r="B37" t="s">
        <v>29</v>
      </c>
      <c r="C37" t="s">
        <v>43</v>
      </c>
      <c r="D37" t="s">
        <v>77</v>
      </c>
      <c r="E37" t="s">
        <v>287</v>
      </c>
      <c r="F37" t="s">
        <v>629</v>
      </c>
      <c r="G37" t="s">
        <v>918</v>
      </c>
      <c r="H37" t="s">
        <v>1124</v>
      </c>
      <c r="I37" t="s">
        <v>1234</v>
      </c>
      <c r="J37">
        <v>10031</v>
      </c>
      <c r="K37" t="s">
        <v>1237</v>
      </c>
      <c r="L37" t="s">
        <v>1237</v>
      </c>
      <c r="M37" t="s">
        <v>1240</v>
      </c>
      <c r="N37" t="s">
        <v>1260</v>
      </c>
      <c r="O37" t="s">
        <v>1268</v>
      </c>
      <c r="P37">
        <v>37.54</v>
      </c>
      <c r="T37">
        <v>0</v>
      </c>
    </row>
    <row r="38" spans="1:20">
      <c r="A38" s="1">
        <f>HYPERLINK("https://cms.ls-nyc.org/matter/dynamic-profile/view/1873178","18-1873178")</f>
        <v>0</v>
      </c>
      <c r="B38" t="s">
        <v>22</v>
      </c>
      <c r="C38" t="s">
        <v>43</v>
      </c>
      <c r="D38" t="s">
        <v>78</v>
      </c>
      <c r="E38" t="s">
        <v>318</v>
      </c>
      <c r="F38" t="s">
        <v>630</v>
      </c>
      <c r="G38" t="s">
        <v>896</v>
      </c>
      <c r="H38" t="s">
        <v>1125</v>
      </c>
      <c r="I38" t="s">
        <v>1234</v>
      </c>
      <c r="J38">
        <v>10034</v>
      </c>
      <c r="K38" t="s">
        <v>1237</v>
      </c>
      <c r="L38" t="s">
        <v>1237</v>
      </c>
      <c r="M38" t="s">
        <v>1240</v>
      </c>
      <c r="N38" t="s">
        <v>1258</v>
      </c>
      <c r="O38" t="s">
        <v>78</v>
      </c>
      <c r="P38">
        <v>37.83</v>
      </c>
      <c r="T38">
        <v>1.3</v>
      </c>
    </row>
    <row r="39" spans="1:20">
      <c r="A39" s="1">
        <f>HYPERLINK("https://cms.ls-nyc.org/matter/dynamic-profile/view/1897622","19-1897622")</f>
        <v>0</v>
      </c>
      <c r="B39" t="s">
        <v>22</v>
      </c>
      <c r="C39" t="s">
        <v>43</v>
      </c>
      <c r="D39" t="s">
        <v>79</v>
      </c>
      <c r="E39" t="s">
        <v>319</v>
      </c>
      <c r="F39" t="s">
        <v>287</v>
      </c>
      <c r="G39" t="s">
        <v>927</v>
      </c>
      <c r="H39">
        <v>24</v>
      </c>
      <c r="I39" t="s">
        <v>1234</v>
      </c>
      <c r="J39">
        <v>10033</v>
      </c>
      <c r="K39" t="s">
        <v>1237</v>
      </c>
      <c r="L39" t="s">
        <v>1237</v>
      </c>
      <c r="M39" t="s">
        <v>1242</v>
      </c>
      <c r="N39" t="s">
        <v>1258</v>
      </c>
      <c r="O39" t="s">
        <v>79</v>
      </c>
      <c r="P39">
        <v>38.24</v>
      </c>
      <c r="T39">
        <v>10.7</v>
      </c>
    </row>
    <row r="40" spans="1:20">
      <c r="A40" s="1">
        <f>HYPERLINK("https://cms.ls-nyc.org/matter/dynamic-profile/view/1897652","19-1897652")</f>
        <v>0</v>
      </c>
      <c r="B40" t="s">
        <v>22</v>
      </c>
      <c r="C40" t="s">
        <v>43</v>
      </c>
      <c r="D40" t="s">
        <v>79</v>
      </c>
      <c r="E40" t="s">
        <v>319</v>
      </c>
      <c r="F40" t="s">
        <v>287</v>
      </c>
      <c r="G40" t="s">
        <v>927</v>
      </c>
      <c r="H40">
        <v>24</v>
      </c>
      <c r="I40" t="s">
        <v>1234</v>
      </c>
      <c r="J40">
        <v>10033</v>
      </c>
      <c r="K40" t="s">
        <v>1237</v>
      </c>
      <c r="L40" t="s">
        <v>1237</v>
      </c>
      <c r="M40" t="s">
        <v>1245</v>
      </c>
      <c r="N40" t="s">
        <v>1260</v>
      </c>
      <c r="O40" t="s">
        <v>79</v>
      </c>
      <c r="P40">
        <v>38.24</v>
      </c>
      <c r="T40">
        <v>0</v>
      </c>
    </row>
    <row r="41" spans="1:20">
      <c r="A41" s="1">
        <f>HYPERLINK("https://cms.ls-nyc.org/matter/dynamic-profile/view/1897636","19-1897636")</f>
        <v>0</v>
      </c>
      <c r="B41" t="s">
        <v>22</v>
      </c>
      <c r="C41" t="s">
        <v>43</v>
      </c>
      <c r="D41" t="s">
        <v>79</v>
      </c>
      <c r="E41" t="s">
        <v>319</v>
      </c>
      <c r="F41" t="s">
        <v>287</v>
      </c>
      <c r="G41" t="s">
        <v>927</v>
      </c>
      <c r="H41">
        <v>24</v>
      </c>
      <c r="I41" t="s">
        <v>1234</v>
      </c>
      <c r="J41">
        <v>10033</v>
      </c>
      <c r="K41" t="s">
        <v>1237</v>
      </c>
      <c r="L41" t="s">
        <v>1237</v>
      </c>
      <c r="M41" t="s">
        <v>1244</v>
      </c>
      <c r="N41" t="s">
        <v>1258</v>
      </c>
      <c r="O41" t="s">
        <v>79</v>
      </c>
      <c r="P41">
        <v>38.24</v>
      </c>
      <c r="T41">
        <v>1.1</v>
      </c>
    </row>
    <row r="42" spans="1:20">
      <c r="A42" s="1">
        <f>HYPERLINK("https://cms.ls-nyc.org/matter/dynamic-profile/view/1881365","18-1881365")</f>
        <v>0</v>
      </c>
      <c r="B42" t="s">
        <v>29</v>
      </c>
      <c r="C42" t="s">
        <v>43</v>
      </c>
      <c r="D42" t="s">
        <v>69</v>
      </c>
      <c r="E42" t="s">
        <v>320</v>
      </c>
      <c r="F42" t="s">
        <v>631</v>
      </c>
      <c r="G42" t="s">
        <v>918</v>
      </c>
      <c r="H42" t="s">
        <v>1126</v>
      </c>
      <c r="I42" t="s">
        <v>1234</v>
      </c>
      <c r="J42">
        <v>10031</v>
      </c>
      <c r="K42" t="s">
        <v>1237</v>
      </c>
      <c r="L42" t="s">
        <v>1237</v>
      </c>
      <c r="M42" t="s">
        <v>1240</v>
      </c>
      <c r="N42" t="s">
        <v>1258</v>
      </c>
      <c r="O42" t="s">
        <v>246</v>
      </c>
      <c r="P42">
        <v>39.35</v>
      </c>
      <c r="T42">
        <v>3</v>
      </c>
    </row>
    <row r="43" spans="1:20">
      <c r="A43" s="1">
        <f>HYPERLINK("https://cms.ls-nyc.org/matter/dynamic-profile/view/1887510","19-1887510")</f>
        <v>0</v>
      </c>
      <c r="B43" t="s">
        <v>26</v>
      </c>
      <c r="C43" t="s">
        <v>43</v>
      </c>
      <c r="D43" t="s">
        <v>80</v>
      </c>
      <c r="E43" t="s">
        <v>321</v>
      </c>
      <c r="F43" t="s">
        <v>632</v>
      </c>
      <c r="G43" t="s">
        <v>928</v>
      </c>
      <c r="H43" t="s">
        <v>1127</v>
      </c>
      <c r="I43" t="s">
        <v>1234</v>
      </c>
      <c r="J43">
        <v>10034</v>
      </c>
      <c r="K43" t="s">
        <v>1237</v>
      </c>
      <c r="L43" t="s">
        <v>1237</v>
      </c>
      <c r="M43" t="s">
        <v>1242</v>
      </c>
      <c r="N43" t="s">
        <v>1258</v>
      </c>
      <c r="O43" t="s">
        <v>80</v>
      </c>
      <c r="P43">
        <v>40.14</v>
      </c>
      <c r="T43">
        <v>28.85</v>
      </c>
    </row>
    <row r="44" spans="1:20">
      <c r="A44" s="1">
        <f>HYPERLINK("https://cms.ls-nyc.org/matter/dynamic-profile/view/1898843","19-1898843")</f>
        <v>0</v>
      </c>
      <c r="B44" t="s">
        <v>26</v>
      </c>
      <c r="C44" t="s">
        <v>43</v>
      </c>
      <c r="D44" t="s">
        <v>81</v>
      </c>
      <c r="E44" t="s">
        <v>287</v>
      </c>
      <c r="F44" t="s">
        <v>633</v>
      </c>
      <c r="G44" t="s">
        <v>929</v>
      </c>
      <c r="H44" t="s">
        <v>1125</v>
      </c>
      <c r="I44" t="s">
        <v>1234</v>
      </c>
      <c r="J44">
        <v>10033</v>
      </c>
      <c r="K44" t="s">
        <v>1237</v>
      </c>
      <c r="L44" t="s">
        <v>1237</v>
      </c>
      <c r="M44" t="s">
        <v>1244</v>
      </c>
      <c r="N44" t="s">
        <v>1261</v>
      </c>
      <c r="O44" t="s">
        <v>81</v>
      </c>
      <c r="P44">
        <v>42.42</v>
      </c>
      <c r="T44">
        <v>1.5</v>
      </c>
    </row>
    <row r="45" spans="1:20">
      <c r="A45" s="1">
        <f>HYPERLINK("https://cms.ls-nyc.org/matter/dynamic-profile/view/1882145","18-1882145")</f>
        <v>0</v>
      </c>
      <c r="B45" t="s">
        <v>24</v>
      </c>
      <c r="C45" t="s">
        <v>43</v>
      </c>
      <c r="D45" t="s">
        <v>82</v>
      </c>
      <c r="E45" t="s">
        <v>322</v>
      </c>
      <c r="F45" t="s">
        <v>634</v>
      </c>
      <c r="G45" t="s">
        <v>930</v>
      </c>
      <c r="H45" t="s">
        <v>1128</v>
      </c>
      <c r="I45" t="s">
        <v>1234</v>
      </c>
      <c r="J45">
        <v>10032</v>
      </c>
      <c r="K45" t="s">
        <v>1237</v>
      </c>
      <c r="L45" t="s">
        <v>1237</v>
      </c>
      <c r="N45" t="s">
        <v>1260</v>
      </c>
      <c r="O45" t="s">
        <v>82</v>
      </c>
      <c r="P45">
        <v>44.47</v>
      </c>
      <c r="T45">
        <v>0.25</v>
      </c>
    </row>
    <row r="46" spans="1:20">
      <c r="A46" s="1">
        <f>HYPERLINK("https://cms.ls-nyc.org/matter/dynamic-profile/view/1893217","19-1893217")</f>
        <v>0</v>
      </c>
      <c r="B46" t="s">
        <v>21</v>
      </c>
      <c r="C46" t="s">
        <v>43</v>
      </c>
      <c r="D46" t="s">
        <v>83</v>
      </c>
      <c r="E46" t="s">
        <v>323</v>
      </c>
      <c r="F46" t="s">
        <v>635</v>
      </c>
      <c r="G46" t="s">
        <v>931</v>
      </c>
      <c r="H46" t="s">
        <v>1112</v>
      </c>
      <c r="I46" t="s">
        <v>1234</v>
      </c>
      <c r="J46">
        <v>10033</v>
      </c>
      <c r="K46" t="s">
        <v>1237</v>
      </c>
      <c r="L46" t="s">
        <v>1237</v>
      </c>
      <c r="N46" t="s">
        <v>1261</v>
      </c>
      <c r="O46" t="s">
        <v>83</v>
      </c>
      <c r="P46">
        <v>44.76</v>
      </c>
      <c r="T46">
        <v>27.75</v>
      </c>
    </row>
    <row r="47" spans="1:20">
      <c r="A47" s="1">
        <f>HYPERLINK("https://cms.ls-nyc.org/matter/dynamic-profile/view/1866109","18-1866109")</f>
        <v>0</v>
      </c>
      <c r="B47" t="s">
        <v>29</v>
      </c>
      <c r="C47" t="s">
        <v>43</v>
      </c>
      <c r="D47" t="s">
        <v>84</v>
      </c>
      <c r="E47" t="s">
        <v>324</v>
      </c>
      <c r="F47" t="s">
        <v>636</v>
      </c>
      <c r="G47" t="s">
        <v>918</v>
      </c>
      <c r="H47" t="s">
        <v>1129</v>
      </c>
      <c r="I47" t="s">
        <v>1234</v>
      </c>
      <c r="J47">
        <v>10031</v>
      </c>
      <c r="K47" t="s">
        <v>1237</v>
      </c>
      <c r="L47" t="s">
        <v>1237</v>
      </c>
      <c r="M47" t="s">
        <v>1240</v>
      </c>
      <c r="N47" t="s">
        <v>1260</v>
      </c>
      <c r="O47" t="s">
        <v>84</v>
      </c>
      <c r="P47">
        <v>44.98</v>
      </c>
      <c r="T47">
        <v>0</v>
      </c>
    </row>
    <row r="48" spans="1:20">
      <c r="A48" s="1">
        <f>HYPERLINK("https://cms.ls-nyc.org/matter/dynamic-profile/view/1868446","18-1868446")</f>
        <v>0</v>
      </c>
      <c r="B48" t="s">
        <v>26</v>
      </c>
      <c r="C48" t="s">
        <v>43</v>
      </c>
      <c r="D48" t="s">
        <v>85</v>
      </c>
      <c r="E48" t="s">
        <v>325</v>
      </c>
      <c r="F48" t="s">
        <v>637</v>
      </c>
      <c r="G48" t="s">
        <v>932</v>
      </c>
      <c r="H48" t="s">
        <v>1130</v>
      </c>
      <c r="I48" t="s">
        <v>1234</v>
      </c>
      <c r="J48">
        <v>10034</v>
      </c>
      <c r="K48" t="s">
        <v>1237</v>
      </c>
      <c r="L48" t="s">
        <v>1237</v>
      </c>
      <c r="M48" t="s">
        <v>1242</v>
      </c>
      <c r="N48" t="s">
        <v>1258</v>
      </c>
      <c r="O48" t="s">
        <v>85</v>
      </c>
      <c r="P48">
        <v>45.3</v>
      </c>
      <c r="T48">
        <v>69.2</v>
      </c>
    </row>
    <row r="49" spans="1:20">
      <c r="A49" s="1">
        <f>HYPERLINK("https://cms.ls-nyc.org/matter/dynamic-profile/view/1874990","18-1874990")</f>
        <v>0</v>
      </c>
      <c r="B49" t="s">
        <v>23</v>
      </c>
      <c r="C49" t="s">
        <v>43</v>
      </c>
      <c r="D49" t="s">
        <v>86</v>
      </c>
      <c r="E49" t="s">
        <v>326</v>
      </c>
      <c r="F49" t="s">
        <v>638</v>
      </c>
      <c r="G49" t="s">
        <v>933</v>
      </c>
      <c r="H49">
        <v>3</v>
      </c>
      <c r="I49" t="s">
        <v>1234</v>
      </c>
      <c r="J49">
        <v>10034</v>
      </c>
      <c r="K49" t="s">
        <v>1237</v>
      </c>
      <c r="L49" t="s">
        <v>1237</v>
      </c>
      <c r="M49" t="s">
        <v>1240</v>
      </c>
      <c r="N49" t="s">
        <v>1261</v>
      </c>
      <c r="O49" t="s">
        <v>86</v>
      </c>
      <c r="P49">
        <v>45.62</v>
      </c>
      <c r="T49">
        <v>0.9</v>
      </c>
    </row>
    <row r="50" spans="1:20">
      <c r="A50" s="1">
        <f>HYPERLINK("https://cms.ls-nyc.org/matter/dynamic-profile/view/1881219","18-1881219")</f>
        <v>0</v>
      </c>
      <c r="B50" t="s">
        <v>23</v>
      </c>
      <c r="C50" t="s">
        <v>43</v>
      </c>
      <c r="D50" t="s">
        <v>87</v>
      </c>
      <c r="E50" t="s">
        <v>326</v>
      </c>
      <c r="F50" t="s">
        <v>638</v>
      </c>
      <c r="G50" t="s">
        <v>933</v>
      </c>
      <c r="H50">
        <v>3</v>
      </c>
      <c r="I50" t="s">
        <v>1234</v>
      </c>
      <c r="J50">
        <v>10034</v>
      </c>
      <c r="K50" t="s">
        <v>1237</v>
      </c>
      <c r="L50" t="s">
        <v>1237</v>
      </c>
      <c r="M50" t="s">
        <v>1242</v>
      </c>
      <c r="N50" t="s">
        <v>1261</v>
      </c>
      <c r="O50" t="s">
        <v>87</v>
      </c>
      <c r="P50">
        <v>45.62</v>
      </c>
      <c r="T50">
        <v>0</v>
      </c>
    </row>
    <row r="51" spans="1:20">
      <c r="A51" s="1">
        <f>HYPERLINK("https://cms.ls-nyc.org/matter/dynamic-profile/view/1889042","19-1889042")</f>
        <v>0</v>
      </c>
      <c r="B51" t="s">
        <v>28</v>
      </c>
      <c r="C51" t="s">
        <v>43</v>
      </c>
      <c r="D51" t="s">
        <v>56</v>
      </c>
      <c r="E51" t="s">
        <v>327</v>
      </c>
      <c r="F51" t="s">
        <v>639</v>
      </c>
      <c r="G51" t="s">
        <v>910</v>
      </c>
      <c r="H51">
        <v>63</v>
      </c>
      <c r="I51" t="s">
        <v>1234</v>
      </c>
      <c r="J51">
        <v>10032</v>
      </c>
      <c r="K51" t="s">
        <v>1237</v>
      </c>
      <c r="L51" t="s">
        <v>1237</v>
      </c>
      <c r="M51" t="s">
        <v>1242</v>
      </c>
      <c r="N51" t="s">
        <v>1258</v>
      </c>
      <c r="O51" t="s">
        <v>1269</v>
      </c>
      <c r="P51">
        <v>46.49</v>
      </c>
      <c r="T51">
        <v>13.9</v>
      </c>
    </row>
    <row r="52" spans="1:20">
      <c r="A52" s="1">
        <f>HYPERLINK("https://cms.ls-nyc.org/matter/dynamic-profile/view/1847633","17-1847633")</f>
        <v>0</v>
      </c>
      <c r="B52" t="s">
        <v>28</v>
      </c>
      <c r="C52" t="s">
        <v>43</v>
      </c>
      <c r="D52" t="s">
        <v>88</v>
      </c>
      <c r="E52" t="s">
        <v>287</v>
      </c>
      <c r="F52" t="s">
        <v>640</v>
      </c>
      <c r="G52" t="s">
        <v>934</v>
      </c>
      <c r="H52" t="s">
        <v>1131</v>
      </c>
      <c r="I52" t="s">
        <v>1234</v>
      </c>
      <c r="J52">
        <v>10034</v>
      </c>
      <c r="K52" t="s">
        <v>1237</v>
      </c>
      <c r="L52" t="s">
        <v>1236</v>
      </c>
      <c r="M52" t="s">
        <v>1240</v>
      </c>
      <c r="N52" t="s">
        <v>1258</v>
      </c>
      <c r="O52" t="s">
        <v>248</v>
      </c>
      <c r="P52">
        <v>46.55</v>
      </c>
      <c r="T52">
        <v>0</v>
      </c>
    </row>
    <row r="53" spans="1:20">
      <c r="A53" s="1">
        <f>HYPERLINK("https://cms.ls-nyc.org/matter/dynamic-profile/view/1899724","19-1899724")</f>
        <v>0</v>
      </c>
      <c r="B53" t="s">
        <v>26</v>
      </c>
      <c r="C53" t="s">
        <v>43</v>
      </c>
      <c r="D53" t="s">
        <v>89</v>
      </c>
      <c r="E53" t="s">
        <v>328</v>
      </c>
      <c r="F53" t="s">
        <v>641</v>
      </c>
      <c r="G53" t="s">
        <v>935</v>
      </c>
      <c r="H53" t="s">
        <v>1132</v>
      </c>
      <c r="I53" t="s">
        <v>1234</v>
      </c>
      <c r="J53">
        <v>10034</v>
      </c>
      <c r="K53" t="s">
        <v>1237</v>
      </c>
      <c r="L53" t="s">
        <v>1236</v>
      </c>
      <c r="N53" t="s">
        <v>1261</v>
      </c>
      <c r="O53" t="s">
        <v>89</v>
      </c>
      <c r="P53">
        <v>47.31</v>
      </c>
      <c r="T53">
        <v>2.3</v>
      </c>
    </row>
    <row r="54" spans="1:20">
      <c r="A54" s="1">
        <f>HYPERLINK("https://cms.ls-nyc.org/matter/dynamic-profile/view/1859387","18-1859387")</f>
        <v>0</v>
      </c>
      <c r="B54" t="s">
        <v>30</v>
      </c>
      <c r="C54" t="s">
        <v>43</v>
      </c>
      <c r="D54" t="s">
        <v>90</v>
      </c>
      <c r="E54" t="s">
        <v>329</v>
      </c>
      <c r="F54" t="s">
        <v>642</v>
      </c>
      <c r="G54" t="s">
        <v>936</v>
      </c>
      <c r="H54" t="s">
        <v>1112</v>
      </c>
      <c r="I54" t="s">
        <v>1234</v>
      </c>
      <c r="J54">
        <v>10034</v>
      </c>
      <c r="K54" t="s">
        <v>1237</v>
      </c>
      <c r="L54" t="s">
        <v>1236</v>
      </c>
      <c r="M54" t="s">
        <v>1246</v>
      </c>
      <c r="N54" t="s">
        <v>1259</v>
      </c>
      <c r="O54" t="s">
        <v>90</v>
      </c>
      <c r="P54">
        <v>47.37</v>
      </c>
      <c r="T54">
        <v>26.5</v>
      </c>
    </row>
    <row r="55" spans="1:20">
      <c r="A55" s="1">
        <f>HYPERLINK("https://cms.ls-nyc.org/matter/dynamic-profile/view/1873802","18-1873802")</f>
        <v>0</v>
      </c>
      <c r="B55" t="s">
        <v>23</v>
      </c>
      <c r="C55" t="s">
        <v>43</v>
      </c>
      <c r="D55" t="s">
        <v>91</v>
      </c>
      <c r="E55" t="s">
        <v>330</v>
      </c>
      <c r="F55" t="s">
        <v>643</v>
      </c>
      <c r="G55" t="s">
        <v>903</v>
      </c>
      <c r="H55" t="s">
        <v>1133</v>
      </c>
      <c r="I55" t="s">
        <v>1234</v>
      </c>
      <c r="J55">
        <v>10033</v>
      </c>
      <c r="K55" t="s">
        <v>1237</v>
      </c>
      <c r="L55" t="s">
        <v>1237</v>
      </c>
      <c r="M55" t="s">
        <v>1240</v>
      </c>
      <c r="N55" t="s">
        <v>1260</v>
      </c>
      <c r="O55" t="s">
        <v>91</v>
      </c>
      <c r="P55">
        <v>47.59</v>
      </c>
      <c r="T55">
        <v>0</v>
      </c>
    </row>
    <row r="56" spans="1:20">
      <c r="A56" s="1">
        <f>HYPERLINK("https://cms.ls-nyc.org/matter/dynamic-profile/view/1866167","18-1866167")</f>
        <v>0</v>
      </c>
      <c r="B56" t="s">
        <v>29</v>
      </c>
      <c r="C56" t="s">
        <v>43</v>
      </c>
      <c r="D56" t="s">
        <v>92</v>
      </c>
      <c r="E56" t="s">
        <v>331</v>
      </c>
      <c r="F56" t="s">
        <v>636</v>
      </c>
      <c r="G56" t="s">
        <v>937</v>
      </c>
      <c r="H56" t="s">
        <v>1126</v>
      </c>
      <c r="I56" t="s">
        <v>1235</v>
      </c>
      <c r="J56">
        <v>10031</v>
      </c>
      <c r="K56" t="s">
        <v>1237</v>
      </c>
      <c r="L56" t="s">
        <v>1237</v>
      </c>
      <c r="M56" t="s">
        <v>1240</v>
      </c>
      <c r="N56" t="s">
        <v>1258</v>
      </c>
      <c r="O56" t="s">
        <v>92</v>
      </c>
      <c r="P56">
        <v>47.81</v>
      </c>
      <c r="T56">
        <v>4.7</v>
      </c>
    </row>
    <row r="57" spans="1:20">
      <c r="A57" s="1">
        <f>HYPERLINK("https://cms.ls-nyc.org/matter/dynamic-profile/view/0806911","16-0806911")</f>
        <v>0</v>
      </c>
      <c r="B57" t="s">
        <v>25</v>
      </c>
      <c r="C57" t="s">
        <v>43</v>
      </c>
      <c r="D57" t="s">
        <v>93</v>
      </c>
      <c r="E57" t="s">
        <v>332</v>
      </c>
      <c r="F57" t="s">
        <v>644</v>
      </c>
      <c r="G57" t="s">
        <v>938</v>
      </c>
      <c r="H57" t="s">
        <v>1119</v>
      </c>
      <c r="I57" t="s">
        <v>1234</v>
      </c>
      <c r="J57">
        <v>10034</v>
      </c>
      <c r="K57" t="s">
        <v>1237</v>
      </c>
      <c r="L57" t="s">
        <v>1236</v>
      </c>
      <c r="M57" t="s">
        <v>1240</v>
      </c>
      <c r="N57" t="s">
        <v>1258</v>
      </c>
      <c r="O57" t="s">
        <v>1270</v>
      </c>
      <c r="P57">
        <v>47.95</v>
      </c>
      <c r="T57">
        <v>1.2</v>
      </c>
    </row>
    <row r="58" spans="1:20">
      <c r="A58" s="1">
        <f>HYPERLINK("https://cms.ls-nyc.org/matter/dynamic-profile/view/1840577","17-1840577")</f>
        <v>0</v>
      </c>
      <c r="B58" t="s">
        <v>22</v>
      </c>
      <c r="C58" t="s">
        <v>43</v>
      </c>
      <c r="D58" t="s">
        <v>94</v>
      </c>
      <c r="E58" t="s">
        <v>333</v>
      </c>
      <c r="F58" t="s">
        <v>645</v>
      </c>
      <c r="G58" t="s">
        <v>939</v>
      </c>
      <c r="H58">
        <v>35</v>
      </c>
      <c r="I58" t="s">
        <v>1234</v>
      </c>
      <c r="J58">
        <v>10034</v>
      </c>
      <c r="K58" t="s">
        <v>1237</v>
      </c>
      <c r="L58" t="s">
        <v>1236</v>
      </c>
      <c r="M58" t="s">
        <v>1247</v>
      </c>
      <c r="N58" t="s">
        <v>1259</v>
      </c>
      <c r="O58" t="s">
        <v>179</v>
      </c>
      <c r="P58">
        <v>48.29</v>
      </c>
      <c r="T58">
        <v>30.5</v>
      </c>
    </row>
    <row r="59" spans="1:20">
      <c r="A59" s="1">
        <f>HYPERLINK("https://cms.ls-nyc.org/matter/dynamic-profile/view/1851670","17-1851670")</f>
        <v>0</v>
      </c>
      <c r="B59" t="s">
        <v>28</v>
      </c>
      <c r="C59" t="s">
        <v>43</v>
      </c>
      <c r="D59" t="s">
        <v>95</v>
      </c>
      <c r="E59" t="s">
        <v>334</v>
      </c>
      <c r="F59" t="s">
        <v>421</v>
      </c>
      <c r="G59" t="s">
        <v>940</v>
      </c>
      <c r="H59" t="s">
        <v>1134</v>
      </c>
      <c r="I59" t="s">
        <v>1234</v>
      </c>
      <c r="J59">
        <v>10034</v>
      </c>
      <c r="K59" t="s">
        <v>1237</v>
      </c>
      <c r="L59" t="s">
        <v>1236</v>
      </c>
      <c r="M59" t="s">
        <v>1240</v>
      </c>
      <c r="N59" t="s">
        <v>1258</v>
      </c>
      <c r="O59" t="s">
        <v>95</v>
      </c>
      <c r="P59">
        <v>49.26</v>
      </c>
      <c r="T59">
        <v>0.65</v>
      </c>
    </row>
    <row r="60" spans="1:20">
      <c r="A60" s="1">
        <f>HYPERLINK("https://cms.ls-nyc.org/matter/dynamic-profile/view/0828029","17-0828029")</f>
        <v>0</v>
      </c>
      <c r="B60" t="s">
        <v>28</v>
      </c>
      <c r="C60" t="s">
        <v>43</v>
      </c>
      <c r="D60" t="s">
        <v>96</v>
      </c>
      <c r="E60" t="s">
        <v>310</v>
      </c>
      <c r="F60" t="s">
        <v>622</v>
      </c>
      <c r="G60" t="s">
        <v>941</v>
      </c>
      <c r="H60">
        <v>53</v>
      </c>
      <c r="I60" t="s">
        <v>1234</v>
      </c>
      <c r="J60">
        <v>10034</v>
      </c>
      <c r="K60" t="s">
        <v>1238</v>
      </c>
      <c r="L60" t="s">
        <v>1236</v>
      </c>
      <c r="M60" t="s">
        <v>1241</v>
      </c>
      <c r="N60" t="s">
        <v>1258</v>
      </c>
      <c r="O60" t="s">
        <v>156</v>
      </c>
      <c r="P60">
        <v>51.24</v>
      </c>
      <c r="T60">
        <v>0.7</v>
      </c>
    </row>
    <row r="61" spans="1:20">
      <c r="A61" s="1">
        <f>HYPERLINK("https://cms.ls-nyc.org/matter/dynamic-profile/view/1860642","18-1860642")</f>
        <v>0</v>
      </c>
      <c r="B61" t="s">
        <v>29</v>
      </c>
      <c r="C61" t="s">
        <v>43</v>
      </c>
      <c r="D61" t="s">
        <v>77</v>
      </c>
      <c r="E61" t="s">
        <v>335</v>
      </c>
      <c r="F61" t="s">
        <v>646</v>
      </c>
      <c r="G61" t="s">
        <v>918</v>
      </c>
      <c r="H61" t="s">
        <v>1118</v>
      </c>
      <c r="I61" t="s">
        <v>1234</v>
      </c>
      <c r="J61">
        <v>10031</v>
      </c>
      <c r="K61" t="s">
        <v>1237</v>
      </c>
      <c r="L61" t="s">
        <v>1236</v>
      </c>
      <c r="M61" t="s">
        <v>1240</v>
      </c>
      <c r="N61" t="s">
        <v>1260</v>
      </c>
      <c r="O61" t="s">
        <v>226</v>
      </c>
      <c r="P61">
        <v>52.13</v>
      </c>
      <c r="T61">
        <v>0.25</v>
      </c>
    </row>
    <row r="62" spans="1:20">
      <c r="A62" s="1">
        <f>HYPERLINK("https://cms.ls-nyc.org/matter/dynamic-profile/view/1879092","18-1879092")</f>
        <v>0</v>
      </c>
      <c r="B62" t="s">
        <v>24</v>
      </c>
      <c r="C62" t="s">
        <v>43</v>
      </c>
      <c r="D62" t="s">
        <v>97</v>
      </c>
      <c r="E62" t="s">
        <v>317</v>
      </c>
      <c r="F62" t="s">
        <v>647</v>
      </c>
      <c r="G62" t="s">
        <v>930</v>
      </c>
      <c r="H62" t="s">
        <v>1135</v>
      </c>
      <c r="I62" t="s">
        <v>1234</v>
      </c>
      <c r="J62">
        <v>10032</v>
      </c>
      <c r="K62" t="s">
        <v>1236</v>
      </c>
      <c r="L62" t="s">
        <v>1236</v>
      </c>
      <c r="M62" t="s">
        <v>1241</v>
      </c>
      <c r="P62">
        <v>53.03</v>
      </c>
      <c r="T62">
        <v>10.4</v>
      </c>
    </row>
    <row r="63" spans="1:20">
      <c r="A63" s="1">
        <f>HYPERLINK("https://cms.ls-nyc.org/matter/dynamic-profile/view/1890386","19-1890386")</f>
        <v>0</v>
      </c>
      <c r="B63" t="s">
        <v>24</v>
      </c>
      <c r="C63" t="s">
        <v>43</v>
      </c>
      <c r="D63" t="s">
        <v>98</v>
      </c>
      <c r="E63" t="s">
        <v>336</v>
      </c>
      <c r="F63" t="s">
        <v>648</v>
      </c>
      <c r="G63" t="s">
        <v>942</v>
      </c>
      <c r="H63" t="s">
        <v>1136</v>
      </c>
      <c r="I63" t="s">
        <v>1234</v>
      </c>
      <c r="J63">
        <v>10034</v>
      </c>
      <c r="K63" t="s">
        <v>1237</v>
      </c>
      <c r="L63" t="s">
        <v>1237</v>
      </c>
      <c r="N63" t="s">
        <v>1261</v>
      </c>
      <c r="O63" t="s">
        <v>98</v>
      </c>
      <c r="P63">
        <v>53.22</v>
      </c>
      <c r="T63">
        <v>0</v>
      </c>
    </row>
    <row r="64" spans="1:20">
      <c r="A64" s="1">
        <f>HYPERLINK("https://cms.ls-nyc.org/matter/dynamic-profile/view/1888062","19-1888062")</f>
        <v>0</v>
      </c>
      <c r="B64" t="s">
        <v>26</v>
      </c>
      <c r="C64" t="s">
        <v>43</v>
      </c>
      <c r="D64" t="s">
        <v>99</v>
      </c>
      <c r="E64" t="s">
        <v>317</v>
      </c>
      <c r="F64" t="s">
        <v>649</v>
      </c>
      <c r="G64" t="s">
        <v>943</v>
      </c>
      <c r="H64" t="s">
        <v>1137</v>
      </c>
      <c r="I64" t="s">
        <v>1234</v>
      </c>
      <c r="J64">
        <v>10032</v>
      </c>
      <c r="K64" t="s">
        <v>1237</v>
      </c>
      <c r="L64" t="s">
        <v>1237</v>
      </c>
      <c r="N64" t="s">
        <v>1258</v>
      </c>
      <c r="O64" t="s">
        <v>99</v>
      </c>
      <c r="P64">
        <v>53.22</v>
      </c>
      <c r="T64">
        <v>0</v>
      </c>
    </row>
    <row r="65" spans="1:20">
      <c r="A65" s="1">
        <f>HYPERLINK("https://cms.ls-nyc.org/matter/dynamic-profile/view/1891038","19-1891038")</f>
        <v>0</v>
      </c>
      <c r="B65" t="s">
        <v>31</v>
      </c>
      <c r="C65" t="s">
        <v>43</v>
      </c>
      <c r="D65" t="s">
        <v>100</v>
      </c>
      <c r="E65" t="s">
        <v>337</v>
      </c>
      <c r="F65" t="s">
        <v>650</v>
      </c>
      <c r="G65" t="s">
        <v>944</v>
      </c>
      <c r="H65">
        <v>2</v>
      </c>
      <c r="I65" t="s">
        <v>1234</v>
      </c>
      <c r="J65">
        <v>10034</v>
      </c>
      <c r="K65" t="s">
        <v>1237</v>
      </c>
      <c r="L65" t="s">
        <v>1237</v>
      </c>
      <c r="M65" t="s">
        <v>1245</v>
      </c>
      <c r="N65" t="s">
        <v>1260</v>
      </c>
      <c r="O65" t="s">
        <v>100</v>
      </c>
      <c r="P65">
        <v>53.79</v>
      </c>
      <c r="T65">
        <v>2.5</v>
      </c>
    </row>
    <row r="66" spans="1:20">
      <c r="A66" s="1">
        <f>HYPERLINK("https://cms.ls-nyc.org/matter/dynamic-profile/view/1841830","17-1841830")</f>
        <v>0</v>
      </c>
      <c r="B66" t="s">
        <v>25</v>
      </c>
      <c r="C66" t="s">
        <v>43</v>
      </c>
      <c r="D66" t="s">
        <v>101</v>
      </c>
      <c r="E66" t="s">
        <v>338</v>
      </c>
      <c r="F66" t="s">
        <v>651</v>
      </c>
      <c r="G66" t="s">
        <v>945</v>
      </c>
      <c r="H66" t="s">
        <v>1138</v>
      </c>
      <c r="I66" t="s">
        <v>1234</v>
      </c>
      <c r="J66">
        <v>10034</v>
      </c>
      <c r="K66" t="s">
        <v>1237</v>
      </c>
      <c r="L66" t="s">
        <v>1236</v>
      </c>
      <c r="M66" t="s">
        <v>1239</v>
      </c>
      <c r="N66" t="s">
        <v>1258</v>
      </c>
      <c r="O66" t="s">
        <v>179</v>
      </c>
      <c r="P66">
        <v>53.9</v>
      </c>
      <c r="T66">
        <v>0</v>
      </c>
    </row>
    <row r="67" spans="1:20">
      <c r="A67" s="1">
        <f>HYPERLINK("https://cms.ls-nyc.org/matter/dynamic-profile/view/1888028","19-1888028")</f>
        <v>0</v>
      </c>
      <c r="B67" t="s">
        <v>26</v>
      </c>
      <c r="C67" t="s">
        <v>43</v>
      </c>
      <c r="D67" t="s">
        <v>99</v>
      </c>
      <c r="E67" t="s">
        <v>339</v>
      </c>
      <c r="F67" t="s">
        <v>652</v>
      </c>
      <c r="G67" t="s">
        <v>943</v>
      </c>
      <c r="H67" t="s">
        <v>1139</v>
      </c>
      <c r="I67" t="s">
        <v>1234</v>
      </c>
      <c r="J67">
        <v>10032</v>
      </c>
      <c r="K67" t="s">
        <v>1237</v>
      </c>
      <c r="L67" t="s">
        <v>1237</v>
      </c>
      <c r="N67" t="s">
        <v>1258</v>
      </c>
      <c r="O67" t="s">
        <v>99</v>
      </c>
      <c r="P67">
        <v>53.96</v>
      </c>
      <c r="T67">
        <v>0</v>
      </c>
    </row>
    <row r="68" spans="1:20">
      <c r="A68" s="1">
        <f>HYPERLINK("https://cms.ls-nyc.org/matter/dynamic-profile/view/1888064","19-1888064")</f>
        <v>0</v>
      </c>
      <c r="B68" t="s">
        <v>26</v>
      </c>
      <c r="C68" t="s">
        <v>43</v>
      </c>
      <c r="D68" t="s">
        <v>99</v>
      </c>
      <c r="E68" t="s">
        <v>317</v>
      </c>
      <c r="F68" t="s">
        <v>653</v>
      </c>
      <c r="G68" t="s">
        <v>943</v>
      </c>
      <c r="H68" t="s">
        <v>1119</v>
      </c>
      <c r="I68" t="s">
        <v>1234</v>
      </c>
      <c r="J68">
        <v>10032</v>
      </c>
      <c r="K68" t="s">
        <v>1237</v>
      </c>
      <c r="L68" t="s">
        <v>1237</v>
      </c>
      <c r="N68" t="s">
        <v>1258</v>
      </c>
      <c r="O68" t="s">
        <v>99</v>
      </c>
      <c r="P68">
        <v>54.09</v>
      </c>
      <c r="T68">
        <v>0</v>
      </c>
    </row>
    <row r="69" spans="1:20">
      <c r="A69" s="1">
        <f>HYPERLINK("https://cms.ls-nyc.org/matter/dynamic-profile/view/1834629","17-1834629")</f>
        <v>0</v>
      </c>
      <c r="B69" t="s">
        <v>25</v>
      </c>
      <c r="C69" t="s">
        <v>43</v>
      </c>
      <c r="D69" t="s">
        <v>102</v>
      </c>
      <c r="E69" t="s">
        <v>340</v>
      </c>
      <c r="F69" t="s">
        <v>603</v>
      </c>
      <c r="G69" t="s">
        <v>902</v>
      </c>
      <c r="H69" t="s">
        <v>1140</v>
      </c>
      <c r="I69" t="s">
        <v>1234</v>
      </c>
      <c r="J69">
        <v>10033</v>
      </c>
      <c r="K69" t="s">
        <v>1237</v>
      </c>
      <c r="L69" t="s">
        <v>1236</v>
      </c>
      <c r="M69" t="s">
        <v>1241</v>
      </c>
      <c r="N69" t="s">
        <v>1259</v>
      </c>
      <c r="O69" t="s">
        <v>155</v>
      </c>
      <c r="P69">
        <v>54.43</v>
      </c>
      <c r="Q69" t="s">
        <v>1301</v>
      </c>
      <c r="T69">
        <v>0</v>
      </c>
    </row>
    <row r="70" spans="1:20">
      <c r="A70" s="1">
        <f>HYPERLINK("https://cms.ls-nyc.org/matter/dynamic-profile/view/1899746","19-1899746")</f>
        <v>0</v>
      </c>
      <c r="B70" t="s">
        <v>24</v>
      </c>
      <c r="C70" t="s">
        <v>43</v>
      </c>
      <c r="D70" t="s">
        <v>89</v>
      </c>
      <c r="E70" t="s">
        <v>341</v>
      </c>
      <c r="F70" t="s">
        <v>654</v>
      </c>
      <c r="G70" t="s">
        <v>946</v>
      </c>
      <c r="H70" t="s">
        <v>1141</v>
      </c>
      <c r="I70" t="s">
        <v>1234</v>
      </c>
      <c r="J70">
        <v>10034</v>
      </c>
      <c r="K70" t="s">
        <v>1237</v>
      </c>
      <c r="L70" t="s">
        <v>1236</v>
      </c>
      <c r="M70" t="s">
        <v>1242</v>
      </c>
      <c r="N70" t="s">
        <v>1261</v>
      </c>
      <c r="O70" t="s">
        <v>89</v>
      </c>
      <c r="P70">
        <v>54.71</v>
      </c>
      <c r="T70">
        <v>0</v>
      </c>
    </row>
    <row r="71" spans="1:20">
      <c r="A71" s="1">
        <f>HYPERLINK("https://cms.ls-nyc.org/matter/dynamic-profile/view/1836709","17-1836709")</f>
        <v>0</v>
      </c>
      <c r="B71" t="s">
        <v>25</v>
      </c>
      <c r="C71" t="s">
        <v>43</v>
      </c>
      <c r="D71" t="s">
        <v>103</v>
      </c>
      <c r="E71" t="s">
        <v>314</v>
      </c>
      <c r="F71" t="s">
        <v>624</v>
      </c>
      <c r="G71" t="s">
        <v>922</v>
      </c>
      <c r="H71">
        <v>45</v>
      </c>
      <c r="I71" t="s">
        <v>1234</v>
      </c>
      <c r="J71">
        <v>10034</v>
      </c>
      <c r="K71" t="s">
        <v>1237</v>
      </c>
      <c r="L71" t="s">
        <v>1236</v>
      </c>
      <c r="M71" t="s">
        <v>1240</v>
      </c>
      <c r="N71" t="s">
        <v>1258</v>
      </c>
      <c r="O71" t="s">
        <v>72</v>
      </c>
      <c r="P71">
        <v>54.9</v>
      </c>
      <c r="T71">
        <v>49.2</v>
      </c>
    </row>
    <row r="72" spans="1:20">
      <c r="A72" s="1">
        <f>HYPERLINK("https://cms.ls-nyc.org/matter/dynamic-profile/view/1847654","17-1847654")</f>
        <v>0</v>
      </c>
      <c r="B72" t="s">
        <v>28</v>
      </c>
      <c r="C72" t="s">
        <v>43</v>
      </c>
      <c r="D72" t="s">
        <v>88</v>
      </c>
      <c r="E72" t="s">
        <v>342</v>
      </c>
      <c r="F72" t="s">
        <v>655</v>
      </c>
      <c r="G72" t="s">
        <v>934</v>
      </c>
      <c r="H72" t="s">
        <v>1112</v>
      </c>
      <c r="I72" t="s">
        <v>1234</v>
      </c>
      <c r="J72">
        <v>10034</v>
      </c>
      <c r="K72" t="s">
        <v>1237</v>
      </c>
      <c r="L72" t="s">
        <v>1236</v>
      </c>
      <c r="M72" t="s">
        <v>1240</v>
      </c>
      <c r="N72" t="s">
        <v>1258</v>
      </c>
      <c r="O72" t="s">
        <v>248</v>
      </c>
      <c r="P72">
        <v>55.42</v>
      </c>
      <c r="T72">
        <v>0</v>
      </c>
    </row>
    <row r="73" spans="1:20">
      <c r="A73" s="1">
        <f>HYPERLINK("https://cms.ls-nyc.org/matter/dynamic-profile/view/1858227","18-1858227")</f>
        <v>0</v>
      </c>
      <c r="B73" t="s">
        <v>23</v>
      </c>
      <c r="C73" t="s">
        <v>43</v>
      </c>
      <c r="D73" t="s">
        <v>104</v>
      </c>
      <c r="E73" t="s">
        <v>326</v>
      </c>
      <c r="F73" t="s">
        <v>656</v>
      </c>
      <c r="G73" t="s">
        <v>947</v>
      </c>
      <c r="I73" t="s">
        <v>1234</v>
      </c>
      <c r="J73">
        <v>10034</v>
      </c>
      <c r="K73" t="s">
        <v>1237</v>
      </c>
      <c r="L73" t="s">
        <v>1236</v>
      </c>
      <c r="M73" t="s">
        <v>1241</v>
      </c>
      <c r="N73" t="s">
        <v>1259</v>
      </c>
      <c r="O73" t="s">
        <v>104</v>
      </c>
      <c r="P73">
        <v>55.42</v>
      </c>
      <c r="T73">
        <v>30.85</v>
      </c>
    </row>
    <row r="74" spans="1:20">
      <c r="A74" s="1">
        <f>HYPERLINK("https://cms.ls-nyc.org/matter/dynamic-profile/view/1873840","18-1873840")</f>
        <v>0</v>
      </c>
      <c r="B74" t="s">
        <v>23</v>
      </c>
      <c r="C74" t="s">
        <v>43</v>
      </c>
      <c r="D74" t="s">
        <v>91</v>
      </c>
      <c r="E74" t="s">
        <v>343</v>
      </c>
      <c r="F74" t="s">
        <v>645</v>
      </c>
      <c r="G74" t="s">
        <v>903</v>
      </c>
      <c r="H74" t="s">
        <v>1142</v>
      </c>
      <c r="I74" t="s">
        <v>1234</v>
      </c>
      <c r="J74">
        <v>10033</v>
      </c>
      <c r="K74" t="s">
        <v>1237</v>
      </c>
      <c r="L74" t="s">
        <v>1237</v>
      </c>
      <c r="M74" t="s">
        <v>1240</v>
      </c>
      <c r="N74" t="s">
        <v>1260</v>
      </c>
      <c r="O74" t="s">
        <v>91</v>
      </c>
      <c r="P74">
        <v>55.55</v>
      </c>
      <c r="T74">
        <v>0.9</v>
      </c>
    </row>
    <row r="75" spans="1:20">
      <c r="A75" s="1">
        <f>HYPERLINK("https://cms.ls-nyc.org/matter/dynamic-profile/view/0830558","17-0830558")</f>
        <v>0</v>
      </c>
      <c r="B75" t="s">
        <v>22</v>
      </c>
      <c r="C75" t="s">
        <v>43</v>
      </c>
      <c r="D75" t="s">
        <v>105</v>
      </c>
      <c r="E75" t="s">
        <v>344</v>
      </c>
      <c r="F75" t="s">
        <v>657</v>
      </c>
      <c r="G75" t="s">
        <v>948</v>
      </c>
      <c r="H75">
        <v>36</v>
      </c>
      <c r="I75" t="s">
        <v>1234</v>
      </c>
      <c r="J75">
        <v>10034</v>
      </c>
      <c r="K75" t="s">
        <v>1238</v>
      </c>
      <c r="L75" t="s">
        <v>1237</v>
      </c>
      <c r="M75" t="s">
        <v>1240</v>
      </c>
      <c r="N75" t="s">
        <v>1260</v>
      </c>
      <c r="P75">
        <v>56.08</v>
      </c>
      <c r="T75">
        <v>1.9</v>
      </c>
    </row>
    <row r="76" spans="1:20">
      <c r="A76" s="1">
        <f>HYPERLINK("https://cms.ls-nyc.org/matter/dynamic-profile/view/1898369","19-1898369")</f>
        <v>0</v>
      </c>
      <c r="B76" t="s">
        <v>26</v>
      </c>
      <c r="C76" t="s">
        <v>43</v>
      </c>
      <c r="D76" t="s">
        <v>60</v>
      </c>
      <c r="E76" t="s">
        <v>345</v>
      </c>
      <c r="F76" t="s">
        <v>658</v>
      </c>
      <c r="G76" t="s">
        <v>949</v>
      </c>
      <c r="H76">
        <v>67</v>
      </c>
      <c r="I76" t="s">
        <v>1234</v>
      </c>
      <c r="J76">
        <v>10032</v>
      </c>
      <c r="K76" t="s">
        <v>1237</v>
      </c>
      <c r="L76" t="s">
        <v>1237</v>
      </c>
      <c r="M76" t="s">
        <v>1244</v>
      </c>
      <c r="N76" t="s">
        <v>1261</v>
      </c>
      <c r="O76" t="s">
        <v>60</v>
      </c>
      <c r="P76">
        <v>56.35</v>
      </c>
      <c r="T76">
        <v>1.3</v>
      </c>
    </row>
    <row r="77" spans="1:20">
      <c r="A77" s="1">
        <f>HYPERLINK("https://cms.ls-nyc.org/matter/dynamic-profile/view/1897224","19-1897224")</f>
        <v>0</v>
      </c>
      <c r="B77" t="s">
        <v>28</v>
      </c>
      <c r="C77" t="s">
        <v>43</v>
      </c>
      <c r="D77" t="s">
        <v>106</v>
      </c>
      <c r="E77" t="s">
        <v>346</v>
      </c>
      <c r="F77" t="s">
        <v>659</v>
      </c>
      <c r="G77" t="s">
        <v>950</v>
      </c>
      <c r="H77">
        <v>31</v>
      </c>
      <c r="I77" t="s">
        <v>1234</v>
      </c>
      <c r="J77">
        <v>10034</v>
      </c>
      <c r="K77" t="s">
        <v>1237</v>
      </c>
      <c r="L77" t="s">
        <v>1237</v>
      </c>
      <c r="M77" t="s">
        <v>1240</v>
      </c>
      <c r="N77" t="s">
        <v>1261</v>
      </c>
      <c r="O77" t="s">
        <v>106</v>
      </c>
      <c r="P77">
        <v>56.4</v>
      </c>
      <c r="T77">
        <v>0</v>
      </c>
    </row>
    <row r="78" spans="1:20">
      <c r="A78" s="1">
        <f>HYPERLINK("https://cms.ls-nyc.org/matter/dynamic-profile/view/1894868","19-1894868")</f>
        <v>0</v>
      </c>
      <c r="B78" t="s">
        <v>22</v>
      </c>
      <c r="C78" t="s">
        <v>43</v>
      </c>
      <c r="D78" t="s">
        <v>107</v>
      </c>
      <c r="E78" t="s">
        <v>347</v>
      </c>
      <c r="F78" t="s">
        <v>660</v>
      </c>
      <c r="G78" t="s">
        <v>917</v>
      </c>
      <c r="H78">
        <v>51</v>
      </c>
      <c r="I78" t="s">
        <v>1234</v>
      </c>
      <c r="J78">
        <v>10034</v>
      </c>
      <c r="K78" t="s">
        <v>1237</v>
      </c>
      <c r="L78" t="s">
        <v>1237</v>
      </c>
      <c r="M78" t="s">
        <v>1240</v>
      </c>
      <c r="N78" t="s">
        <v>1258</v>
      </c>
      <c r="O78" t="s">
        <v>107</v>
      </c>
      <c r="P78">
        <v>58.11</v>
      </c>
      <c r="T78">
        <v>0.8</v>
      </c>
    </row>
    <row r="79" spans="1:20">
      <c r="A79" s="1">
        <f>HYPERLINK("https://cms.ls-nyc.org/matter/dynamic-profile/view/1888033","19-1888033")</f>
        <v>0</v>
      </c>
      <c r="B79" t="s">
        <v>26</v>
      </c>
      <c r="C79" t="s">
        <v>43</v>
      </c>
      <c r="D79" t="s">
        <v>99</v>
      </c>
      <c r="E79" t="s">
        <v>331</v>
      </c>
      <c r="F79" t="s">
        <v>661</v>
      </c>
      <c r="G79" t="s">
        <v>943</v>
      </c>
      <c r="H79" t="s">
        <v>1143</v>
      </c>
      <c r="I79" t="s">
        <v>1234</v>
      </c>
      <c r="J79">
        <v>10032</v>
      </c>
      <c r="K79" t="s">
        <v>1237</v>
      </c>
      <c r="L79" t="s">
        <v>1237</v>
      </c>
      <c r="N79" t="s">
        <v>1258</v>
      </c>
      <c r="O79" t="s">
        <v>99</v>
      </c>
      <c r="P79">
        <v>58.32</v>
      </c>
      <c r="T79">
        <v>0</v>
      </c>
    </row>
    <row r="80" spans="1:20">
      <c r="A80" s="1">
        <f>HYPERLINK("https://cms.ls-nyc.org/matter/dynamic-profile/view/1870358","18-1870358")</f>
        <v>0</v>
      </c>
      <c r="B80" t="s">
        <v>23</v>
      </c>
      <c r="C80" t="s">
        <v>43</v>
      </c>
      <c r="D80" t="s">
        <v>108</v>
      </c>
      <c r="E80" t="s">
        <v>320</v>
      </c>
      <c r="F80" t="s">
        <v>662</v>
      </c>
      <c r="G80" t="s">
        <v>951</v>
      </c>
      <c r="H80" t="s">
        <v>1122</v>
      </c>
      <c r="I80" t="s">
        <v>1234</v>
      </c>
      <c r="J80">
        <v>10034</v>
      </c>
      <c r="K80" t="s">
        <v>1237</v>
      </c>
      <c r="L80" t="s">
        <v>1236</v>
      </c>
      <c r="M80" t="s">
        <v>1242</v>
      </c>
      <c r="N80" t="s">
        <v>1258</v>
      </c>
      <c r="O80" t="s">
        <v>1271</v>
      </c>
      <c r="P80">
        <v>59.31</v>
      </c>
      <c r="T80">
        <v>120.85</v>
      </c>
    </row>
    <row r="81" spans="1:20">
      <c r="A81" s="1">
        <f>HYPERLINK("https://cms.ls-nyc.org/matter/dynamic-profile/view/1888040","19-1888040")</f>
        <v>0</v>
      </c>
      <c r="B81" t="s">
        <v>26</v>
      </c>
      <c r="C81" t="s">
        <v>43</v>
      </c>
      <c r="D81" t="s">
        <v>99</v>
      </c>
      <c r="E81" t="s">
        <v>348</v>
      </c>
      <c r="F81" t="s">
        <v>663</v>
      </c>
      <c r="G81" t="s">
        <v>943</v>
      </c>
      <c r="H81" t="s">
        <v>1117</v>
      </c>
      <c r="I81" t="s">
        <v>1234</v>
      </c>
      <c r="J81">
        <v>10032</v>
      </c>
      <c r="K81" t="s">
        <v>1237</v>
      </c>
      <c r="L81" t="s">
        <v>1237</v>
      </c>
      <c r="N81" t="s">
        <v>1258</v>
      </c>
      <c r="O81" t="s">
        <v>99</v>
      </c>
      <c r="P81">
        <v>59.76</v>
      </c>
      <c r="T81">
        <v>0</v>
      </c>
    </row>
    <row r="82" spans="1:20">
      <c r="A82" s="1">
        <f>HYPERLINK("https://cms.ls-nyc.org/matter/dynamic-profile/view/1834800","17-1834800")</f>
        <v>0</v>
      </c>
      <c r="B82" t="s">
        <v>25</v>
      </c>
      <c r="C82" t="s">
        <v>43</v>
      </c>
      <c r="D82" t="s">
        <v>109</v>
      </c>
      <c r="E82" t="s">
        <v>349</v>
      </c>
      <c r="F82" t="s">
        <v>603</v>
      </c>
      <c r="G82" t="s">
        <v>902</v>
      </c>
      <c r="H82" t="s">
        <v>1144</v>
      </c>
      <c r="I82" t="s">
        <v>1234</v>
      </c>
      <c r="J82">
        <v>10033</v>
      </c>
      <c r="K82" t="s">
        <v>1237</v>
      </c>
      <c r="L82" t="s">
        <v>1236</v>
      </c>
      <c r="M82" t="s">
        <v>1241</v>
      </c>
      <c r="N82" t="s">
        <v>1259</v>
      </c>
      <c r="O82" t="s">
        <v>1264</v>
      </c>
      <c r="P82">
        <v>60.57</v>
      </c>
      <c r="Q82" t="s">
        <v>1301</v>
      </c>
      <c r="T82">
        <v>0</v>
      </c>
    </row>
    <row r="83" spans="1:20">
      <c r="A83" s="1">
        <f>HYPERLINK("https://cms.ls-nyc.org/matter/dynamic-profile/view/1856971","18-1856971")</f>
        <v>0</v>
      </c>
      <c r="B83" t="s">
        <v>22</v>
      </c>
      <c r="C83" t="s">
        <v>43</v>
      </c>
      <c r="D83" t="s">
        <v>110</v>
      </c>
      <c r="E83" t="s">
        <v>350</v>
      </c>
      <c r="F83" t="s">
        <v>664</v>
      </c>
      <c r="G83" t="s">
        <v>952</v>
      </c>
      <c r="H83" t="s">
        <v>1113</v>
      </c>
      <c r="I83" t="s">
        <v>1234</v>
      </c>
      <c r="J83">
        <v>10034</v>
      </c>
      <c r="K83" t="s">
        <v>1237</v>
      </c>
      <c r="L83" t="s">
        <v>1236</v>
      </c>
      <c r="M83" t="s">
        <v>1248</v>
      </c>
      <c r="N83" t="s">
        <v>1259</v>
      </c>
      <c r="O83" t="s">
        <v>110</v>
      </c>
      <c r="P83">
        <v>60.98</v>
      </c>
      <c r="T83">
        <v>15.9</v>
      </c>
    </row>
    <row r="84" spans="1:20">
      <c r="A84" s="1">
        <f>HYPERLINK("https://cms.ls-nyc.org/matter/dynamic-profile/view/1885942","18-1885942")</f>
        <v>0</v>
      </c>
      <c r="B84" t="s">
        <v>32</v>
      </c>
      <c r="C84" t="s">
        <v>43</v>
      </c>
      <c r="D84" t="s">
        <v>111</v>
      </c>
      <c r="E84" t="s">
        <v>351</v>
      </c>
      <c r="F84" t="s">
        <v>665</v>
      </c>
      <c r="G84" t="s">
        <v>953</v>
      </c>
      <c r="H84" t="s">
        <v>1145</v>
      </c>
      <c r="I84" t="s">
        <v>1234</v>
      </c>
      <c r="J84">
        <v>10032</v>
      </c>
      <c r="K84" t="s">
        <v>1237</v>
      </c>
      <c r="L84" t="s">
        <v>1237</v>
      </c>
      <c r="N84" t="s">
        <v>1262</v>
      </c>
      <c r="O84" t="s">
        <v>111</v>
      </c>
      <c r="P84">
        <v>61.02</v>
      </c>
      <c r="T84">
        <v>6.5</v>
      </c>
    </row>
    <row r="85" spans="1:20">
      <c r="A85" s="1">
        <f>HYPERLINK("https://cms.ls-nyc.org/matter/dynamic-profile/view/0832581","17-0832581")</f>
        <v>0</v>
      </c>
      <c r="B85" t="s">
        <v>28</v>
      </c>
      <c r="C85" t="s">
        <v>43</v>
      </c>
      <c r="D85" t="s">
        <v>112</v>
      </c>
      <c r="E85" t="s">
        <v>352</v>
      </c>
      <c r="F85" t="s">
        <v>665</v>
      </c>
      <c r="G85" t="s">
        <v>910</v>
      </c>
      <c r="H85">
        <v>52</v>
      </c>
      <c r="I85" t="s">
        <v>1234</v>
      </c>
      <c r="J85">
        <v>10032</v>
      </c>
      <c r="K85" t="s">
        <v>1237</v>
      </c>
      <c r="L85" t="s">
        <v>1236</v>
      </c>
      <c r="M85" t="s">
        <v>1240</v>
      </c>
      <c r="N85" t="s">
        <v>1259</v>
      </c>
      <c r="O85" t="s">
        <v>1264</v>
      </c>
      <c r="P85">
        <v>62.14</v>
      </c>
      <c r="Q85" t="s">
        <v>1302</v>
      </c>
      <c r="T85">
        <v>12.25</v>
      </c>
    </row>
    <row r="86" spans="1:20">
      <c r="A86" s="1">
        <f>HYPERLINK("https://cms.ls-nyc.org/matter/dynamic-profile/view/0832587","17-0832587")</f>
        <v>0</v>
      </c>
      <c r="B86" t="s">
        <v>28</v>
      </c>
      <c r="C86" t="s">
        <v>43</v>
      </c>
      <c r="D86" t="s">
        <v>112</v>
      </c>
      <c r="E86" t="s">
        <v>352</v>
      </c>
      <c r="F86" t="s">
        <v>665</v>
      </c>
      <c r="G86" t="s">
        <v>910</v>
      </c>
      <c r="H86">
        <v>52</v>
      </c>
      <c r="I86" t="s">
        <v>1234</v>
      </c>
      <c r="J86">
        <v>10032</v>
      </c>
      <c r="K86" t="s">
        <v>1237</v>
      </c>
      <c r="L86" t="s">
        <v>1236</v>
      </c>
      <c r="M86" t="s">
        <v>1241</v>
      </c>
      <c r="N86" t="s">
        <v>1259</v>
      </c>
      <c r="O86" t="s">
        <v>1272</v>
      </c>
      <c r="P86">
        <v>62.14</v>
      </c>
      <c r="Q86" t="s">
        <v>1277</v>
      </c>
      <c r="T86">
        <v>0</v>
      </c>
    </row>
    <row r="87" spans="1:20">
      <c r="A87" s="1">
        <f>HYPERLINK("https://cms.ls-nyc.org/matter/dynamic-profile/view/1896367","19-1896367")</f>
        <v>0</v>
      </c>
      <c r="B87" t="s">
        <v>21</v>
      </c>
      <c r="C87" t="s">
        <v>43</v>
      </c>
      <c r="D87" t="s">
        <v>113</v>
      </c>
      <c r="E87" t="s">
        <v>353</v>
      </c>
      <c r="F87" t="s">
        <v>645</v>
      </c>
      <c r="G87" t="s">
        <v>954</v>
      </c>
      <c r="H87" t="s">
        <v>1146</v>
      </c>
      <c r="I87" t="s">
        <v>1234</v>
      </c>
      <c r="J87">
        <v>10034</v>
      </c>
      <c r="K87" t="s">
        <v>1236</v>
      </c>
      <c r="L87" t="s">
        <v>1236</v>
      </c>
      <c r="M87" t="s">
        <v>1241</v>
      </c>
      <c r="P87">
        <v>62.31</v>
      </c>
      <c r="T87">
        <v>9.35</v>
      </c>
    </row>
    <row r="88" spans="1:20">
      <c r="A88" s="1">
        <f>HYPERLINK("https://cms.ls-nyc.org/matter/dynamic-profile/view/1875941","18-1875941")</f>
        <v>0</v>
      </c>
      <c r="B88" t="s">
        <v>26</v>
      </c>
      <c r="C88" t="s">
        <v>43</v>
      </c>
      <c r="D88" t="s">
        <v>114</v>
      </c>
      <c r="E88" t="s">
        <v>354</v>
      </c>
      <c r="F88" t="s">
        <v>666</v>
      </c>
      <c r="G88" t="s">
        <v>955</v>
      </c>
      <c r="H88" t="s">
        <v>1118</v>
      </c>
      <c r="I88" t="s">
        <v>1234</v>
      </c>
      <c r="J88">
        <v>10033</v>
      </c>
      <c r="K88" t="s">
        <v>1236</v>
      </c>
      <c r="L88" t="s">
        <v>1236</v>
      </c>
      <c r="N88" t="s">
        <v>1260</v>
      </c>
      <c r="P88">
        <v>62.56</v>
      </c>
      <c r="T88">
        <v>10.6</v>
      </c>
    </row>
    <row r="89" spans="1:20">
      <c r="A89" s="1">
        <f>HYPERLINK("https://cms.ls-nyc.org/matter/dynamic-profile/view/1863416","18-1863416")</f>
        <v>0</v>
      </c>
      <c r="B89" t="s">
        <v>30</v>
      </c>
      <c r="C89" t="s">
        <v>43</v>
      </c>
      <c r="D89" t="s">
        <v>115</v>
      </c>
      <c r="E89" t="s">
        <v>355</v>
      </c>
      <c r="F89" t="s">
        <v>667</v>
      </c>
      <c r="G89" t="s">
        <v>956</v>
      </c>
      <c r="H89" t="s">
        <v>1121</v>
      </c>
      <c r="I89" t="s">
        <v>1234</v>
      </c>
      <c r="J89">
        <v>10034</v>
      </c>
      <c r="K89" t="s">
        <v>1237</v>
      </c>
      <c r="L89" t="s">
        <v>1236</v>
      </c>
      <c r="M89" t="s">
        <v>1249</v>
      </c>
      <c r="N89" t="s">
        <v>1263</v>
      </c>
      <c r="O89" t="s">
        <v>115</v>
      </c>
      <c r="P89">
        <v>62.63</v>
      </c>
      <c r="T89">
        <v>62.75</v>
      </c>
    </row>
    <row r="90" spans="1:20">
      <c r="A90" s="1">
        <f>HYPERLINK("https://cms.ls-nyc.org/matter/dynamic-profile/view/1883266","18-1883266")</f>
        <v>0</v>
      </c>
      <c r="B90" t="s">
        <v>26</v>
      </c>
      <c r="C90" t="s">
        <v>43</v>
      </c>
      <c r="D90" t="s">
        <v>116</v>
      </c>
      <c r="E90" t="s">
        <v>329</v>
      </c>
      <c r="F90" t="s">
        <v>668</v>
      </c>
      <c r="G90" t="s">
        <v>957</v>
      </c>
      <c r="H90" t="s">
        <v>1104</v>
      </c>
      <c r="I90" t="s">
        <v>1234</v>
      </c>
      <c r="J90">
        <v>10031</v>
      </c>
      <c r="K90" t="s">
        <v>1237</v>
      </c>
      <c r="L90" t="s">
        <v>1237</v>
      </c>
      <c r="N90" t="s">
        <v>1259</v>
      </c>
      <c r="O90" t="s">
        <v>116</v>
      </c>
      <c r="P90">
        <v>63.11</v>
      </c>
      <c r="T90">
        <v>41.5</v>
      </c>
    </row>
    <row r="91" spans="1:20">
      <c r="A91" s="1">
        <f>HYPERLINK("https://cms.ls-nyc.org/matter/dynamic-profile/view/1890698","19-1890698")</f>
        <v>0</v>
      </c>
      <c r="B91" t="s">
        <v>26</v>
      </c>
      <c r="C91" t="s">
        <v>43</v>
      </c>
      <c r="D91" t="s">
        <v>117</v>
      </c>
      <c r="E91" t="s">
        <v>356</v>
      </c>
      <c r="F91" t="s">
        <v>669</v>
      </c>
      <c r="G91" t="s">
        <v>958</v>
      </c>
      <c r="H91" t="s">
        <v>1147</v>
      </c>
      <c r="I91" t="s">
        <v>1234</v>
      </c>
      <c r="J91">
        <v>10033</v>
      </c>
      <c r="K91" t="s">
        <v>1237</v>
      </c>
      <c r="L91" t="s">
        <v>1237</v>
      </c>
      <c r="N91" t="s">
        <v>1262</v>
      </c>
      <c r="O91" t="s">
        <v>117</v>
      </c>
      <c r="P91">
        <v>63.28</v>
      </c>
      <c r="T91">
        <v>139.7</v>
      </c>
    </row>
    <row r="92" spans="1:20">
      <c r="A92" s="1">
        <f>HYPERLINK("https://cms.ls-nyc.org/matter/dynamic-profile/view/1900583","19-1900583")</f>
        <v>0</v>
      </c>
      <c r="B92" t="s">
        <v>24</v>
      </c>
      <c r="C92" t="s">
        <v>43</v>
      </c>
      <c r="D92" t="s">
        <v>118</v>
      </c>
      <c r="E92" t="s">
        <v>357</v>
      </c>
      <c r="F92" t="s">
        <v>670</v>
      </c>
      <c r="G92" t="s">
        <v>959</v>
      </c>
      <c r="H92" t="s">
        <v>1148</v>
      </c>
      <c r="I92" t="s">
        <v>1234</v>
      </c>
      <c r="J92">
        <v>10034</v>
      </c>
      <c r="K92" t="s">
        <v>1237</v>
      </c>
      <c r="L92" t="s">
        <v>1236</v>
      </c>
      <c r="N92" t="s">
        <v>1261</v>
      </c>
      <c r="O92" t="s">
        <v>118</v>
      </c>
      <c r="P92">
        <v>64.2</v>
      </c>
      <c r="T92">
        <v>0</v>
      </c>
    </row>
    <row r="93" spans="1:20">
      <c r="A93" s="1">
        <f>HYPERLINK("https://cms.ls-nyc.org/matter/dynamic-profile/view/1860610","18-1860610")</f>
        <v>0</v>
      </c>
      <c r="B93" t="s">
        <v>29</v>
      </c>
      <c r="C93" t="s">
        <v>43</v>
      </c>
      <c r="D93" t="s">
        <v>77</v>
      </c>
      <c r="E93" t="s">
        <v>358</v>
      </c>
      <c r="F93" t="s">
        <v>671</v>
      </c>
      <c r="G93" t="s">
        <v>918</v>
      </c>
      <c r="H93" t="s">
        <v>1138</v>
      </c>
      <c r="I93" t="s">
        <v>1234</v>
      </c>
      <c r="J93">
        <v>10031</v>
      </c>
      <c r="K93" t="s">
        <v>1237</v>
      </c>
      <c r="L93" t="s">
        <v>1236</v>
      </c>
      <c r="M93" t="s">
        <v>1240</v>
      </c>
      <c r="N93" t="s">
        <v>1260</v>
      </c>
      <c r="O93" t="s">
        <v>1268</v>
      </c>
      <c r="P93">
        <v>65.39</v>
      </c>
      <c r="T93">
        <v>113.85</v>
      </c>
    </row>
    <row r="94" spans="1:20">
      <c r="A94" s="1">
        <f>HYPERLINK("https://cms.ls-nyc.org/matter/dynamic-profile/view/1886801","19-1886801")</f>
        <v>0</v>
      </c>
      <c r="B94" t="s">
        <v>29</v>
      </c>
      <c r="C94" t="s">
        <v>43</v>
      </c>
      <c r="D94" t="s">
        <v>119</v>
      </c>
      <c r="E94" t="s">
        <v>358</v>
      </c>
      <c r="F94" t="s">
        <v>671</v>
      </c>
      <c r="G94" t="s">
        <v>918</v>
      </c>
      <c r="H94" t="s">
        <v>1138</v>
      </c>
      <c r="I94" t="s">
        <v>1234</v>
      </c>
      <c r="J94">
        <v>10031</v>
      </c>
      <c r="K94" t="s">
        <v>1237</v>
      </c>
      <c r="L94" t="s">
        <v>1237</v>
      </c>
      <c r="M94" t="s">
        <v>1242</v>
      </c>
      <c r="N94" t="s">
        <v>1258</v>
      </c>
      <c r="O94" t="s">
        <v>119</v>
      </c>
      <c r="P94">
        <v>65.39</v>
      </c>
      <c r="T94">
        <v>8</v>
      </c>
    </row>
    <row r="95" spans="1:20">
      <c r="A95" s="1">
        <f>HYPERLINK("https://cms.ls-nyc.org/matter/dynamic-profile/view/1893532","19-1893532")</f>
        <v>0</v>
      </c>
      <c r="B95" t="s">
        <v>22</v>
      </c>
      <c r="C95" t="s">
        <v>43</v>
      </c>
      <c r="D95" t="s">
        <v>120</v>
      </c>
      <c r="E95" t="s">
        <v>317</v>
      </c>
      <c r="F95" t="s">
        <v>672</v>
      </c>
      <c r="G95" t="s">
        <v>960</v>
      </c>
      <c r="H95">
        <v>7</v>
      </c>
      <c r="I95" t="s">
        <v>1234</v>
      </c>
      <c r="J95">
        <v>10034</v>
      </c>
      <c r="K95" t="s">
        <v>1237</v>
      </c>
      <c r="L95" t="s">
        <v>1237</v>
      </c>
      <c r="M95" t="s">
        <v>1240</v>
      </c>
      <c r="N95" t="s">
        <v>1260</v>
      </c>
      <c r="O95" t="s">
        <v>120</v>
      </c>
      <c r="P95">
        <v>65.62</v>
      </c>
      <c r="T95">
        <v>1.1</v>
      </c>
    </row>
    <row r="96" spans="1:20">
      <c r="A96" s="1">
        <f>HYPERLINK("https://cms.ls-nyc.org/matter/dynamic-profile/view/0816578","16-0816578")</f>
        <v>0</v>
      </c>
      <c r="B96" t="s">
        <v>28</v>
      </c>
      <c r="C96" t="s">
        <v>43</v>
      </c>
      <c r="D96" t="s">
        <v>121</v>
      </c>
      <c r="E96" t="s">
        <v>327</v>
      </c>
      <c r="F96" t="s">
        <v>639</v>
      </c>
      <c r="G96" t="s">
        <v>910</v>
      </c>
      <c r="H96">
        <v>63</v>
      </c>
      <c r="I96" t="s">
        <v>1234</v>
      </c>
      <c r="J96">
        <v>10032</v>
      </c>
      <c r="K96" t="s">
        <v>1237</v>
      </c>
      <c r="L96" t="s">
        <v>1236</v>
      </c>
      <c r="M96" t="s">
        <v>1241</v>
      </c>
      <c r="N96" t="s">
        <v>1258</v>
      </c>
      <c r="O96" t="s">
        <v>121</v>
      </c>
      <c r="P96">
        <v>66.17</v>
      </c>
      <c r="Q96" t="s">
        <v>1302</v>
      </c>
      <c r="T96">
        <v>183.86</v>
      </c>
    </row>
    <row r="97" spans="1:20">
      <c r="A97" s="1">
        <f>HYPERLINK("https://cms.ls-nyc.org/matter/dynamic-profile/view/1892877","19-1892877")</f>
        <v>0</v>
      </c>
      <c r="B97" t="s">
        <v>21</v>
      </c>
      <c r="C97" t="s">
        <v>43</v>
      </c>
      <c r="D97" t="s">
        <v>122</v>
      </c>
      <c r="E97" t="s">
        <v>337</v>
      </c>
      <c r="F97" t="s">
        <v>650</v>
      </c>
      <c r="G97" t="s">
        <v>944</v>
      </c>
      <c r="H97">
        <v>2</v>
      </c>
      <c r="I97" t="s">
        <v>1234</v>
      </c>
      <c r="J97">
        <v>10034</v>
      </c>
      <c r="K97" t="s">
        <v>1237</v>
      </c>
      <c r="L97" t="s">
        <v>1237</v>
      </c>
      <c r="N97" t="s">
        <v>1261</v>
      </c>
      <c r="O97" t="s">
        <v>122</v>
      </c>
      <c r="P97">
        <v>67.63</v>
      </c>
      <c r="T97">
        <v>0</v>
      </c>
    </row>
    <row r="98" spans="1:20">
      <c r="A98" s="1">
        <f>HYPERLINK("https://cms.ls-nyc.org/matter/dynamic-profile/view/1860272","18-1860272")</f>
        <v>0</v>
      </c>
      <c r="B98" t="s">
        <v>25</v>
      </c>
      <c r="C98" t="s">
        <v>43</v>
      </c>
      <c r="D98" t="s">
        <v>123</v>
      </c>
      <c r="E98" t="s">
        <v>359</v>
      </c>
      <c r="F98" t="s">
        <v>665</v>
      </c>
      <c r="G98" t="s">
        <v>938</v>
      </c>
      <c r="H98" t="s">
        <v>1149</v>
      </c>
      <c r="I98" t="s">
        <v>1234</v>
      </c>
      <c r="J98">
        <v>10034</v>
      </c>
      <c r="K98" t="s">
        <v>1237</v>
      </c>
      <c r="L98" t="s">
        <v>1236</v>
      </c>
      <c r="M98" t="s">
        <v>1241</v>
      </c>
      <c r="N98" t="s">
        <v>1260</v>
      </c>
      <c r="O98" t="s">
        <v>123</v>
      </c>
      <c r="P98">
        <v>67.75</v>
      </c>
      <c r="T98">
        <v>1.1</v>
      </c>
    </row>
    <row r="99" spans="1:20">
      <c r="A99" s="1">
        <f>HYPERLINK("https://cms.ls-nyc.org/matter/dynamic-profile/view/1897842","19-1897842")</f>
        <v>0</v>
      </c>
      <c r="B99" t="s">
        <v>29</v>
      </c>
      <c r="C99" t="s">
        <v>43</v>
      </c>
      <c r="D99" t="s">
        <v>50</v>
      </c>
      <c r="E99" t="s">
        <v>360</v>
      </c>
      <c r="F99" t="s">
        <v>673</v>
      </c>
      <c r="G99" t="s">
        <v>918</v>
      </c>
      <c r="H99" t="s">
        <v>1150</v>
      </c>
      <c r="I99" t="s">
        <v>1234</v>
      </c>
      <c r="J99">
        <v>10031</v>
      </c>
      <c r="K99" t="s">
        <v>1237</v>
      </c>
      <c r="L99" t="s">
        <v>1237</v>
      </c>
      <c r="M99" t="s">
        <v>1240</v>
      </c>
      <c r="N99" t="s">
        <v>1258</v>
      </c>
      <c r="O99" t="s">
        <v>106</v>
      </c>
      <c r="P99">
        <v>68.06999999999999</v>
      </c>
      <c r="T99">
        <v>0</v>
      </c>
    </row>
    <row r="100" spans="1:20">
      <c r="A100" s="1">
        <f>HYPERLINK("https://cms.ls-nyc.org/matter/dynamic-profile/view/0806925","16-0806925")</f>
        <v>0</v>
      </c>
      <c r="B100" t="s">
        <v>25</v>
      </c>
      <c r="C100" t="s">
        <v>43</v>
      </c>
      <c r="D100" t="s">
        <v>93</v>
      </c>
      <c r="E100" t="s">
        <v>359</v>
      </c>
      <c r="F100" t="s">
        <v>665</v>
      </c>
      <c r="G100" t="s">
        <v>938</v>
      </c>
      <c r="H100" t="s">
        <v>1149</v>
      </c>
      <c r="I100" t="s">
        <v>1234</v>
      </c>
      <c r="J100">
        <v>10034</v>
      </c>
      <c r="K100" t="s">
        <v>1237</v>
      </c>
      <c r="L100" t="s">
        <v>1236</v>
      </c>
      <c r="M100" t="s">
        <v>1240</v>
      </c>
      <c r="N100" t="s">
        <v>1258</v>
      </c>
      <c r="O100" t="s">
        <v>1270</v>
      </c>
      <c r="P100">
        <v>68.55</v>
      </c>
      <c r="T100">
        <v>242.15</v>
      </c>
    </row>
    <row r="101" spans="1:20">
      <c r="A101" s="1">
        <f>HYPERLINK("https://cms.ls-nyc.org/matter/dynamic-profile/view/1864189","18-1864189")</f>
        <v>0</v>
      </c>
      <c r="B101" t="s">
        <v>24</v>
      </c>
      <c r="C101" t="s">
        <v>43</v>
      </c>
      <c r="D101" t="s">
        <v>124</v>
      </c>
      <c r="E101" t="s">
        <v>361</v>
      </c>
      <c r="F101" t="s">
        <v>674</v>
      </c>
      <c r="G101" t="s">
        <v>895</v>
      </c>
      <c r="H101" t="s">
        <v>1151</v>
      </c>
      <c r="I101" t="s">
        <v>1234</v>
      </c>
      <c r="J101">
        <v>10034</v>
      </c>
      <c r="K101" t="s">
        <v>1237</v>
      </c>
      <c r="L101" t="s">
        <v>1236</v>
      </c>
      <c r="M101" t="s">
        <v>1240</v>
      </c>
      <c r="N101" t="s">
        <v>1258</v>
      </c>
      <c r="O101" t="s">
        <v>124</v>
      </c>
      <c r="P101">
        <v>69.28</v>
      </c>
      <c r="T101">
        <v>5.5</v>
      </c>
    </row>
    <row r="102" spans="1:20">
      <c r="A102" s="1">
        <f>HYPERLINK("https://cms.ls-nyc.org/matter/dynamic-profile/view/1861239","18-1861239")</f>
        <v>0</v>
      </c>
      <c r="B102" t="s">
        <v>22</v>
      </c>
      <c r="C102" t="s">
        <v>43</v>
      </c>
      <c r="D102" t="s">
        <v>125</v>
      </c>
      <c r="E102" t="s">
        <v>287</v>
      </c>
      <c r="F102" t="s">
        <v>675</v>
      </c>
      <c r="G102" t="s">
        <v>961</v>
      </c>
      <c r="H102">
        <v>73</v>
      </c>
      <c r="I102" t="s">
        <v>1234</v>
      </c>
      <c r="J102">
        <v>10031</v>
      </c>
      <c r="K102" t="s">
        <v>1238</v>
      </c>
      <c r="L102" t="s">
        <v>1237</v>
      </c>
      <c r="M102" t="s">
        <v>1250</v>
      </c>
      <c r="N102" t="s">
        <v>1258</v>
      </c>
      <c r="O102" t="s">
        <v>1273</v>
      </c>
      <c r="P102">
        <v>69.47</v>
      </c>
      <c r="T102">
        <v>15.7</v>
      </c>
    </row>
    <row r="103" spans="1:20">
      <c r="A103" s="1">
        <f>HYPERLINK("https://cms.ls-nyc.org/matter/dynamic-profile/view/1860430","18-1860430")</f>
        <v>0</v>
      </c>
      <c r="B103" t="s">
        <v>29</v>
      </c>
      <c r="C103" t="s">
        <v>43</v>
      </c>
      <c r="D103" t="s">
        <v>126</v>
      </c>
      <c r="E103" t="s">
        <v>362</v>
      </c>
      <c r="F103" t="s">
        <v>676</v>
      </c>
      <c r="G103" t="s">
        <v>918</v>
      </c>
      <c r="H103" t="s">
        <v>1104</v>
      </c>
      <c r="I103" t="s">
        <v>1234</v>
      </c>
      <c r="J103">
        <v>10031</v>
      </c>
      <c r="K103" t="s">
        <v>1237</v>
      </c>
      <c r="L103" t="s">
        <v>1237</v>
      </c>
      <c r="M103" t="s">
        <v>1240</v>
      </c>
      <c r="N103" t="s">
        <v>1260</v>
      </c>
      <c r="O103" t="s">
        <v>1268</v>
      </c>
      <c r="P103">
        <v>69.54000000000001</v>
      </c>
      <c r="T103">
        <v>0.75</v>
      </c>
    </row>
    <row r="104" spans="1:20">
      <c r="A104" s="1">
        <f>HYPERLINK("https://cms.ls-nyc.org/matter/dynamic-profile/view/1834816","17-1834816")</f>
        <v>0</v>
      </c>
      <c r="B104" t="s">
        <v>25</v>
      </c>
      <c r="C104" t="s">
        <v>43</v>
      </c>
      <c r="D104" t="s">
        <v>109</v>
      </c>
      <c r="E104" t="s">
        <v>317</v>
      </c>
      <c r="F104" t="s">
        <v>640</v>
      </c>
      <c r="G104" t="s">
        <v>902</v>
      </c>
      <c r="H104" t="s">
        <v>1112</v>
      </c>
      <c r="I104" t="s">
        <v>1234</v>
      </c>
      <c r="J104">
        <v>10033</v>
      </c>
      <c r="K104" t="s">
        <v>1237</v>
      </c>
      <c r="L104" t="s">
        <v>1236</v>
      </c>
      <c r="M104" t="s">
        <v>1241</v>
      </c>
      <c r="N104" t="s">
        <v>1259</v>
      </c>
      <c r="O104" t="s">
        <v>155</v>
      </c>
      <c r="P104">
        <v>69.7</v>
      </c>
      <c r="Q104" t="s">
        <v>1301</v>
      </c>
      <c r="T104">
        <v>0.5</v>
      </c>
    </row>
    <row r="105" spans="1:20">
      <c r="A105" s="1">
        <f>HYPERLINK("https://cms.ls-nyc.org/matter/dynamic-profile/view/1838591","17-1838591")</f>
        <v>0</v>
      </c>
      <c r="B105" t="s">
        <v>28</v>
      </c>
      <c r="C105" t="s">
        <v>43</v>
      </c>
      <c r="D105" t="s">
        <v>127</v>
      </c>
      <c r="E105" t="s">
        <v>363</v>
      </c>
      <c r="F105" t="s">
        <v>677</v>
      </c>
      <c r="G105" t="s">
        <v>940</v>
      </c>
      <c r="H105" t="s">
        <v>1152</v>
      </c>
      <c r="I105" t="s">
        <v>1234</v>
      </c>
      <c r="J105">
        <v>10034</v>
      </c>
      <c r="K105" t="s">
        <v>1237</v>
      </c>
      <c r="L105" t="s">
        <v>1236</v>
      </c>
      <c r="M105" t="s">
        <v>1240</v>
      </c>
      <c r="N105" t="s">
        <v>1258</v>
      </c>
      <c r="O105" t="s">
        <v>179</v>
      </c>
      <c r="P105">
        <v>69.76000000000001</v>
      </c>
      <c r="T105">
        <v>0.6</v>
      </c>
    </row>
    <row r="106" spans="1:20">
      <c r="A106" s="1">
        <f>HYPERLINK("https://cms.ls-nyc.org/matter/dynamic-profile/view/1877190","18-1877190")</f>
        <v>0</v>
      </c>
      <c r="B106" t="s">
        <v>23</v>
      </c>
      <c r="C106" t="s">
        <v>43</v>
      </c>
      <c r="D106" t="s">
        <v>128</v>
      </c>
      <c r="E106" t="s">
        <v>317</v>
      </c>
      <c r="F106" t="s">
        <v>649</v>
      </c>
      <c r="G106" t="s">
        <v>903</v>
      </c>
      <c r="H106" t="s">
        <v>1153</v>
      </c>
      <c r="I106" t="s">
        <v>1234</v>
      </c>
      <c r="J106">
        <v>10033</v>
      </c>
      <c r="K106" t="s">
        <v>1237</v>
      </c>
      <c r="L106" t="s">
        <v>1237</v>
      </c>
      <c r="M106" t="s">
        <v>1240</v>
      </c>
      <c r="N106" t="s">
        <v>1258</v>
      </c>
      <c r="O106" t="s">
        <v>128</v>
      </c>
      <c r="P106">
        <v>70.56999999999999</v>
      </c>
      <c r="T106">
        <v>1.6</v>
      </c>
    </row>
    <row r="107" spans="1:20">
      <c r="A107" s="1">
        <f>HYPERLINK("https://cms.ls-nyc.org/matter/dynamic-profile/view/1900716","19-1900716")</f>
        <v>0</v>
      </c>
      <c r="B107" t="s">
        <v>26</v>
      </c>
      <c r="C107" t="s">
        <v>43</v>
      </c>
      <c r="D107" t="s">
        <v>58</v>
      </c>
      <c r="E107" t="s">
        <v>364</v>
      </c>
      <c r="F107" t="s">
        <v>678</v>
      </c>
      <c r="G107" t="s">
        <v>962</v>
      </c>
      <c r="H107">
        <v>27</v>
      </c>
      <c r="I107" t="s">
        <v>1234</v>
      </c>
      <c r="J107">
        <v>10033</v>
      </c>
      <c r="K107" t="s">
        <v>1237</v>
      </c>
      <c r="L107" t="s">
        <v>1236</v>
      </c>
      <c r="N107" t="s">
        <v>1261</v>
      </c>
      <c r="O107" t="s">
        <v>58</v>
      </c>
      <c r="P107">
        <v>70.95999999999999</v>
      </c>
      <c r="T107">
        <v>1.2</v>
      </c>
    </row>
    <row r="108" spans="1:20">
      <c r="A108" s="1">
        <f>HYPERLINK("https://cms.ls-nyc.org/matter/dynamic-profile/view/1901519","19-1901519")</f>
        <v>0</v>
      </c>
      <c r="B108" t="s">
        <v>21</v>
      </c>
      <c r="C108" t="s">
        <v>43</v>
      </c>
      <c r="D108" t="s">
        <v>129</v>
      </c>
      <c r="E108" t="s">
        <v>365</v>
      </c>
      <c r="F108" t="s">
        <v>679</v>
      </c>
      <c r="G108" t="s">
        <v>929</v>
      </c>
      <c r="H108" t="s">
        <v>1119</v>
      </c>
      <c r="I108" t="s">
        <v>1234</v>
      </c>
      <c r="J108">
        <v>10033</v>
      </c>
      <c r="K108" t="s">
        <v>1237</v>
      </c>
      <c r="L108" t="s">
        <v>1236</v>
      </c>
      <c r="M108" t="s">
        <v>1244</v>
      </c>
      <c r="N108" t="s">
        <v>1261</v>
      </c>
      <c r="O108" t="s">
        <v>129</v>
      </c>
      <c r="P108">
        <v>71.09999999999999</v>
      </c>
      <c r="T108">
        <v>1</v>
      </c>
    </row>
    <row r="109" spans="1:20">
      <c r="A109" s="1">
        <f>HYPERLINK("https://cms.ls-nyc.org/matter/dynamic-profile/view/1875631","18-1875631")</f>
        <v>0</v>
      </c>
      <c r="B109" t="s">
        <v>24</v>
      </c>
      <c r="C109" t="s">
        <v>43</v>
      </c>
      <c r="D109" t="s">
        <v>130</v>
      </c>
      <c r="E109" t="s">
        <v>366</v>
      </c>
      <c r="F109" t="s">
        <v>680</v>
      </c>
      <c r="G109" t="s">
        <v>963</v>
      </c>
      <c r="H109">
        <v>49</v>
      </c>
      <c r="I109" t="s">
        <v>1234</v>
      </c>
      <c r="J109">
        <v>10033</v>
      </c>
      <c r="K109" t="s">
        <v>1237</v>
      </c>
      <c r="L109" t="s">
        <v>1237</v>
      </c>
      <c r="M109" t="s">
        <v>1242</v>
      </c>
      <c r="N109" t="s">
        <v>1259</v>
      </c>
      <c r="O109" t="s">
        <v>130</v>
      </c>
      <c r="P109">
        <v>71.23</v>
      </c>
      <c r="T109">
        <v>4</v>
      </c>
    </row>
    <row r="110" spans="1:20">
      <c r="A110" s="1">
        <f>HYPERLINK("https://cms.ls-nyc.org/matter/dynamic-profile/view/1862236","18-1862236")</f>
        <v>0</v>
      </c>
      <c r="B110" t="s">
        <v>29</v>
      </c>
      <c r="C110" t="s">
        <v>43</v>
      </c>
      <c r="D110" t="s">
        <v>131</v>
      </c>
      <c r="E110" t="s">
        <v>367</v>
      </c>
      <c r="F110" t="s">
        <v>681</v>
      </c>
      <c r="G110" t="s">
        <v>895</v>
      </c>
      <c r="H110" t="s">
        <v>1154</v>
      </c>
      <c r="I110" t="s">
        <v>1234</v>
      </c>
      <c r="J110">
        <v>10034</v>
      </c>
      <c r="K110" t="s">
        <v>1237</v>
      </c>
      <c r="L110" t="s">
        <v>1236</v>
      </c>
      <c r="M110" t="s">
        <v>1240</v>
      </c>
      <c r="N110" t="s">
        <v>1258</v>
      </c>
      <c r="O110" t="s">
        <v>131</v>
      </c>
      <c r="P110">
        <v>71.70999999999999</v>
      </c>
      <c r="T110">
        <v>62.15</v>
      </c>
    </row>
    <row r="111" spans="1:20">
      <c r="A111" s="1">
        <f>HYPERLINK("https://cms.ls-nyc.org/matter/dynamic-profile/view/1860306","18-1860306")</f>
        <v>0</v>
      </c>
      <c r="B111" t="s">
        <v>20</v>
      </c>
      <c r="C111" t="s">
        <v>43</v>
      </c>
      <c r="D111" t="s">
        <v>132</v>
      </c>
      <c r="E111" t="s">
        <v>368</v>
      </c>
      <c r="F111" t="s">
        <v>675</v>
      </c>
      <c r="G111" t="s">
        <v>964</v>
      </c>
      <c r="H111" t="s">
        <v>1155</v>
      </c>
      <c r="I111" t="s">
        <v>1234</v>
      </c>
      <c r="J111">
        <v>10034</v>
      </c>
      <c r="K111" t="s">
        <v>1236</v>
      </c>
      <c r="L111" t="s">
        <v>1236</v>
      </c>
      <c r="M111" t="s">
        <v>1251</v>
      </c>
      <c r="P111">
        <v>71.70999999999999</v>
      </c>
      <c r="T111">
        <v>1</v>
      </c>
    </row>
    <row r="112" spans="1:20">
      <c r="A112" s="1">
        <f>HYPERLINK("https://cms.ls-nyc.org/matter/dynamic-profile/view/1897247","19-1897247")</f>
        <v>0</v>
      </c>
      <c r="B112" t="s">
        <v>28</v>
      </c>
      <c r="C112" t="s">
        <v>43</v>
      </c>
      <c r="D112" t="s">
        <v>106</v>
      </c>
      <c r="E112" t="s">
        <v>369</v>
      </c>
      <c r="F112" t="s">
        <v>682</v>
      </c>
      <c r="G112" t="s">
        <v>950</v>
      </c>
      <c r="H112">
        <v>23</v>
      </c>
      <c r="I112" t="s">
        <v>1234</v>
      </c>
      <c r="J112">
        <v>10034</v>
      </c>
      <c r="K112" t="s">
        <v>1237</v>
      </c>
      <c r="L112" t="s">
        <v>1237</v>
      </c>
      <c r="M112" t="s">
        <v>1240</v>
      </c>
      <c r="N112" t="s">
        <v>1261</v>
      </c>
      <c r="O112" t="s">
        <v>106</v>
      </c>
      <c r="P112">
        <v>71.79000000000001</v>
      </c>
      <c r="T112">
        <v>0</v>
      </c>
    </row>
    <row r="113" spans="1:20">
      <c r="A113" s="1">
        <f>HYPERLINK("https://cms.ls-nyc.org/matter/dynamic-profile/view/1893534","19-1893534")</f>
        <v>0</v>
      </c>
      <c r="B113" t="s">
        <v>22</v>
      </c>
      <c r="C113" t="s">
        <v>43</v>
      </c>
      <c r="D113" t="s">
        <v>120</v>
      </c>
      <c r="E113" t="s">
        <v>370</v>
      </c>
      <c r="F113" t="s">
        <v>683</v>
      </c>
      <c r="G113" t="s">
        <v>913</v>
      </c>
      <c r="H113">
        <v>2</v>
      </c>
      <c r="I113" t="s">
        <v>1234</v>
      </c>
      <c r="J113">
        <v>10034</v>
      </c>
      <c r="K113" t="s">
        <v>1237</v>
      </c>
      <c r="L113" t="s">
        <v>1237</v>
      </c>
      <c r="M113" t="s">
        <v>1242</v>
      </c>
      <c r="N113" t="s">
        <v>1260</v>
      </c>
      <c r="O113" t="s">
        <v>120</v>
      </c>
      <c r="P113">
        <v>72.06</v>
      </c>
      <c r="T113">
        <v>1.2</v>
      </c>
    </row>
    <row r="114" spans="1:20">
      <c r="A114" s="1">
        <f>HYPERLINK("https://cms.ls-nyc.org/matter/dynamic-profile/view/1901429","19-1901429")</f>
        <v>0</v>
      </c>
      <c r="B114" t="s">
        <v>21</v>
      </c>
      <c r="C114" t="s">
        <v>43</v>
      </c>
      <c r="D114" t="s">
        <v>129</v>
      </c>
      <c r="E114" t="s">
        <v>287</v>
      </c>
      <c r="F114" t="s">
        <v>684</v>
      </c>
      <c r="G114" t="s">
        <v>933</v>
      </c>
      <c r="H114">
        <v>35</v>
      </c>
      <c r="I114" t="s">
        <v>1234</v>
      </c>
      <c r="J114">
        <v>10034</v>
      </c>
      <c r="K114" t="s">
        <v>1237</v>
      </c>
      <c r="L114" t="s">
        <v>1236</v>
      </c>
      <c r="M114" t="s">
        <v>1244</v>
      </c>
      <c r="N114" t="s">
        <v>1261</v>
      </c>
      <c r="O114" t="s">
        <v>129</v>
      </c>
      <c r="P114">
        <v>72.06</v>
      </c>
      <c r="T114">
        <v>1</v>
      </c>
    </row>
    <row r="115" spans="1:20">
      <c r="A115" s="1">
        <f>HYPERLINK("https://cms.ls-nyc.org/matter/dynamic-profile/view/1881793","18-1881793")</f>
        <v>0</v>
      </c>
      <c r="B115" t="s">
        <v>33</v>
      </c>
      <c r="C115" t="s">
        <v>43</v>
      </c>
      <c r="D115" t="s">
        <v>133</v>
      </c>
      <c r="E115" t="s">
        <v>371</v>
      </c>
      <c r="F115" t="s">
        <v>685</v>
      </c>
      <c r="G115" t="s">
        <v>965</v>
      </c>
      <c r="H115" t="s">
        <v>1156</v>
      </c>
      <c r="I115" t="s">
        <v>1234</v>
      </c>
      <c r="J115">
        <v>10032</v>
      </c>
      <c r="K115" t="s">
        <v>1237</v>
      </c>
      <c r="L115" t="s">
        <v>1237</v>
      </c>
      <c r="M115" t="s">
        <v>1242</v>
      </c>
      <c r="N115" t="s">
        <v>1260</v>
      </c>
      <c r="O115" t="s">
        <v>133</v>
      </c>
      <c r="P115">
        <v>72.18000000000001</v>
      </c>
      <c r="T115">
        <v>1.3</v>
      </c>
    </row>
    <row r="116" spans="1:20">
      <c r="A116" s="1">
        <f>HYPERLINK("https://cms.ls-nyc.org/matter/dynamic-profile/view/1841822","17-1841822")</f>
        <v>0</v>
      </c>
      <c r="B116" t="s">
        <v>25</v>
      </c>
      <c r="C116" t="s">
        <v>43</v>
      </c>
      <c r="D116" t="s">
        <v>101</v>
      </c>
      <c r="E116" t="s">
        <v>372</v>
      </c>
      <c r="F116" t="s">
        <v>686</v>
      </c>
      <c r="G116" t="s">
        <v>945</v>
      </c>
      <c r="H116" t="s">
        <v>1138</v>
      </c>
      <c r="I116" t="s">
        <v>1234</v>
      </c>
      <c r="J116">
        <v>10034</v>
      </c>
      <c r="K116" t="s">
        <v>1237</v>
      </c>
      <c r="L116" t="s">
        <v>1236</v>
      </c>
      <c r="M116" t="s">
        <v>1239</v>
      </c>
      <c r="N116" t="s">
        <v>1258</v>
      </c>
      <c r="O116" t="s">
        <v>179</v>
      </c>
      <c r="P116">
        <v>72.64</v>
      </c>
      <c r="T116">
        <v>0</v>
      </c>
    </row>
    <row r="117" spans="1:20">
      <c r="A117" s="1">
        <f>HYPERLINK("https://cms.ls-nyc.org/matter/dynamic-profile/view/1857890","18-1857890")</f>
        <v>0</v>
      </c>
      <c r="B117" t="s">
        <v>29</v>
      </c>
      <c r="C117" t="s">
        <v>43</v>
      </c>
      <c r="D117" t="s">
        <v>134</v>
      </c>
      <c r="E117" t="s">
        <v>340</v>
      </c>
      <c r="F117" t="s">
        <v>687</v>
      </c>
      <c r="G117" t="s">
        <v>966</v>
      </c>
      <c r="H117" t="s">
        <v>1104</v>
      </c>
      <c r="I117" t="s">
        <v>1234</v>
      </c>
      <c r="J117">
        <v>10034</v>
      </c>
      <c r="K117" t="s">
        <v>1237</v>
      </c>
      <c r="L117" t="s">
        <v>1236</v>
      </c>
      <c r="M117" t="s">
        <v>1248</v>
      </c>
      <c r="N117" t="s">
        <v>1259</v>
      </c>
      <c r="O117" t="s">
        <v>134</v>
      </c>
      <c r="P117">
        <v>72.65000000000001</v>
      </c>
      <c r="T117">
        <v>0.3</v>
      </c>
    </row>
    <row r="118" spans="1:20">
      <c r="A118" s="1">
        <f>HYPERLINK("https://cms.ls-nyc.org/matter/dynamic-profile/view/1841424","17-1841424")</f>
        <v>0</v>
      </c>
      <c r="B118" t="s">
        <v>22</v>
      </c>
      <c r="C118" t="s">
        <v>43</v>
      </c>
      <c r="D118" t="s">
        <v>135</v>
      </c>
      <c r="E118" t="s">
        <v>373</v>
      </c>
      <c r="F118" t="s">
        <v>688</v>
      </c>
      <c r="G118" t="s">
        <v>896</v>
      </c>
      <c r="H118" t="s">
        <v>1157</v>
      </c>
      <c r="I118" t="s">
        <v>1234</v>
      </c>
      <c r="J118">
        <v>10034</v>
      </c>
      <c r="K118" t="s">
        <v>1237</v>
      </c>
      <c r="L118" t="s">
        <v>1236</v>
      </c>
      <c r="M118" t="s">
        <v>1239</v>
      </c>
      <c r="N118" t="s">
        <v>1258</v>
      </c>
      <c r="O118" t="s">
        <v>179</v>
      </c>
      <c r="P118">
        <v>72.73</v>
      </c>
      <c r="T118">
        <v>45.3</v>
      </c>
    </row>
    <row r="119" spans="1:20">
      <c r="A119" s="1">
        <f>HYPERLINK("https://cms.ls-nyc.org/matter/dynamic-profile/view/1856867","18-1856867")</f>
        <v>0</v>
      </c>
      <c r="B119" t="s">
        <v>22</v>
      </c>
      <c r="C119" t="s">
        <v>43</v>
      </c>
      <c r="D119" t="s">
        <v>136</v>
      </c>
      <c r="E119" t="s">
        <v>373</v>
      </c>
      <c r="F119" t="s">
        <v>688</v>
      </c>
      <c r="G119" t="s">
        <v>896</v>
      </c>
      <c r="H119" t="s">
        <v>1157</v>
      </c>
      <c r="I119" t="s">
        <v>1234</v>
      </c>
      <c r="J119">
        <v>10034</v>
      </c>
      <c r="K119" t="s">
        <v>1237</v>
      </c>
      <c r="L119" t="s">
        <v>1236</v>
      </c>
      <c r="M119" t="s">
        <v>1240</v>
      </c>
      <c r="N119" t="s">
        <v>1259</v>
      </c>
      <c r="O119" t="s">
        <v>136</v>
      </c>
      <c r="P119">
        <v>72.73</v>
      </c>
      <c r="T119">
        <v>64.59999999999999</v>
      </c>
    </row>
    <row r="120" spans="1:20">
      <c r="A120" s="1">
        <f>HYPERLINK("https://cms.ls-nyc.org/matter/dynamic-profile/view/1840271","17-1840271")</f>
        <v>0</v>
      </c>
      <c r="B120" t="s">
        <v>22</v>
      </c>
      <c r="C120" t="s">
        <v>43</v>
      </c>
      <c r="D120" t="s">
        <v>137</v>
      </c>
      <c r="E120" t="s">
        <v>317</v>
      </c>
      <c r="F120" t="s">
        <v>685</v>
      </c>
      <c r="G120" t="s">
        <v>967</v>
      </c>
      <c r="H120">
        <v>22</v>
      </c>
      <c r="I120" t="s">
        <v>1234</v>
      </c>
      <c r="J120">
        <v>10034</v>
      </c>
      <c r="K120" t="s">
        <v>1237</v>
      </c>
      <c r="L120" t="s">
        <v>1236</v>
      </c>
      <c r="M120" t="s">
        <v>1240</v>
      </c>
      <c r="N120" t="s">
        <v>1260</v>
      </c>
      <c r="O120" t="s">
        <v>179</v>
      </c>
      <c r="P120">
        <v>73.03</v>
      </c>
      <c r="T120">
        <v>1.5</v>
      </c>
    </row>
    <row r="121" spans="1:20">
      <c r="A121" s="1">
        <f>HYPERLINK("https://cms.ls-nyc.org/matter/dynamic-profile/view/1880546","18-1880546")</f>
        <v>0</v>
      </c>
      <c r="B121" t="s">
        <v>22</v>
      </c>
      <c r="C121" t="s">
        <v>43</v>
      </c>
      <c r="D121" t="s">
        <v>138</v>
      </c>
      <c r="E121" t="s">
        <v>374</v>
      </c>
      <c r="F121" t="s">
        <v>689</v>
      </c>
      <c r="G121" t="s">
        <v>968</v>
      </c>
      <c r="H121">
        <v>33</v>
      </c>
      <c r="I121" t="s">
        <v>1234</v>
      </c>
      <c r="J121">
        <v>10034</v>
      </c>
      <c r="K121" t="s">
        <v>1237</v>
      </c>
      <c r="L121" t="s">
        <v>1237</v>
      </c>
      <c r="M121" t="s">
        <v>1248</v>
      </c>
      <c r="N121" t="s">
        <v>1259</v>
      </c>
      <c r="O121" t="s">
        <v>138</v>
      </c>
      <c r="P121">
        <v>73.13</v>
      </c>
      <c r="T121">
        <v>4.5</v>
      </c>
    </row>
    <row r="122" spans="1:20">
      <c r="A122" s="1">
        <f>HYPERLINK("https://cms.ls-nyc.org/matter/dynamic-profile/view/1844116","17-1844116")</f>
        <v>0</v>
      </c>
      <c r="B122" t="s">
        <v>28</v>
      </c>
      <c r="C122" t="s">
        <v>43</v>
      </c>
      <c r="D122" t="s">
        <v>139</v>
      </c>
      <c r="E122" t="s">
        <v>375</v>
      </c>
      <c r="F122" t="s">
        <v>680</v>
      </c>
      <c r="G122" t="s">
        <v>969</v>
      </c>
      <c r="I122" t="s">
        <v>1234</v>
      </c>
      <c r="J122">
        <v>10032</v>
      </c>
      <c r="K122" t="s">
        <v>1237</v>
      </c>
      <c r="L122" t="s">
        <v>1236</v>
      </c>
      <c r="M122" t="s">
        <v>1241</v>
      </c>
      <c r="N122" t="s">
        <v>1259</v>
      </c>
      <c r="O122" t="s">
        <v>139</v>
      </c>
      <c r="P122">
        <v>73.13</v>
      </c>
      <c r="Q122" t="s">
        <v>1303</v>
      </c>
      <c r="T122">
        <v>52.5</v>
      </c>
    </row>
    <row r="123" spans="1:20">
      <c r="A123" s="1">
        <f>HYPERLINK("https://cms.ls-nyc.org/matter/dynamic-profile/view/1853494","17-1853494")</f>
        <v>0</v>
      </c>
      <c r="B123" t="s">
        <v>23</v>
      </c>
      <c r="C123" t="s">
        <v>43</v>
      </c>
      <c r="D123" t="s">
        <v>140</v>
      </c>
      <c r="E123" t="s">
        <v>376</v>
      </c>
      <c r="F123" t="s">
        <v>690</v>
      </c>
      <c r="G123" t="s">
        <v>970</v>
      </c>
      <c r="H123">
        <v>21</v>
      </c>
      <c r="I123" t="s">
        <v>1234</v>
      </c>
      <c r="J123">
        <v>10034</v>
      </c>
      <c r="K123" t="s">
        <v>1237</v>
      </c>
      <c r="L123" t="s">
        <v>1236</v>
      </c>
      <c r="M123" t="s">
        <v>1239</v>
      </c>
      <c r="N123" t="s">
        <v>1258</v>
      </c>
      <c r="O123" t="s">
        <v>140</v>
      </c>
      <c r="P123">
        <v>73.45999999999999</v>
      </c>
      <c r="T123">
        <v>178.35</v>
      </c>
    </row>
    <row r="124" spans="1:20">
      <c r="A124" s="1">
        <f>HYPERLINK("https://cms.ls-nyc.org/matter/dynamic-profile/view/1892880","19-1892880")</f>
        <v>0</v>
      </c>
      <c r="B124" t="s">
        <v>31</v>
      </c>
      <c r="C124" t="s">
        <v>43</v>
      </c>
      <c r="D124" t="s">
        <v>122</v>
      </c>
      <c r="E124" t="s">
        <v>317</v>
      </c>
      <c r="F124" t="s">
        <v>682</v>
      </c>
      <c r="G124" t="s">
        <v>971</v>
      </c>
      <c r="H124" t="s">
        <v>1155</v>
      </c>
      <c r="I124" t="s">
        <v>1234</v>
      </c>
      <c r="J124">
        <v>10034</v>
      </c>
      <c r="K124" t="s">
        <v>1237</v>
      </c>
      <c r="L124" t="s">
        <v>1237</v>
      </c>
      <c r="M124" t="s">
        <v>1245</v>
      </c>
      <c r="N124" t="s">
        <v>1260</v>
      </c>
      <c r="O124" t="s">
        <v>122</v>
      </c>
      <c r="P124">
        <v>74.08</v>
      </c>
      <c r="T124">
        <v>5.5</v>
      </c>
    </row>
    <row r="125" spans="1:20">
      <c r="A125" s="1">
        <f>HYPERLINK("https://cms.ls-nyc.org/matter/dynamic-profile/view/1863062","18-1863062")</f>
        <v>0</v>
      </c>
      <c r="B125" t="s">
        <v>24</v>
      </c>
      <c r="C125" t="s">
        <v>43</v>
      </c>
      <c r="D125" t="s">
        <v>141</v>
      </c>
      <c r="E125" t="s">
        <v>377</v>
      </c>
      <c r="F125" t="s">
        <v>691</v>
      </c>
      <c r="G125" t="s">
        <v>895</v>
      </c>
      <c r="H125" t="s">
        <v>1127</v>
      </c>
      <c r="I125" t="s">
        <v>1234</v>
      </c>
      <c r="J125">
        <v>10034</v>
      </c>
      <c r="K125" t="s">
        <v>1237</v>
      </c>
      <c r="L125" t="s">
        <v>1236</v>
      </c>
      <c r="M125" t="s">
        <v>1240</v>
      </c>
      <c r="N125" t="s">
        <v>1258</v>
      </c>
      <c r="O125" t="s">
        <v>141</v>
      </c>
      <c r="P125">
        <v>74.14</v>
      </c>
      <c r="T125">
        <v>0.25</v>
      </c>
    </row>
    <row r="126" spans="1:20">
      <c r="A126" s="1">
        <f>HYPERLINK("https://cms.ls-nyc.org/matter/dynamic-profile/view/1881953","18-1881953")</f>
        <v>0</v>
      </c>
      <c r="B126" t="s">
        <v>25</v>
      </c>
      <c r="C126" t="s">
        <v>43</v>
      </c>
      <c r="D126" t="s">
        <v>63</v>
      </c>
      <c r="E126" t="s">
        <v>317</v>
      </c>
      <c r="F126" t="s">
        <v>692</v>
      </c>
      <c r="G126" t="s">
        <v>972</v>
      </c>
      <c r="H126" t="s">
        <v>1158</v>
      </c>
      <c r="I126" t="s">
        <v>1234</v>
      </c>
      <c r="J126">
        <v>10034</v>
      </c>
      <c r="K126" t="s">
        <v>1237</v>
      </c>
      <c r="L126" t="s">
        <v>1237</v>
      </c>
      <c r="M126" t="s">
        <v>1242</v>
      </c>
      <c r="N126" t="s">
        <v>1261</v>
      </c>
      <c r="O126" t="s">
        <v>1274</v>
      </c>
      <c r="P126">
        <v>75.12</v>
      </c>
      <c r="T126">
        <v>0.65</v>
      </c>
    </row>
    <row r="127" spans="1:20">
      <c r="A127" s="1">
        <f>HYPERLINK("https://cms.ls-nyc.org/matter/dynamic-profile/view/0828022","17-0828022")</f>
        <v>0</v>
      </c>
      <c r="B127" t="s">
        <v>28</v>
      </c>
      <c r="C127" t="s">
        <v>43</v>
      </c>
      <c r="D127" t="s">
        <v>96</v>
      </c>
      <c r="E127" t="s">
        <v>378</v>
      </c>
      <c r="F127" t="s">
        <v>693</v>
      </c>
      <c r="G127" t="s">
        <v>941</v>
      </c>
      <c r="H127" t="s">
        <v>1155</v>
      </c>
      <c r="I127" t="s">
        <v>1234</v>
      </c>
      <c r="J127">
        <v>10034</v>
      </c>
      <c r="K127" t="s">
        <v>1238</v>
      </c>
      <c r="L127" t="s">
        <v>1236</v>
      </c>
      <c r="M127" t="s">
        <v>1240</v>
      </c>
      <c r="N127" t="s">
        <v>1258</v>
      </c>
      <c r="O127" t="s">
        <v>156</v>
      </c>
      <c r="P127">
        <v>75.22</v>
      </c>
      <c r="T127">
        <v>1</v>
      </c>
    </row>
    <row r="128" spans="1:20">
      <c r="A128" s="1">
        <f>HYPERLINK("https://cms.ls-nyc.org/matter/dynamic-profile/view/1846658","17-1846658")</f>
        <v>0</v>
      </c>
      <c r="B128" t="s">
        <v>20</v>
      </c>
      <c r="C128" t="s">
        <v>43</v>
      </c>
      <c r="D128" t="s">
        <v>142</v>
      </c>
      <c r="E128" t="s">
        <v>379</v>
      </c>
      <c r="F128" t="s">
        <v>694</v>
      </c>
      <c r="G128" t="s">
        <v>973</v>
      </c>
      <c r="H128" t="s">
        <v>1149</v>
      </c>
      <c r="I128" t="s">
        <v>1234</v>
      </c>
      <c r="J128">
        <v>10034</v>
      </c>
      <c r="K128" t="s">
        <v>1236</v>
      </c>
      <c r="L128" t="s">
        <v>1236</v>
      </c>
      <c r="P128">
        <v>75.72</v>
      </c>
      <c r="T128">
        <v>1.2</v>
      </c>
    </row>
    <row r="129" spans="1:20">
      <c r="A129" s="1">
        <f>HYPERLINK("https://cms.ls-nyc.org/matter/dynamic-profile/view/1880103","18-1880103")</f>
        <v>0</v>
      </c>
      <c r="B129" t="s">
        <v>26</v>
      </c>
      <c r="C129" t="s">
        <v>43</v>
      </c>
      <c r="D129" t="s">
        <v>143</v>
      </c>
      <c r="E129" t="s">
        <v>380</v>
      </c>
      <c r="F129" t="s">
        <v>695</v>
      </c>
      <c r="G129" t="s">
        <v>974</v>
      </c>
      <c r="H129">
        <v>27</v>
      </c>
      <c r="I129" t="s">
        <v>1234</v>
      </c>
      <c r="J129">
        <v>10034</v>
      </c>
      <c r="K129" t="s">
        <v>1237</v>
      </c>
      <c r="L129" t="s">
        <v>1237</v>
      </c>
      <c r="N129" t="s">
        <v>1258</v>
      </c>
      <c r="O129" t="s">
        <v>143</v>
      </c>
      <c r="P129">
        <v>75.91</v>
      </c>
      <c r="T129">
        <v>54.35</v>
      </c>
    </row>
    <row r="130" spans="1:20">
      <c r="A130" s="1">
        <f>HYPERLINK("https://cms.ls-nyc.org/matter/dynamic-profile/view/1892846","19-1892846")</f>
        <v>0</v>
      </c>
      <c r="B130" t="s">
        <v>21</v>
      </c>
      <c r="C130" t="s">
        <v>43</v>
      </c>
      <c r="D130" t="s">
        <v>122</v>
      </c>
      <c r="E130" t="s">
        <v>381</v>
      </c>
      <c r="F130" t="s">
        <v>696</v>
      </c>
      <c r="G130" t="s">
        <v>944</v>
      </c>
      <c r="H130">
        <v>52</v>
      </c>
      <c r="I130" t="s">
        <v>1234</v>
      </c>
      <c r="J130">
        <v>10034</v>
      </c>
      <c r="K130" t="s">
        <v>1237</v>
      </c>
      <c r="L130" t="s">
        <v>1237</v>
      </c>
      <c r="N130" t="s">
        <v>1261</v>
      </c>
      <c r="O130" t="s">
        <v>122</v>
      </c>
      <c r="P130">
        <v>76</v>
      </c>
      <c r="T130">
        <v>0</v>
      </c>
    </row>
    <row r="131" spans="1:20">
      <c r="A131" s="1">
        <f>HYPERLINK("https://cms.ls-nyc.org/matter/dynamic-profile/view/0820733","16-0820733")</f>
        <v>0</v>
      </c>
      <c r="B131" t="s">
        <v>22</v>
      </c>
      <c r="C131" t="s">
        <v>43</v>
      </c>
      <c r="D131" t="s">
        <v>144</v>
      </c>
      <c r="E131" t="s">
        <v>382</v>
      </c>
      <c r="F131" t="s">
        <v>697</v>
      </c>
      <c r="G131" t="s">
        <v>967</v>
      </c>
      <c r="H131">
        <v>51</v>
      </c>
      <c r="I131" t="s">
        <v>1234</v>
      </c>
      <c r="J131">
        <v>10034</v>
      </c>
      <c r="K131" t="s">
        <v>1237</v>
      </c>
      <c r="L131" t="s">
        <v>1236</v>
      </c>
      <c r="M131" t="s">
        <v>1241</v>
      </c>
      <c r="N131" t="s">
        <v>1260</v>
      </c>
      <c r="O131" t="s">
        <v>144</v>
      </c>
      <c r="P131">
        <v>76.56</v>
      </c>
      <c r="T131">
        <v>17.8</v>
      </c>
    </row>
    <row r="132" spans="1:20">
      <c r="A132" s="1">
        <f>HYPERLINK("https://cms.ls-nyc.org/matter/dynamic-profile/view/1876131","18-1876131")</f>
        <v>0</v>
      </c>
      <c r="B132" t="s">
        <v>29</v>
      </c>
      <c r="C132" t="s">
        <v>43</v>
      </c>
      <c r="D132" t="s">
        <v>52</v>
      </c>
      <c r="E132" t="s">
        <v>326</v>
      </c>
      <c r="F132" t="s">
        <v>698</v>
      </c>
      <c r="G132" t="s">
        <v>937</v>
      </c>
      <c r="H132" t="s">
        <v>1159</v>
      </c>
      <c r="I132" t="s">
        <v>1234</v>
      </c>
      <c r="J132">
        <v>10031</v>
      </c>
      <c r="K132" t="s">
        <v>1237</v>
      </c>
      <c r="L132" t="s">
        <v>1237</v>
      </c>
      <c r="M132" t="s">
        <v>1241</v>
      </c>
      <c r="N132" t="s">
        <v>1261</v>
      </c>
      <c r="O132" t="s">
        <v>52</v>
      </c>
      <c r="P132">
        <v>77.09999999999999</v>
      </c>
      <c r="T132">
        <v>0.2</v>
      </c>
    </row>
    <row r="133" spans="1:20">
      <c r="A133" s="1">
        <f>HYPERLINK("https://cms.ls-nyc.org/matter/dynamic-profile/view/1875101","18-1875101")</f>
        <v>0</v>
      </c>
      <c r="B133" t="s">
        <v>29</v>
      </c>
      <c r="C133" t="s">
        <v>43</v>
      </c>
      <c r="D133" t="s">
        <v>71</v>
      </c>
      <c r="E133" t="s">
        <v>383</v>
      </c>
      <c r="F133" t="s">
        <v>699</v>
      </c>
      <c r="G133" t="s">
        <v>937</v>
      </c>
      <c r="H133" t="s">
        <v>1124</v>
      </c>
      <c r="I133" t="s">
        <v>1234</v>
      </c>
      <c r="J133">
        <v>10031</v>
      </c>
      <c r="K133" t="s">
        <v>1237</v>
      </c>
      <c r="L133" t="s">
        <v>1237</v>
      </c>
      <c r="M133" t="s">
        <v>1240</v>
      </c>
      <c r="N133" t="s">
        <v>1258</v>
      </c>
      <c r="O133" t="s">
        <v>71</v>
      </c>
      <c r="P133">
        <v>77.27</v>
      </c>
      <c r="T133">
        <v>0.75</v>
      </c>
    </row>
    <row r="134" spans="1:20">
      <c r="A134" s="1">
        <f>HYPERLINK("https://cms.ls-nyc.org/matter/dynamic-profile/view/1866694","18-1866694")</f>
        <v>0</v>
      </c>
      <c r="B134" t="s">
        <v>20</v>
      </c>
      <c r="C134" t="s">
        <v>43</v>
      </c>
      <c r="D134" t="s">
        <v>145</v>
      </c>
      <c r="E134" t="s">
        <v>325</v>
      </c>
      <c r="F134" t="s">
        <v>637</v>
      </c>
      <c r="G134" t="s">
        <v>932</v>
      </c>
      <c r="H134" t="s">
        <v>1130</v>
      </c>
      <c r="I134" t="s">
        <v>1234</v>
      </c>
      <c r="J134">
        <v>10034</v>
      </c>
      <c r="K134" t="s">
        <v>1236</v>
      </c>
      <c r="L134" t="s">
        <v>1236</v>
      </c>
      <c r="M134" t="s">
        <v>1242</v>
      </c>
      <c r="N134" t="s">
        <v>1261</v>
      </c>
      <c r="O134" t="s">
        <v>145</v>
      </c>
      <c r="P134">
        <v>77.3</v>
      </c>
      <c r="T134">
        <v>1.6</v>
      </c>
    </row>
    <row r="135" spans="1:20">
      <c r="A135" s="1">
        <f>HYPERLINK("https://cms.ls-nyc.org/matter/dynamic-profile/view/1888071","19-1888071")</f>
        <v>0</v>
      </c>
      <c r="B135" t="s">
        <v>26</v>
      </c>
      <c r="C135" t="s">
        <v>43</v>
      </c>
      <c r="D135" t="s">
        <v>99</v>
      </c>
      <c r="E135" t="s">
        <v>384</v>
      </c>
      <c r="F135" t="s">
        <v>686</v>
      </c>
      <c r="G135" t="s">
        <v>943</v>
      </c>
      <c r="H135" t="s">
        <v>1125</v>
      </c>
      <c r="I135" t="s">
        <v>1234</v>
      </c>
      <c r="J135">
        <v>10032</v>
      </c>
      <c r="K135" t="s">
        <v>1237</v>
      </c>
      <c r="L135" t="s">
        <v>1237</v>
      </c>
      <c r="N135" t="s">
        <v>1258</v>
      </c>
      <c r="O135" t="s">
        <v>99</v>
      </c>
      <c r="P135">
        <v>78.42</v>
      </c>
      <c r="T135">
        <v>0</v>
      </c>
    </row>
    <row r="136" spans="1:20">
      <c r="A136" s="1">
        <f>HYPERLINK("https://cms.ls-nyc.org/matter/dynamic-profile/view/1863799","18-1863799")</f>
        <v>0</v>
      </c>
      <c r="B136" t="s">
        <v>25</v>
      </c>
      <c r="C136" t="s">
        <v>43</v>
      </c>
      <c r="D136" t="s">
        <v>64</v>
      </c>
      <c r="E136" t="s">
        <v>385</v>
      </c>
      <c r="F136" t="s">
        <v>700</v>
      </c>
      <c r="G136" t="s">
        <v>902</v>
      </c>
      <c r="H136" t="s">
        <v>1150</v>
      </c>
      <c r="I136" t="s">
        <v>1234</v>
      </c>
      <c r="J136">
        <v>10033</v>
      </c>
      <c r="K136" t="s">
        <v>1237</v>
      </c>
      <c r="L136" t="s">
        <v>1236</v>
      </c>
      <c r="M136" t="s">
        <v>1252</v>
      </c>
      <c r="N136" t="s">
        <v>1263</v>
      </c>
      <c r="O136" t="s">
        <v>64</v>
      </c>
      <c r="P136">
        <v>79.08</v>
      </c>
      <c r="Q136" t="s">
        <v>1301</v>
      </c>
      <c r="T136">
        <v>0</v>
      </c>
    </row>
    <row r="137" spans="1:20">
      <c r="A137" s="1">
        <f>HYPERLINK("https://cms.ls-nyc.org/matter/dynamic-profile/view/1887963","19-1887963")</f>
        <v>0</v>
      </c>
      <c r="B137" t="s">
        <v>22</v>
      </c>
      <c r="C137" t="s">
        <v>43</v>
      </c>
      <c r="D137" t="s">
        <v>146</v>
      </c>
      <c r="E137" t="s">
        <v>386</v>
      </c>
      <c r="F137" t="s">
        <v>701</v>
      </c>
      <c r="G137" t="s">
        <v>917</v>
      </c>
      <c r="H137">
        <v>22</v>
      </c>
      <c r="I137" t="s">
        <v>1234</v>
      </c>
      <c r="J137">
        <v>10034</v>
      </c>
      <c r="K137" t="s">
        <v>1237</v>
      </c>
      <c r="L137" t="s">
        <v>1237</v>
      </c>
      <c r="M137" t="s">
        <v>1240</v>
      </c>
      <c r="N137" t="s">
        <v>1258</v>
      </c>
      <c r="O137" t="s">
        <v>146</v>
      </c>
      <c r="P137">
        <v>79.12</v>
      </c>
      <c r="T137">
        <v>0</v>
      </c>
    </row>
    <row r="138" spans="1:20">
      <c r="A138" s="1">
        <f>HYPERLINK("https://cms.ls-nyc.org/matter/dynamic-profile/view/1900993","19-1900993")</f>
        <v>0</v>
      </c>
      <c r="B138" t="s">
        <v>28</v>
      </c>
      <c r="C138" t="s">
        <v>43</v>
      </c>
      <c r="D138" t="s">
        <v>147</v>
      </c>
      <c r="E138" t="s">
        <v>387</v>
      </c>
      <c r="F138" t="s">
        <v>702</v>
      </c>
      <c r="G138" t="s">
        <v>975</v>
      </c>
      <c r="H138">
        <v>6</v>
      </c>
      <c r="I138" t="s">
        <v>1234</v>
      </c>
      <c r="J138">
        <v>10033</v>
      </c>
      <c r="K138" t="s">
        <v>1237</v>
      </c>
      <c r="L138" t="s">
        <v>1236</v>
      </c>
      <c r="N138" t="s">
        <v>1258</v>
      </c>
      <c r="O138" t="s">
        <v>147</v>
      </c>
      <c r="P138">
        <v>79.55</v>
      </c>
      <c r="T138">
        <v>1.2</v>
      </c>
    </row>
    <row r="139" spans="1:20">
      <c r="A139" s="1">
        <f>HYPERLINK("https://cms.ls-nyc.org/matter/dynamic-profile/view/1850274","17-1850274")</f>
        <v>0</v>
      </c>
      <c r="B139" t="s">
        <v>22</v>
      </c>
      <c r="C139" t="s">
        <v>43</v>
      </c>
      <c r="D139" t="s">
        <v>148</v>
      </c>
      <c r="E139" t="s">
        <v>379</v>
      </c>
      <c r="F139" t="s">
        <v>694</v>
      </c>
      <c r="G139" t="s">
        <v>976</v>
      </c>
      <c r="H139" t="s">
        <v>1149</v>
      </c>
      <c r="I139" t="s">
        <v>1234</v>
      </c>
      <c r="J139">
        <v>10034</v>
      </c>
      <c r="K139" t="s">
        <v>1237</v>
      </c>
      <c r="L139" t="s">
        <v>1236</v>
      </c>
      <c r="N139" t="s">
        <v>1259</v>
      </c>
      <c r="O139" t="s">
        <v>248</v>
      </c>
      <c r="P139">
        <v>79.59999999999999</v>
      </c>
      <c r="T139">
        <v>12.2</v>
      </c>
    </row>
    <row r="140" spans="1:20">
      <c r="A140" s="1">
        <f>HYPERLINK("https://cms.ls-nyc.org/matter/dynamic-profile/view/1834572","17-1834572")</f>
        <v>0</v>
      </c>
      <c r="B140" t="s">
        <v>25</v>
      </c>
      <c r="C140" t="s">
        <v>43</v>
      </c>
      <c r="D140" t="s">
        <v>102</v>
      </c>
      <c r="E140" t="s">
        <v>385</v>
      </c>
      <c r="F140" t="s">
        <v>700</v>
      </c>
      <c r="G140" t="s">
        <v>902</v>
      </c>
      <c r="H140" t="s">
        <v>1150</v>
      </c>
      <c r="I140" t="s">
        <v>1234</v>
      </c>
      <c r="J140">
        <v>10033</v>
      </c>
      <c r="K140" t="s">
        <v>1237</v>
      </c>
      <c r="L140" t="s">
        <v>1236</v>
      </c>
      <c r="M140" t="s">
        <v>1240</v>
      </c>
      <c r="N140" t="s">
        <v>1259</v>
      </c>
      <c r="O140" t="s">
        <v>179</v>
      </c>
      <c r="P140">
        <v>79.59999999999999</v>
      </c>
      <c r="Q140" t="s">
        <v>1301</v>
      </c>
      <c r="T140">
        <v>0</v>
      </c>
    </row>
    <row r="141" spans="1:20">
      <c r="A141" s="1">
        <f>HYPERLINK("https://cms.ls-nyc.org/matter/dynamic-profile/view/1834576","17-1834576")</f>
        <v>0</v>
      </c>
      <c r="B141" t="s">
        <v>25</v>
      </c>
      <c r="C141" t="s">
        <v>43</v>
      </c>
      <c r="D141" t="s">
        <v>102</v>
      </c>
      <c r="E141" t="s">
        <v>385</v>
      </c>
      <c r="F141" t="s">
        <v>700</v>
      </c>
      <c r="G141" t="s">
        <v>902</v>
      </c>
      <c r="H141" t="s">
        <v>1150</v>
      </c>
      <c r="I141" t="s">
        <v>1234</v>
      </c>
      <c r="J141">
        <v>10033</v>
      </c>
      <c r="K141" t="s">
        <v>1237</v>
      </c>
      <c r="L141" t="s">
        <v>1237</v>
      </c>
      <c r="M141" t="s">
        <v>1240</v>
      </c>
      <c r="N141" t="s">
        <v>1258</v>
      </c>
      <c r="O141" t="s">
        <v>155</v>
      </c>
      <c r="P141">
        <v>79.59999999999999</v>
      </c>
      <c r="Q141" t="s">
        <v>1301</v>
      </c>
      <c r="T141">
        <v>0</v>
      </c>
    </row>
    <row r="142" spans="1:20">
      <c r="A142" s="1">
        <f>HYPERLINK("https://cms.ls-nyc.org/matter/dynamic-profile/view/1888148","19-1888148")</f>
        <v>0</v>
      </c>
      <c r="B142" t="s">
        <v>26</v>
      </c>
      <c r="C142" t="s">
        <v>43</v>
      </c>
      <c r="D142" t="s">
        <v>149</v>
      </c>
      <c r="E142" t="s">
        <v>388</v>
      </c>
      <c r="F142" t="s">
        <v>689</v>
      </c>
      <c r="G142" t="s">
        <v>943</v>
      </c>
      <c r="H142" t="s">
        <v>1113</v>
      </c>
      <c r="I142" t="s">
        <v>1234</v>
      </c>
      <c r="J142">
        <v>10032</v>
      </c>
      <c r="K142" t="s">
        <v>1237</v>
      </c>
      <c r="L142" t="s">
        <v>1237</v>
      </c>
      <c r="N142" t="s">
        <v>1258</v>
      </c>
      <c r="O142" t="s">
        <v>149</v>
      </c>
      <c r="P142">
        <v>79.87</v>
      </c>
      <c r="T142">
        <v>0</v>
      </c>
    </row>
    <row r="143" spans="1:20">
      <c r="A143" s="1">
        <f>HYPERLINK("https://cms.ls-nyc.org/matter/dynamic-profile/view/0827352","17-0827352")</f>
        <v>0</v>
      </c>
      <c r="B143" t="s">
        <v>25</v>
      </c>
      <c r="C143" t="s">
        <v>43</v>
      </c>
      <c r="D143" t="s">
        <v>150</v>
      </c>
      <c r="E143" t="s">
        <v>389</v>
      </c>
      <c r="F143" t="s">
        <v>703</v>
      </c>
      <c r="G143" t="s">
        <v>938</v>
      </c>
      <c r="H143" t="s">
        <v>1104</v>
      </c>
      <c r="I143" t="s">
        <v>1234</v>
      </c>
      <c r="J143">
        <v>10034</v>
      </c>
      <c r="K143" t="s">
        <v>1237</v>
      </c>
      <c r="L143" t="s">
        <v>1236</v>
      </c>
      <c r="M143" t="s">
        <v>1240</v>
      </c>
      <c r="N143" t="s">
        <v>1258</v>
      </c>
      <c r="O143" t="s">
        <v>1275</v>
      </c>
      <c r="P143">
        <v>80.05</v>
      </c>
      <c r="T143">
        <v>0</v>
      </c>
    </row>
    <row r="144" spans="1:20">
      <c r="A144" s="1">
        <f>HYPERLINK("https://cms.ls-nyc.org/matter/dynamic-profile/view/1899749","19-1899749")</f>
        <v>0</v>
      </c>
      <c r="B144" t="s">
        <v>24</v>
      </c>
      <c r="C144" t="s">
        <v>43</v>
      </c>
      <c r="D144" t="s">
        <v>89</v>
      </c>
      <c r="E144" t="s">
        <v>390</v>
      </c>
      <c r="F144" t="s">
        <v>704</v>
      </c>
      <c r="G144" t="s">
        <v>946</v>
      </c>
      <c r="H144" t="s">
        <v>1160</v>
      </c>
      <c r="I144" t="s">
        <v>1234</v>
      </c>
      <c r="J144">
        <v>10034</v>
      </c>
      <c r="K144" t="s">
        <v>1237</v>
      </c>
      <c r="L144" t="s">
        <v>1236</v>
      </c>
      <c r="M144" t="s">
        <v>1242</v>
      </c>
      <c r="N144" t="s">
        <v>1261</v>
      </c>
      <c r="O144" t="s">
        <v>89</v>
      </c>
      <c r="P144">
        <v>80.06</v>
      </c>
      <c r="T144">
        <v>0.5</v>
      </c>
    </row>
    <row r="145" spans="1:20">
      <c r="A145" s="1">
        <f>HYPERLINK("https://cms.ls-nyc.org/matter/dynamic-profile/view/1900474","19-1900474")</f>
        <v>0</v>
      </c>
      <c r="B145" t="s">
        <v>22</v>
      </c>
      <c r="C145" t="s">
        <v>43</v>
      </c>
      <c r="D145" t="s">
        <v>151</v>
      </c>
      <c r="E145" t="s">
        <v>391</v>
      </c>
      <c r="F145" t="s">
        <v>604</v>
      </c>
      <c r="G145" t="s">
        <v>977</v>
      </c>
      <c r="H145" t="s">
        <v>1161</v>
      </c>
      <c r="I145" t="s">
        <v>1234</v>
      </c>
      <c r="J145">
        <v>10034</v>
      </c>
      <c r="K145" t="s">
        <v>1237</v>
      </c>
      <c r="L145" t="s">
        <v>1236</v>
      </c>
      <c r="N145" t="s">
        <v>1261</v>
      </c>
      <c r="O145" t="s">
        <v>151</v>
      </c>
      <c r="P145">
        <v>80.22</v>
      </c>
      <c r="T145">
        <v>3.2</v>
      </c>
    </row>
    <row r="146" spans="1:20">
      <c r="A146" s="1">
        <f>HYPERLINK("https://cms.ls-nyc.org/matter/dynamic-profile/view/1901270","19-1901270")</f>
        <v>0</v>
      </c>
      <c r="B146" t="s">
        <v>28</v>
      </c>
      <c r="C146" t="s">
        <v>43</v>
      </c>
      <c r="D146" t="s">
        <v>152</v>
      </c>
      <c r="E146" t="s">
        <v>392</v>
      </c>
      <c r="F146" t="s">
        <v>705</v>
      </c>
      <c r="G146" t="s">
        <v>940</v>
      </c>
      <c r="H146" t="s">
        <v>1122</v>
      </c>
      <c r="I146" t="s">
        <v>1234</v>
      </c>
      <c r="J146">
        <v>10034</v>
      </c>
      <c r="K146" t="s">
        <v>1236</v>
      </c>
      <c r="L146" t="s">
        <v>1236</v>
      </c>
      <c r="M146" t="s">
        <v>1241</v>
      </c>
      <c r="N146" t="s">
        <v>1260</v>
      </c>
      <c r="O146" t="s">
        <v>166</v>
      </c>
      <c r="P146">
        <v>80.7</v>
      </c>
      <c r="T146">
        <v>2.2</v>
      </c>
    </row>
    <row r="147" spans="1:20">
      <c r="A147" s="1">
        <f>HYPERLINK("https://cms.ls-nyc.org/matter/dynamic-profile/view/1888678","19-1888678")</f>
        <v>0</v>
      </c>
      <c r="B147" t="s">
        <v>22</v>
      </c>
      <c r="C147" t="s">
        <v>43</v>
      </c>
      <c r="D147" t="s">
        <v>153</v>
      </c>
      <c r="E147" t="s">
        <v>393</v>
      </c>
      <c r="F147" t="s">
        <v>706</v>
      </c>
      <c r="G147" t="s">
        <v>917</v>
      </c>
      <c r="H147">
        <v>43</v>
      </c>
      <c r="I147" t="s">
        <v>1234</v>
      </c>
      <c r="J147">
        <v>10034</v>
      </c>
      <c r="K147" t="s">
        <v>1237</v>
      </c>
      <c r="L147" t="s">
        <v>1237</v>
      </c>
      <c r="M147" t="s">
        <v>1240</v>
      </c>
      <c r="N147" t="s">
        <v>1258</v>
      </c>
      <c r="O147" t="s">
        <v>153</v>
      </c>
      <c r="P147">
        <v>80.78</v>
      </c>
      <c r="T147">
        <v>0.5</v>
      </c>
    </row>
    <row r="148" spans="1:20">
      <c r="A148" s="1">
        <f>HYPERLINK("https://cms.ls-nyc.org/matter/dynamic-profile/view/1863774","18-1863774")</f>
        <v>0</v>
      </c>
      <c r="B148" t="s">
        <v>25</v>
      </c>
      <c r="C148" t="s">
        <v>43</v>
      </c>
      <c r="D148" t="s">
        <v>64</v>
      </c>
      <c r="E148" t="s">
        <v>317</v>
      </c>
      <c r="F148" t="s">
        <v>598</v>
      </c>
      <c r="G148" t="s">
        <v>902</v>
      </c>
      <c r="H148" t="s">
        <v>1137</v>
      </c>
      <c r="I148" t="s">
        <v>1234</v>
      </c>
      <c r="J148">
        <v>10033</v>
      </c>
      <c r="K148" t="s">
        <v>1237</v>
      </c>
      <c r="L148" t="s">
        <v>1236</v>
      </c>
      <c r="M148" t="s">
        <v>1252</v>
      </c>
      <c r="N148" t="s">
        <v>1258</v>
      </c>
      <c r="O148" t="s">
        <v>64</v>
      </c>
      <c r="P148">
        <v>81.05</v>
      </c>
      <c r="Q148" t="s">
        <v>1301</v>
      </c>
      <c r="T148">
        <v>0</v>
      </c>
    </row>
    <row r="149" spans="1:20">
      <c r="A149" s="1">
        <f>HYPERLINK("https://cms.ls-nyc.org/matter/dynamic-profile/view/1863789","18-1863789")</f>
        <v>0</v>
      </c>
      <c r="B149" t="s">
        <v>25</v>
      </c>
      <c r="C149" t="s">
        <v>43</v>
      </c>
      <c r="D149" t="s">
        <v>64</v>
      </c>
      <c r="E149" t="s">
        <v>388</v>
      </c>
      <c r="F149" t="s">
        <v>706</v>
      </c>
      <c r="G149" t="s">
        <v>902</v>
      </c>
      <c r="H149" t="s">
        <v>1130</v>
      </c>
      <c r="I149" t="s">
        <v>1234</v>
      </c>
      <c r="J149">
        <v>10033</v>
      </c>
      <c r="K149" t="s">
        <v>1237</v>
      </c>
      <c r="L149" t="s">
        <v>1236</v>
      </c>
      <c r="M149" t="s">
        <v>1252</v>
      </c>
      <c r="N149" t="s">
        <v>1263</v>
      </c>
      <c r="O149" t="s">
        <v>64</v>
      </c>
      <c r="P149">
        <v>81.05</v>
      </c>
      <c r="Q149" t="s">
        <v>1301</v>
      </c>
      <c r="T149">
        <v>0</v>
      </c>
    </row>
    <row r="150" spans="1:20">
      <c r="A150" s="1">
        <f>HYPERLINK("https://cms.ls-nyc.org/matter/dynamic-profile/view/1860321","18-1860321")</f>
        <v>0</v>
      </c>
      <c r="B150" t="s">
        <v>25</v>
      </c>
      <c r="C150" t="s">
        <v>43</v>
      </c>
      <c r="D150" t="s">
        <v>132</v>
      </c>
      <c r="E150" t="s">
        <v>394</v>
      </c>
      <c r="F150" t="s">
        <v>604</v>
      </c>
      <c r="G150" t="s">
        <v>978</v>
      </c>
      <c r="H150">
        <v>16</v>
      </c>
      <c r="I150" t="s">
        <v>1234</v>
      </c>
      <c r="J150">
        <v>10032</v>
      </c>
      <c r="K150" t="s">
        <v>1237</v>
      </c>
      <c r="L150" t="s">
        <v>1236</v>
      </c>
      <c r="N150" t="s">
        <v>1258</v>
      </c>
      <c r="O150" t="s">
        <v>132</v>
      </c>
      <c r="P150">
        <v>81.31</v>
      </c>
      <c r="T150">
        <v>17</v>
      </c>
    </row>
    <row r="151" spans="1:20">
      <c r="A151" s="1">
        <f>HYPERLINK("https://cms.ls-nyc.org/matter/dynamic-profile/view/0793777","15-0793777")</f>
        <v>0</v>
      </c>
      <c r="B151" t="s">
        <v>25</v>
      </c>
      <c r="C151" t="s">
        <v>43</v>
      </c>
      <c r="D151" t="s">
        <v>154</v>
      </c>
      <c r="E151" t="s">
        <v>395</v>
      </c>
      <c r="F151" t="s">
        <v>645</v>
      </c>
      <c r="G151" t="s">
        <v>979</v>
      </c>
      <c r="H151" t="s">
        <v>1162</v>
      </c>
      <c r="I151" t="s">
        <v>1234</v>
      </c>
      <c r="J151">
        <v>10034</v>
      </c>
      <c r="K151" t="s">
        <v>1236</v>
      </c>
      <c r="L151" t="s">
        <v>1236</v>
      </c>
      <c r="M151" t="s">
        <v>1241</v>
      </c>
      <c r="N151" t="s">
        <v>1261</v>
      </c>
      <c r="P151">
        <v>81.56</v>
      </c>
      <c r="T151">
        <v>0.75</v>
      </c>
    </row>
    <row r="152" spans="1:20">
      <c r="A152" s="1">
        <f>HYPERLINK("https://cms.ls-nyc.org/matter/dynamic-profile/view/1835019","17-1835019")</f>
        <v>0</v>
      </c>
      <c r="B152" t="s">
        <v>25</v>
      </c>
      <c r="C152" t="s">
        <v>43</v>
      </c>
      <c r="D152" t="s">
        <v>155</v>
      </c>
      <c r="E152" t="s">
        <v>317</v>
      </c>
      <c r="F152" t="s">
        <v>598</v>
      </c>
      <c r="G152" t="s">
        <v>902</v>
      </c>
      <c r="H152" t="s">
        <v>1137</v>
      </c>
      <c r="I152" t="s">
        <v>1234</v>
      </c>
      <c r="J152">
        <v>10033</v>
      </c>
      <c r="K152" t="s">
        <v>1237</v>
      </c>
      <c r="L152" t="s">
        <v>1236</v>
      </c>
      <c r="M152" t="s">
        <v>1252</v>
      </c>
      <c r="N152" t="s">
        <v>1259</v>
      </c>
      <c r="O152" t="s">
        <v>207</v>
      </c>
      <c r="P152">
        <v>81.59</v>
      </c>
      <c r="Q152" t="s">
        <v>1301</v>
      </c>
      <c r="T152">
        <v>0</v>
      </c>
    </row>
    <row r="153" spans="1:20">
      <c r="A153" s="1">
        <f>HYPERLINK("https://cms.ls-nyc.org/matter/dynamic-profile/view/1834655","17-1834655")</f>
        <v>0</v>
      </c>
      <c r="B153" t="s">
        <v>25</v>
      </c>
      <c r="C153" t="s">
        <v>43</v>
      </c>
      <c r="D153" t="s">
        <v>102</v>
      </c>
      <c r="E153" t="s">
        <v>388</v>
      </c>
      <c r="F153" t="s">
        <v>706</v>
      </c>
      <c r="G153" t="s">
        <v>902</v>
      </c>
      <c r="H153" t="s">
        <v>1130</v>
      </c>
      <c r="I153" t="s">
        <v>1234</v>
      </c>
      <c r="J153">
        <v>10033</v>
      </c>
      <c r="K153" t="s">
        <v>1237</v>
      </c>
      <c r="L153" t="s">
        <v>1236</v>
      </c>
      <c r="M153" t="s">
        <v>1241</v>
      </c>
      <c r="N153" t="s">
        <v>1259</v>
      </c>
      <c r="O153" t="s">
        <v>155</v>
      </c>
      <c r="P153">
        <v>81.59</v>
      </c>
      <c r="Q153" t="s">
        <v>1301</v>
      </c>
      <c r="T153">
        <v>0</v>
      </c>
    </row>
    <row r="154" spans="1:20">
      <c r="A154" s="1">
        <f>HYPERLINK("https://cms.ls-nyc.org/matter/dynamic-profile/view/1893170","19-1893170")</f>
        <v>0</v>
      </c>
      <c r="B154" t="s">
        <v>24</v>
      </c>
      <c r="C154" t="s">
        <v>43</v>
      </c>
      <c r="D154" t="s">
        <v>83</v>
      </c>
      <c r="E154" t="s">
        <v>396</v>
      </c>
      <c r="F154" t="s">
        <v>707</v>
      </c>
      <c r="G154" t="s">
        <v>980</v>
      </c>
      <c r="H154" t="s">
        <v>1117</v>
      </c>
      <c r="I154" t="s">
        <v>1234</v>
      </c>
      <c r="J154">
        <v>10033</v>
      </c>
      <c r="K154" t="s">
        <v>1237</v>
      </c>
      <c r="L154" t="s">
        <v>1237</v>
      </c>
      <c r="N154" t="s">
        <v>1258</v>
      </c>
      <c r="O154" t="s">
        <v>83</v>
      </c>
      <c r="P154">
        <v>81.76000000000001</v>
      </c>
      <c r="T154">
        <v>43.5</v>
      </c>
    </row>
    <row r="155" spans="1:20">
      <c r="A155" s="1">
        <f>HYPERLINK("https://cms.ls-nyc.org/matter/dynamic-profile/view/1899751","19-1899751")</f>
        <v>0</v>
      </c>
      <c r="B155" t="s">
        <v>24</v>
      </c>
      <c r="C155" t="s">
        <v>43</v>
      </c>
      <c r="D155" t="s">
        <v>89</v>
      </c>
      <c r="E155" t="s">
        <v>287</v>
      </c>
      <c r="F155" t="s">
        <v>708</v>
      </c>
      <c r="G155" t="s">
        <v>959</v>
      </c>
      <c r="H155" t="s">
        <v>1163</v>
      </c>
      <c r="I155" t="s">
        <v>1234</v>
      </c>
      <c r="J155">
        <v>10034</v>
      </c>
      <c r="K155" t="s">
        <v>1237</v>
      </c>
      <c r="L155" t="s">
        <v>1236</v>
      </c>
      <c r="M155" t="s">
        <v>1242</v>
      </c>
      <c r="N155" t="s">
        <v>1261</v>
      </c>
      <c r="O155" t="s">
        <v>89</v>
      </c>
      <c r="P155">
        <v>82.23999999999999</v>
      </c>
      <c r="T155">
        <v>0</v>
      </c>
    </row>
    <row r="156" spans="1:20">
      <c r="A156" s="1">
        <f>HYPERLINK("https://cms.ls-nyc.org/matter/dynamic-profile/view/0821680","16-0821680")</f>
        <v>0</v>
      </c>
      <c r="B156" t="s">
        <v>29</v>
      </c>
      <c r="C156" t="s">
        <v>43</v>
      </c>
      <c r="D156" t="s">
        <v>156</v>
      </c>
      <c r="E156" t="s">
        <v>397</v>
      </c>
      <c r="F156" t="s">
        <v>709</v>
      </c>
      <c r="G156" t="s">
        <v>981</v>
      </c>
      <c r="H156">
        <v>44</v>
      </c>
      <c r="I156" t="s">
        <v>1234</v>
      </c>
      <c r="J156">
        <v>10033</v>
      </c>
      <c r="K156" t="s">
        <v>1237</v>
      </c>
      <c r="L156" t="s">
        <v>1236</v>
      </c>
      <c r="M156" t="s">
        <v>1252</v>
      </c>
      <c r="N156" t="s">
        <v>1260</v>
      </c>
      <c r="O156" t="s">
        <v>1276</v>
      </c>
      <c r="P156">
        <v>82.28</v>
      </c>
      <c r="Q156" t="s">
        <v>273</v>
      </c>
      <c r="T156">
        <v>28.41</v>
      </c>
    </row>
    <row r="157" spans="1:20">
      <c r="A157" s="1">
        <f>HYPERLINK("https://cms.ls-nyc.org/matter/dynamic-profile/view/1882024","18-1882024")</f>
        <v>0</v>
      </c>
      <c r="B157" t="s">
        <v>22</v>
      </c>
      <c r="C157" t="s">
        <v>43</v>
      </c>
      <c r="D157" t="s">
        <v>157</v>
      </c>
      <c r="E157" t="s">
        <v>398</v>
      </c>
      <c r="F157" t="s">
        <v>710</v>
      </c>
      <c r="G157" t="s">
        <v>944</v>
      </c>
      <c r="H157">
        <v>35</v>
      </c>
      <c r="I157" t="s">
        <v>1234</v>
      </c>
      <c r="J157">
        <v>10034</v>
      </c>
      <c r="K157" t="s">
        <v>1237</v>
      </c>
      <c r="L157" t="s">
        <v>1237</v>
      </c>
      <c r="M157" t="s">
        <v>1240</v>
      </c>
      <c r="N157" t="s">
        <v>1258</v>
      </c>
      <c r="O157" t="s">
        <v>87</v>
      </c>
      <c r="P157">
        <v>82.31</v>
      </c>
      <c r="T157">
        <v>33.6</v>
      </c>
    </row>
    <row r="158" spans="1:20">
      <c r="A158" s="1">
        <f>HYPERLINK("https://cms.ls-nyc.org/matter/dynamic-profile/view/1882020","18-1882020")</f>
        <v>0</v>
      </c>
      <c r="B158" t="s">
        <v>22</v>
      </c>
      <c r="C158" t="s">
        <v>43</v>
      </c>
      <c r="D158" t="s">
        <v>157</v>
      </c>
      <c r="E158" t="s">
        <v>398</v>
      </c>
      <c r="F158" t="s">
        <v>710</v>
      </c>
      <c r="G158" t="s">
        <v>944</v>
      </c>
      <c r="H158">
        <v>35</v>
      </c>
      <c r="I158" t="s">
        <v>1234</v>
      </c>
      <c r="J158">
        <v>10034</v>
      </c>
      <c r="K158" t="s">
        <v>1237</v>
      </c>
      <c r="L158" t="s">
        <v>1237</v>
      </c>
      <c r="M158" t="s">
        <v>1253</v>
      </c>
      <c r="N158" t="s">
        <v>1259</v>
      </c>
      <c r="O158" t="s">
        <v>87</v>
      </c>
      <c r="P158">
        <v>82.31</v>
      </c>
      <c r="T158">
        <v>7.3</v>
      </c>
    </row>
    <row r="159" spans="1:20">
      <c r="A159" s="1">
        <f>HYPERLINK("https://cms.ls-nyc.org/matter/dynamic-profile/view/1891381","19-1891381")</f>
        <v>0</v>
      </c>
      <c r="B159" t="s">
        <v>22</v>
      </c>
      <c r="C159" t="s">
        <v>43</v>
      </c>
      <c r="D159" t="s">
        <v>158</v>
      </c>
      <c r="E159" t="s">
        <v>399</v>
      </c>
      <c r="F159" t="s">
        <v>711</v>
      </c>
      <c r="G159" t="s">
        <v>982</v>
      </c>
      <c r="H159" t="s">
        <v>1164</v>
      </c>
      <c r="I159" t="s">
        <v>1234</v>
      </c>
      <c r="J159">
        <v>10034</v>
      </c>
      <c r="K159" t="s">
        <v>1237</v>
      </c>
      <c r="L159" t="s">
        <v>1237</v>
      </c>
      <c r="M159" t="s">
        <v>1245</v>
      </c>
      <c r="N159" t="s">
        <v>1260</v>
      </c>
      <c r="O159" t="s">
        <v>158</v>
      </c>
      <c r="P159">
        <v>82.31999999999999</v>
      </c>
      <c r="T159">
        <v>10</v>
      </c>
    </row>
    <row r="160" spans="1:20">
      <c r="A160" s="1">
        <f>HYPERLINK("https://cms.ls-nyc.org/matter/dynamic-profile/view/1872583","18-1872583")</f>
        <v>0</v>
      </c>
      <c r="B160" t="s">
        <v>32</v>
      </c>
      <c r="C160" t="s">
        <v>43</v>
      </c>
      <c r="D160" t="s">
        <v>159</v>
      </c>
      <c r="E160" t="s">
        <v>400</v>
      </c>
      <c r="F160" t="s">
        <v>712</v>
      </c>
      <c r="G160" t="s">
        <v>983</v>
      </c>
      <c r="H160" t="s">
        <v>1154</v>
      </c>
      <c r="I160" t="s">
        <v>1234</v>
      </c>
      <c r="J160">
        <v>10032</v>
      </c>
      <c r="K160" t="s">
        <v>1237</v>
      </c>
      <c r="L160" t="s">
        <v>1237</v>
      </c>
      <c r="M160" t="s">
        <v>1248</v>
      </c>
      <c r="N160" t="s">
        <v>1259</v>
      </c>
      <c r="O160" t="s">
        <v>159</v>
      </c>
      <c r="P160">
        <v>82.37</v>
      </c>
      <c r="T160">
        <v>15</v>
      </c>
    </row>
    <row r="161" spans="1:20">
      <c r="A161" s="1">
        <f>HYPERLINK("https://cms.ls-nyc.org/matter/dynamic-profile/view/1835605","17-1835605")</f>
        <v>0</v>
      </c>
      <c r="B161" t="s">
        <v>22</v>
      </c>
      <c r="C161" t="s">
        <v>43</v>
      </c>
      <c r="D161" t="s">
        <v>47</v>
      </c>
      <c r="E161" t="s">
        <v>287</v>
      </c>
      <c r="F161" t="s">
        <v>598</v>
      </c>
      <c r="G161" t="s">
        <v>897</v>
      </c>
      <c r="H161">
        <v>33</v>
      </c>
      <c r="I161" t="s">
        <v>1234</v>
      </c>
      <c r="J161">
        <v>10034</v>
      </c>
      <c r="K161" t="s">
        <v>1237</v>
      </c>
      <c r="L161" t="s">
        <v>1236</v>
      </c>
      <c r="M161" t="s">
        <v>1242</v>
      </c>
      <c r="N161" t="s">
        <v>1258</v>
      </c>
      <c r="O161" t="s">
        <v>179</v>
      </c>
      <c r="P161">
        <v>82.38</v>
      </c>
      <c r="T161">
        <v>53.1</v>
      </c>
    </row>
    <row r="162" spans="1:20">
      <c r="A162" s="1">
        <f>HYPERLINK("https://cms.ls-nyc.org/matter/dynamic-profile/view/1892375","19-1892375")</f>
        <v>0</v>
      </c>
      <c r="B162" t="s">
        <v>28</v>
      </c>
      <c r="C162" t="s">
        <v>43</v>
      </c>
      <c r="D162" t="s">
        <v>160</v>
      </c>
      <c r="E162" t="s">
        <v>401</v>
      </c>
      <c r="F162" t="s">
        <v>713</v>
      </c>
      <c r="G162" t="s">
        <v>984</v>
      </c>
      <c r="H162" t="s">
        <v>1127</v>
      </c>
      <c r="I162" t="s">
        <v>1234</v>
      </c>
      <c r="J162">
        <v>10033</v>
      </c>
      <c r="K162" t="s">
        <v>1237</v>
      </c>
      <c r="L162" t="s">
        <v>1237</v>
      </c>
      <c r="N162" t="s">
        <v>1258</v>
      </c>
      <c r="O162" t="s">
        <v>160</v>
      </c>
      <c r="P162">
        <v>82.43000000000001</v>
      </c>
      <c r="T162">
        <v>35.4</v>
      </c>
    </row>
    <row r="163" spans="1:20">
      <c r="A163" s="1">
        <f>HYPERLINK("https://cms.ls-nyc.org/matter/dynamic-profile/view/1895763","19-1895763")</f>
        <v>0</v>
      </c>
      <c r="B163" t="s">
        <v>24</v>
      </c>
      <c r="C163" t="s">
        <v>43</v>
      </c>
      <c r="D163" t="s">
        <v>161</v>
      </c>
      <c r="E163" t="s">
        <v>402</v>
      </c>
      <c r="F163" t="s">
        <v>703</v>
      </c>
      <c r="G163" t="s">
        <v>985</v>
      </c>
      <c r="H163" t="s">
        <v>1165</v>
      </c>
      <c r="I163" t="s">
        <v>1234</v>
      </c>
      <c r="J163">
        <v>10034</v>
      </c>
      <c r="K163" t="s">
        <v>1237</v>
      </c>
      <c r="L163" t="s">
        <v>1237</v>
      </c>
      <c r="M163" t="s">
        <v>1241</v>
      </c>
      <c r="N163" t="s">
        <v>1262</v>
      </c>
      <c r="O163" t="s">
        <v>75</v>
      </c>
      <c r="P163">
        <v>82.73</v>
      </c>
      <c r="T163">
        <v>2</v>
      </c>
    </row>
    <row r="164" spans="1:20">
      <c r="A164" s="1">
        <f>HYPERLINK("https://cms.ls-nyc.org/matter/dynamic-profile/view/1851038","17-1851038")</f>
        <v>0</v>
      </c>
      <c r="B164" t="s">
        <v>22</v>
      </c>
      <c r="C164" t="s">
        <v>43</v>
      </c>
      <c r="D164" t="s">
        <v>162</v>
      </c>
      <c r="E164" t="s">
        <v>398</v>
      </c>
      <c r="F164" t="s">
        <v>710</v>
      </c>
      <c r="G164" t="s">
        <v>944</v>
      </c>
      <c r="H164">
        <v>35</v>
      </c>
      <c r="I164" t="s">
        <v>1234</v>
      </c>
      <c r="J164">
        <v>10034</v>
      </c>
      <c r="K164" t="s">
        <v>1237</v>
      </c>
      <c r="L164" t="s">
        <v>1237</v>
      </c>
      <c r="M164" t="s">
        <v>1242</v>
      </c>
      <c r="N164" t="s">
        <v>1258</v>
      </c>
      <c r="O164" t="s">
        <v>162</v>
      </c>
      <c r="P164">
        <v>82.86</v>
      </c>
      <c r="R164" t="s">
        <v>1309</v>
      </c>
      <c r="S164" t="s">
        <v>1311</v>
      </c>
      <c r="T164">
        <v>52</v>
      </c>
    </row>
    <row r="165" spans="1:20">
      <c r="A165" s="1">
        <f>HYPERLINK("https://cms.ls-nyc.org/matter/dynamic-profile/view/1888054","19-1888054")</f>
        <v>0</v>
      </c>
      <c r="B165" t="s">
        <v>25</v>
      </c>
      <c r="C165" t="s">
        <v>43</v>
      </c>
      <c r="D165" t="s">
        <v>99</v>
      </c>
      <c r="E165" t="s">
        <v>403</v>
      </c>
      <c r="F165" t="s">
        <v>714</v>
      </c>
      <c r="G165" t="s">
        <v>895</v>
      </c>
      <c r="H165" t="s">
        <v>1166</v>
      </c>
      <c r="I165" t="s">
        <v>1234</v>
      </c>
      <c r="J165">
        <v>10034</v>
      </c>
      <c r="K165" t="s">
        <v>1237</v>
      </c>
      <c r="L165" t="s">
        <v>1237</v>
      </c>
      <c r="M165" t="s">
        <v>1244</v>
      </c>
      <c r="N165" t="s">
        <v>1261</v>
      </c>
      <c r="O165" t="s">
        <v>99</v>
      </c>
      <c r="P165">
        <v>83.03</v>
      </c>
      <c r="T165">
        <v>0.1</v>
      </c>
    </row>
    <row r="166" spans="1:20">
      <c r="A166" s="1">
        <f>HYPERLINK("https://cms.ls-nyc.org/matter/dynamic-profile/view/1863014","18-1863014")</f>
        <v>0</v>
      </c>
      <c r="B166" t="s">
        <v>24</v>
      </c>
      <c r="C166" t="s">
        <v>43</v>
      </c>
      <c r="D166" t="s">
        <v>141</v>
      </c>
      <c r="E166" t="s">
        <v>357</v>
      </c>
      <c r="F166" t="s">
        <v>715</v>
      </c>
      <c r="G166" t="s">
        <v>895</v>
      </c>
      <c r="H166" t="s">
        <v>1126</v>
      </c>
      <c r="I166" t="s">
        <v>1234</v>
      </c>
      <c r="J166">
        <v>10034</v>
      </c>
      <c r="K166" t="s">
        <v>1237</v>
      </c>
      <c r="L166" t="s">
        <v>1236</v>
      </c>
      <c r="M166" t="s">
        <v>1240</v>
      </c>
      <c r="N166" t="s">
        <v>1258</v>
      </c>
      <c r="O166" t="s">
        <v>141</v>
      </c>
      <c r="P166">
        <v>83.23</v>
      </c>
      <c r="T166">
        <v>0</v>
      </c>
    </row>
    <row r="167" spans="1:20">
      <c r="A167" s="1">
        <f>HYPERLINK("https://cms.ls-nyc.org/matter/dynamic-profile/view/0828133","17-0828133")</f>
        <v>0</v>
      </c>
      <c r="B167" t="s">
        <v>29</v>
      </c>
      <c r="C167" t="s">
        <v>43</v>
      </c>
      <c r="D167" t="s">
        <v>163</v>
      </c>
      <c r="E167" t="s">
        <v>404</v>
      </c>
      <c r="F167" t="s">
        <v>716</v>
      </c>
      <c r="G167" t="s">
        <v>986</v>
      </c>
      <c r="H167" t="s">
        <v>1167</v>
      </c>
      <c r="I167" t="s">
        <v>1234</v>
      </c>
      <c r="J167">
        <v>10034</v>
      </c>
      <c r="K167" t="s">
        <v>1237</v>
      </c>
      <c r="L167" t="s">
        <v>1236</v>
      </c>
      <c r="M167" t="s">
        <v>1239</v>
      </c>
      <c r="N167" t="s">
        <v>1258</v>
      </c>
      <c r="O167" t="s">
        <v>1277</v>
      </c>
      <c r="P167">
        <v>83.58</v>
      </c>
      <c r="T167">
        <v>179.56</v>
      </c>
    </row>
    <row r="168" spans="1:20">
      <c r="A168" s="1">
        <f>HYPERLINK("https://cms.ls-nyc.org/matter/dynamic-profile/view/1850542","17-1850542")</f>
        <v>0</v>
      </c>
      <c r="B168" t="s">
        <v>22</v>
      </c>
      <c r="C168" t="s">
        <v>43</v>
      </c>
      <c r="D168" t="s">
        <v>164</v>
      </c>
      <c r="E168" t="s">
        <v>405</v>
      </c>
      <c r="F168" t="s">
        <v>685</v>
      </c>
      <c r="G168" t="s">
        <v>967</v>
      </c>
      <c r="H168">
        <v>23</v>
      </c>
      <c r="I168" t="s">
        <v>1234</v>
      </c>
      <c r="J168">
        <v>10034</v>
      </c>
      <c r="K168" t="s">
        <v>1237</v>
      </c>
      <c r="L168" t="s">
        <v>1236</v>
      </c>
      <c r="M168" t="s">
        <v>1240</v>
      </c>
      <c r="N168" t="s">
        <v>1262</v>
      </c>
      <c r="O168" t="s">
        <v>164</v>
      </c>
      <c r="P168">
        <v>83.58</v>
      </c>
      <c r="T168">
        <v>1.5</v>
      </c>
    </row>
    <row r="169" spans="1:20">
      <c r="A169" s="1">
        <f>HYPERLINK("https://cms.ls-nyc.org/matter/dynamic-profile/view/1902350","19-1902350")</f>
        <v>0</v>
      </c>
      <c r="B169" t="s">
        <v>26</v>
      </c>
      <c r="C169" t="s">
        <v>43</v>
      </c>
      <c r="D169" t="s">
        <v>55</v>
      </c>
      <c r="E169" t="s">
        <v>406</v>
      </c>
      <c r="F169" t="s">
        <v>685</v>
      </c>
      <c r="G169" t="s">
        <v>928</v>
      </c>
      <c r="H169" t="s">
        <v>1139</v>
      </c>
      <c r="I169" t="s">
        <v>1234</v>
      </c>
      <c r="J169">
        <v>10034</v>
      </c>
      <c r="K169" t="s">
        <v>1237</v>
      </c>
      <c r="L169" t="s">
        <v>1236</v>
      </c>
      <c r="N169" t="s">
        <v>1261</v>
      </c>
      <c r="O169" t="s">
        <v>55</v>
      </c>
      <c r="P169">
        <v>83.81</v>
      </c>
      <c r="T169">
        <v>1</v>
      </c>
    </row>
    <row r="170" spans="1:20">
      <c r="A170" s="1">
        <f>HYPERLINK("https://cms.ls-nyc.org/matter/dynamic-profile/view/1901238","19-1901238")</f>
        <v>0</v>
      </c>
      <c r="B170" t="s">
        <v>28</v>
      </c>
      <c r="C170" t="s">
        <v>43</v>
      </c>
      <c r="D170" t="s">
        <v>152</v>
      </c>
      <c r="E170" t="s">
        <v>407</v>
      </c>
      <c r="F170" t="s">
        <v>638</v>
      </c>
      <c r="G170" t="s">
        <v>987</v>
      </c>
      <c r="H170">
        <v>35</v>
      </c>
      <c r="I170" t="s">
        <v>1234</v>
      </c>
      <c r="J170">
        <v>10032</v>
      </c>
      <c r="K170" t="s">
        <v>1237</v>
      </c>
      <c r="L170" t="s">
        <v>1236</v>
      </c>
      <c r="M170" t="s">
        <v>1244</v>
      </c>
      <c r="N170" t="s">
        <v>1260</v>
      </c>
      <c r="O170" t="s">
        <v>152</v>
      </c>
      <c r="P170">
        <v>83.83</v>
      </c>
      <c r="T170">
        <v>1.38</v>
      </c>
    </row>
    <row r="171" spans="1:20">
      <c r="A171" s="1">
        <f>HYPERLINK("https://cms.ls-nyc.org/matter/dynamic-profile/view/0822955","16-0822955")</f>
        <v>0</v>
      </c>
      <c r="B171" t="s">
        <v>28</v>
      </c>
      <c r="C171" t="s">
        <v>43</v>
      </c>
      <c r="D171" t="s">
        <v>165</v>
      </c>
      <c r="E171" t="s">
        <v>317</v>
      </c>
      <c r="F171" t="s">
        <v>697</v>
      </c>
      <c r="G171" t="s">
        <v>910</v>
      </c>
      <c r="H171">
        <v>66</v>
      </c>
      <c r="I171" t="s">
        <v>1234</v>
      </c>
      <c r="J171">
        <v>10032</v>
      </c>
      <c r="K171" t="s">
        <v>1238</v>
      </c>
      <c r="L171" t="s">
        <v>1236</v>
      </c>
      <c r="M171" t="s">
        <v>1240</v>
      </c>
      <c r="N171" t="s">
        <v>1258</v>
      </c>
      <c r="O171" t="s">
        <v>72</v>
      </c>
      <c r="P171">
        <v>84.29000000000001</v>
      </c>
      <c r="Q171" t="s">
        <v>1302</v>
      </c>
      <c r="T171">
        <v>8.050000000000001</v>
      </c>
    </row>
    <row r="172" spans="1:20">
      <c r="A172" s="1">
        <f>HYPERLINK("https://cms.ls-nyc.org/matter/dynamic-profile/view/1896446","19-1896446")</f>
        <v>0</v>
      </c>
      <c r="B172" t="s">
        <v>22</v>
      </c>
      <c r="C172" t="s">
        <v>43</v>
      </c>
      <c r="D172" t="s">
        <v>113</v>
      </c>
      <c r="E172" t="s">
        <v>317</v>
      </c>
      <c r="F172" t="s">
        <v>717</v>
      </c>
      <c r="G172" t="s">
        <v>988</v>
      </c>
      <c r="H172" t="s">
        <v>1165</v>
      </c>
      <c r="I172" t="s">
        <v>1234</v>
      </c>
      <c r="J172">
        <v>10034</v>
      </c>
      <c r="K172" t="s">
        <v>1236</v>
      </c>
      <c r="L172" t="s">
        <v>1236</v>
      </c>
      <c r="M172" t="s">
        <v>1242</v>
      </c>
      <c r="N172" t="s">
        <v>1260</v>
      </c>
      <c r="P172">
        <v>84.55</v>
      </c>
      <c r="T172">
        <v>1</v>
      </c>
    </row>
    <row r="173" spans="1:20">
      <c r="A173" s="1">
        <f>HYPERLINK("https://cms.ls-nyc.org/matter/dynamic-profile/view/1863069","18-1863069")</f>
        <v>0</v>
      </c>
      <c r="B173" t="s">
        <v>24</v>
      </c>
      <c r="C173" t="s">
        <v>43</v>
      </c>
      <c r="D173" t="s">
        <v>141</v>
      </c>
      <c r="E173" t="s">
        <v>408</v>
      </c>
      <c r="F173" t="s">
        <v>718</v>
      </c>
      <c r="G173" t="s">
        <v>895</v>
      </c>
      <c r="H173" t="s">
        <v>1168</v>
      </c>
      <c r="I173" t="s">
        <v>1234</v>
      </c>
      <c r="J173">
        <v>10034</v>
      </c>
      <c r="K173" t="s">
        <v>1237</v>
      </c>
      <c r="L173" t="s">
        <v>1236</v>
      </c>
      <c r="M173" t="s">
        <v>1240</v>
      </c>
      <c r="N173" t="s">
        <v>1258</v>
      </c>
      <c r="O173" t="s">
        <v>141</v>
      </c>
      <c r="P173">
        <v>84.70999999999999</v>
      </c>
      <c r="T173">
        <v>0</v>
      </c>
    </row>
    <row r="174" spans="1:20">
      <c r="A174" s="1">
        <f>HYPERLINK("https://cms.ls-nyc.org/matter/dynamic-profile/view/1856072","18-1856072")</f>
        <v>0</v>
      </c>
      <c r="B174" t="s">
        <v>28</v>
      </c>
      <c r="C174" t="s">
        <v>43</v>
      </c>
      <c r="D174" t="s">
        <v>166</v>
      </c>
      <c r="E174" t="s">
        <v>409</v>
      </c>
      <c r="F174" t="s">
        <v>421</v>
      </c>
      <c r="G174" t="s">
        <v>940</v>
      </c>
      <c r="H174" t="s">
        <v>1169</v>
      </c>
      <c r="I174" t="s">
        <v>1234</v>
      </c>
      <c r="J174">
        <v>10034</v>
      </c>
      <c r="K174" t="s">
        <v>1237</v>
      </c>
      <c r="L174" t="s">
        <v>1236</v>
      </c>
      <c r="M174" t="s">
        <v>1240</v>
      </c>
      <c r="N174" t="s">
        <v>1258</v>
      </c>
      <c r="O174" t="s">
        <v>166</v>
      </c>
      <c r="P174">
        <v>85.13</v>
      </c>
      <c r="T174">
        <v>0.25</v>
      </c>
    </row>
    <row r="175" spans="1:20">
      <c r="A175" s="1">
        <f>HYPERLINK("https://cms.ls-nyc.org/matter/dynamic-profile/view/0827345","17-0827345")</f>
        <v>0</v>
      </c>
      <c r="B175" t="s">
        <v>25</v>
      </c>
      <c r="C175" t="s">
        <v>43</v>
      </c>
      <c r="D175" t="s">
        <v>150</v>
      </c>
      <c r="E175" t="s">
        <v>340</v>
      </c>
      <c r="F175" t="s">
        <v>719</v>
      </c>
      <c r="G175" t="s">
        <v>938</v>
      </c>
      <c r="H175" t="s">
        <v>1170</v>
      </c>
      <c r="I175" t="s">
        <v>1234</v>
      </c>
      <c r="J175">
        <v>10034</v>
      </c>
      <c r="K175" t="s">
        <v>1237</v>
      </c>
      <c r="L175" t="s">
        <v>1236</v>
      </c>
      <c r="M175" t="s">
        <v>1240</v>
      </c>
      <c r="N175" t="s">
        <v>1258</v>
      </c>
      <c r="O175" t="s">
        <v>1275</v>
      </c>
      <c r="P175">
        <v>85.56999999999999</v>
      </c>
      <c r="T175">
        <v>0</v>
      </c>
    </row>
    <row r="176" spans="1:20">
      <c r="A176" s="1">
        <f>HYPERLINK("https://cms.ls-nyc.org/matter/dynamic-profile/view/1902208","19-1902208")</f>
        <v>0</v>
      </c>
      <c r="B176" t="s">
        <v>23</v>
      </c>
      <c r="C176" t="s">
        <v>43</v>
      </c>
      <c r="D176" t="s">
        <v>167</v>
      </c>
      <c r="E176" t="s">
        <v>410</v>
      </c>
      <c r="F176" t="s">
        <v>720</v>
      </c>
      <c r="G176" t="s">
        <v>903</v>
      </c>
      <c r="H176" t="s">
        <v>1171</v>
      </c>
      <c r="I176" t="s">
        <v>1234</v>
      </c>
      <c r="J176">
        <v>10033</v>
      </c>
      <c r="K176" t="s">
        <v>1237</v>
      </c>
      <c r="L176" t="s">
        <v>1236</v>
      </c>
      <c r="M176" t="s">
        <v>1245</v>
      </c>
      <c r="N176" t="s">
        <v>1260</v>
      </c>
      <c r="O176" t="s">
        <v>167</v>
      </c>
      <c r="P176">
        <v>85.58</v>
      </c>
      <c r="T176">
        <v>0</v>
      </c>
    </row>
    <row r="177" spans="1:20">
      <c r="A177" s="1">
        <f>HYPERLINK("https://cms.ls-nyc.org/matter/dynamic-profile/view/1858470","18-1858470")</f>
        <v>0</v>
      </c>
      <c r="B177" t="s">
        <v>20</v>
      </c>
      <c r="C177" t="s">
        <v>43</v>
      </c>
      <c r="D177" t="s">
        <v>168</v>
      </c>
      <c r="E177" t="s">
        <v>411</v>
      </c>
      <c r="F177" t="s">
        <v>709</v>
      </c>
      <c r="G177" t="s">
        <v>989</v>
      </c>
      <c r="H177">
        <v>32</v>
      </c>
      <c r="I177" t="s">
        <v>1234</v>
      </c>
      <c r="J177">
        <v>10034</v>
      </c>
      <c r="K177" t="s">
        <v>1237</v>
      </c>
      <c r="L177" t="s">
        <v>1236</v>
      </c>
      <c r="N177" t="s">
        <v>1262</v>
      </c>
      <c r="O177" t="s">
        <v>168</v>
      </c>
      <c r="P177">
        <v>85.67</v>
      </c>
      <c r="T177">
        <v>0</v>
      </c>
    </row>
    <row r="178" spans="1:20">
      <c r="A178" s="1">
        <f>HYPERLINK("https://cms.ls-nyc.org/matter/dynamic-profile/view/1873798","18-1873798")</f>
        <v>0</v>
      </c>
      <c r="B178" t="s">
        <v>23</v>
      </c>
      <c r="C178" t="s">
        <v>43</v>
      </c>
      <c r="D178" t="s">
        <v>91</v>
      </c>
      <c r="E178" t="s">
        <v>412</v>
      </c>
      <c r="F178" t="s">
        <v>721</v>
      </c>
      <c r="G178" t="s">
        <v>903</v>
      </c>
      <c r="H178" t="s">
        <v>1172</v>
      </c>
      <c r="I178" t="s">
        <v>1234</v>
      </c>
      <c r="J178">
        <v>10033</v>
      </c>
      <c r="K178" t="s">
        <v>1237</v>
      </c>
      <c r="L178" t="s">
        <v>1237</v>
      </c>
      <c r="M178" t="s">
        <v>1240</v>
      </c>
      <c r="N178" t="s">
        <v>1260</v>
      </c>
      <c r="O178" t="s">
        <v>91</v>
      </c>
      <c r="P178">
        <v>85.67</v>
      </c>
      <c r="T178">
        <v>0.8</v>
      </c>
    </row>
    <row r="179" spans="1:20">
      <c r="A179" s="1">
        <f>HYPERLINK("https://cms.ls-nyc.org/matter/dynamic-profile/view/1898899","19-1898899")</f>
        <v>0</v>
      </c>
      <c r="B179" t="s">
        <v>26</v>
      </c>
      <c r="C179" t="s">
        <v>43</v>
      </c>
      <c r="D179" t="s">
        <v>81</v>
      </c>
      <c r="E179" t="s">
        <v>413</v>
      </c>
      <c r="F179" t="s">
        <v>630</v>
      </c>
      <c r="G179" t="s">
        <v>990</v>
      </c>
      <c r="H179">
        <v>32</v>
      </c>
      <c r="I179" t="s">
        <v>1234</v>
      </c>
      <c r="J179">
        <v>10034</v>
      </c>
      <c r="K179" t="s">
        <v>1237</v>
      </c>
      <c r="L179" t="s">
        <v>1237</v>
      </c>
      <c r="N179" t="s">
        <v>1261</v>
      </c>
      <c r="O179" t="s">
        <v>81</v>
      </c>
      <c r="P179">
        <v>86.47</v>
      </c>
      <c r="T179">
        <v>2.7</v>
      </c>
    </row>
    <row r="180" spans="1:20">
      <c r="A180" s="1">
        <f>HYPERLINK("https://cms.ls-nyc.org/matter/dynamic-profile/view/0806931","16-0806931")</f>
        <v>0</v>
      </c>
      <c r="B180" t="s">
        <v>25</v>
      </c>
      <c r="C180" t="s">
        <v>43</v>
      </c>
      <c r="D180" t="s">
        <v>93</v>
      </c>
      <c r="E180" t="s">
        <v>414</v>
      </c>
      <c r="F180" t="s">
        <v>640</v>
      </c>
      <c r="G180" t="s">
        <v>938</v>
      </c>
      <c r="H180" t="s">
        <v>1111</v>
      </c>
      <c r="I180" t="s">
        <v>1234</v>
      </c>
      <c r="J180">
        <v>10034</v>
      </c>
      <c r="K180" t="s">
        <v>1237</v>
      </c>
      <c r="L180" t="s">
        <v>1236</v>
      </c>
      <c r="M180" t="s">
        <v>1240</v>
      </c>
      <c r="N180" t="s">
        <v>1258</v>
      </c>
      <c r="O180" t="s">
        <v>1270</v>
      </c>
      <c r="P180">
        <v>86.48999999999999</v>
      </c>
      <c r="T180">
        <v>9.35</v>
      </c>
    </row>
    <row r="181" spans="1:20">
      <c r="A181" s="1">
        <f>HYPERLINK("https://cms.ls-nyc.org/matter/dynamic-profile/view/1892699","19-1892699")</f>
        <v>0</v>
      </c>
      <c r="B181" t="s">
        <v>21</v>
      </c>
      <c r="C181" t="s">
        <v>43</v>
      </c>
      <c r="D181" t="s">
        <v>169</v>
      </c>
      <c r="E181" t="s">
        <v>415</v>
      </c>
      <c r="F181" t="s">
        <v>722</v>
      </c>
      <c r="G181" t="s">
        <v>991</v>
      </c>
      <c r="H181" t="s">
        <v>1173</v>
      </c>
      <c r="I181" t="s">
        <v>1234</v>
      </c>
      <c r="J181">
        <v>10034</v>
      </c>
      <c r="K181" t="s">
        <v>1237</v>
      </c>
      <c r="L181" t="s">
        <v>1237</v>
      </c>
      <c r="M181" t="s">
        <v>1243</v>
      </c>
      <c r="N181" t="s">
        <v>1261</v>
      </c>
      <c r="O181" t="s">
        <v>1278</v>
      </c>
      <c r="P181">
        <v>86.58</v>
      </c>
      <c r="T181">
        <v>1.75</v>
      </c>
    </row>
    <row r="182" spans="1:20">
      <c r="A182" s="1">
        <f>HYPERLINK("https://cms.ls-nyc.org/matter/dynamic-profile/view/1867970","18-1867970")</f>
        <v>0</v>
      </c>
      <c r="B182" t="s">
        <v>22</v>
      </c>
      <c r="C182" t="s">
        <v>43</v>
      </c>
      <c r="D182" t="s">
        <v>170</v>
      </c>
      <c r="E182" t="s">
        <v>388</v>
      </c>
      <c r="F182" t="s">
        <v>723</v>
      </c>
      <c r="G182" t="s">
        <v>992</v>
      </c>
      <c r="H182" t="s">
        <v>1138</v>
      </c>
      <c r="I182" t="s">
        <v>1234</v>
      </c>
      <c r="J182">
        <v>10034</v>
      </c>
      <c r="K182" t="s">
        <v>1237</v>
      </c>
      <c r="L182" t="s">
        <v>1236</v>
      </c>
      <c r="M182" t="s">
        <v>1248</v>
      </c>
      <c r="N182" t="s">
        <v>1259</v>
      </c>
      <c r="O182" t="s">
        <v>170</v>
      </c>
      <c r="P182">
        <v>86.83</v>
      </c>
      <c r="T182">
        <v>3.9</v>
      </c>
    </row>
    <row r="183" spans="1:20">
      <c r="A183" s="1">
        <f>HYPERLINK("https://cms.ls-nyc.org/matter/dynamic-profile/view/1867941","18-1867941")</f>
        <v>0</v>
      </c>
      <c r="B183" t="s">
        <v>22</v>
      </c>
      <c r="C183" t="s">
        <v>43</v>
      </c>
      <c r="D183" t="s">
        <v>170</v>
      </c>
      <c r="E183" t="s">
        <v>388</v>
      </c>
      <c r="F183" t="s">
        <v>723</v>
      </c>
      <c r="G183" t="s">
        <v>992</v>
      </c>
      <c r="H183" t="s">
        <v>1138</v>
      </c>
      <c r="I183" t="s">
        <v>1234</v>
      </c>
      <c r="J183">
        <v>10034</v>
      </c>
      <c r="K183" t="s">
        <v>1237</v>
      </c>
      <c r="L183" t="s">
        <v>1236</v>
      </c>
      <c r="M183" t="s">
        <v>1242</v>
      </c>
      <c r="N183" t="s">
        <v>1258</v>
      </c>
      <c r="O183" t="s">
        <v>170</v>
      </c>
      <c r="P183">
        <v>86.83</v>
      </c>
      <c r="T183">
        <v>8.199999999999999</v>
      </c>
    </row>
    <row r="184" spans="1:20">
      <c r="A184" s="1">
        <f>HYPERLINK("https://cms.ls-nyc.org/matter/dynamic-profile/view/1847636","17-1847636")</f>
        <v>0</v>
      </c>
      <c r="B184" t="s">
        <v>28</v>
      </c>
      <c r="C184" t="s">
        <v>43</v>
      </c>
      <c r="D184" t="s">
        <v>88</v>
      </c>
      <c r="E184" t="s">
        <v>416</v>
      </c>
      <c r="F184" t="s">
        <v>724</v>
      </c>
      <c r="G184" t="s">
        <v>934</v>
      </c>
      <c r="H184" t="s">
        <v>1155</v>
      </c>
      <c r="I184" t="s">
        <v>1234</v>
      </c>
      <c r="J184">
        <v>10034</v>
      </c>
      <c r="K184" t="s">
        <v>1237</v>
      </c>
      <c r="L184" t="s">
        <v>1236</v>
      </c>
      <c r="M184" t="s">
        <v>1240</v>
      </c>
      <c r="N184" t="s">
        <v>1258</v>
      </c>
      <c r="O184" t="s">
        <v>248</v>
      </c>
      <c r="P184">
        <v>86.87</v>
      </c>
      <c r="T184">
        <v>0</v>
      </c>
    </row>
    <row r="185" spans="1:20">
      <c r="A185" s="1">
        <f>HYPERLINK("https://cms.ls-nyc.org/matter/dynamic-profile/view/1878325","18-1878325")</f>
        <v>0</v>
      </c>
      <c r="B185" t="s">
        <v>34</v>
      </c>
      <c r="C185" t="s">
        <v>43</v>
      </c>
      <c r="D185" t="s">
        <v>171</v>
      </c>
      <c r="E185" t="s">
        <v>417</v>
      </c>
      <c r="F185" t="s">
        <v>725</v>
      </c>
      <c r="G185" t="s">
        <v>993</v>
      </c>
      <c r="H185">
        <v>1</v>
      </c>
      <c r="I185" t="s">
        <v>1234</v>
      </c>
      <c r="J185">
        <v>10033</v>
      </c>
      <c r="K185" t="s">
        <v>1237</v>
      </c>
      <c r="L185" t="s">
        <v>1236</v>
      </c>
      <c r="M185" t="s">
        <v>1242</v>
      </c>
      <c r="N185" t="s">
        <v>1261</v>
      </c>
      <c r="O185" t="s">
        <v>76</v>
      </c>
      <c r="P185">
        <v>87.58</v>
      </c>
      <c r="T185">
        <v>1.8</v>
      </c>
    </row>
    <row r="186" spans="1:20">
      <c r="A186" s="1">
        <f>HYPERLINK("https://cms.ls-nyc.org/matter/dynamic-profile/view/1882776","18-1882776")</f>
        <v>0</v>
      </c>
      <c r="B186" t="s">
        <v>23</v>
      </c>
      <c r="C186" t="s">
        <v>43</v>
      </c>
      <c r="D186" t="s">
        <v>172</v>
      </c>
      <c r="E186" t="s">
        <v>418</v>
      </c>
      <c r="F186" t="s">
        <v>655</v>
      </c>
      <c r="G186" t="s">
        <v>994</v>
      </c>
      <c r="H186">
        <v>4</v>
      </c>
      <c r="I186" t="s">
        <v>1234</v>
      </c>
      <c r="J186">
        <v>10032</v>
      </c>
      <c r="K186" t="s">
        <v>1237</v>
      </c>
      <c r="L186" t="s">
        <v>1237</v>
      </c>
      <c r="M186" t="s">
        <v>1244</v>
      </c>
      <c r="N186" t="s">
        <v>1260</v>
      </c>
      <c r="O186" t="s">
        <v>172</v>
      </c>
      <c r="P186">
        <v>87.58</v>
      </c>
      <c r="T186">
        <v>7.1</v>
      </c>
    </row>
    <row r="187" spans="1:20">
      <c r="A187" s="1">
        <f>HYPERLINK("https://cms.ls-nyc.org/matter/dynamic-profile/view/1876348","18-1876348")</f>
        <v>0</v>
      </c>
      <c r="B187" t="s">
        <v>23</v>
      </c>
      <c r="C187" t="s">
        <v>43</v>
      </c>
      <c r="D187" t="s">
        <v>173</v>
      </c>
      <c r="E187" t="s">
        <v>410</v>
      </c>
      <c r="F187" t="s">
        <v>720</v>
      </c>
      <c r="G187" t="s">
        <v>903</v>
      </c>
      <c r="H187" t="s">
        <v>1171</v>
      </c>
      <c r="I187" t="s">
        <v>1234</v>
      </c>
      <c r="J187">
        <v>10033</v>
      </c>
      <c r="K187" t="s">
        <v>1237</v>
      </c>
      <c r="L187" t="s">
        <v>1237</v>
      </c>
      <c r="M187" t="s">
        <v>1240</v>
      </c>
      <c r="N187" t="s">
        <v>1260</v>
      </c>
      <c r="O187" t="s">
        <v>173</v>
      </c>
      <c r="P187">
        <v>87.92</v>
      </c>
      <c r="T187">
        <v>0.4</v>
      </c>
    </row>
    <row r="188" spans="1:20">
      <c r="A188" s="1">
        <f>HYPERLINK("https://cms.ls-nyc.org/matter/dynamic-profile/view/1843489","17-1843489")</f>
        <v>0</v>
      </c>
      <c r="B188" t="s">
        <v>22</v>
      </c>
      <c r="C188" t="s">
        <v>43</v>
      </c>
      <c r="D188" t="s">
        <v>174</v>
      </c>
      <c r="E188" t="s">
        <v>419</v>
      </c>
      <c r="F188" t="s">
        <v>726</v>
      </c>
      <c r="G188" t="s">
        <v>961</v>
      </c>
      <c r="H188">
        <v>33</v>
      </c>
      <c r="I188" t="s">
        <v>1234</v>
      </c>
      <c r="J188">
        <v>10031</v>
      </c>
      <c r="K188" t="s">
        <v>1237</v>
      </c>
      <c r="L188" t="s">
        <v>1236</v>
      </c>
      <c r="M188" t="s">
        <v>1239</v>
      </c>
      <c r="N188" t="s">
        <v>1258</v>
      </c>
      <c r="O188" t="s">
        <v>249</v>
      </c>
      <c r="P188">
        <v>88.06</v>
      </c>
      <c r="Q188" t="s">
        <v>1304</v>
      </c>
      <c r="T188">
        <v>22.1</v>
      </c>
    </row>
    <row r="189" spans="1:20">
      <c r="A189" s="1">
        <f>HYPERLINK("https://cms.ls-nyc.org/matter/dynamic-profile/view/0806919","16-0806919")</f>
        <v>0</v>
      </c>
      <c r="B189" t="s">
        <v>25</v>
      </c>
      <c r="C189" t="s">
        <v>43</v>
      </c>
      <c r="D189" t="s">
        <v>93</v>
      </c>
      <c r="E189" t="s">
        <v>420</v>
      </c>
      <c r="F189" t="s">
        <v>727</v>
      </c>
      <c r="G189" t="s">
        <v>938</v>
      </c>
      <c r="H189" t="s">
        <v>1174</v>
      </c>
      <c r="I189" t="s">
        <v>1234</v>
      </c>
      <c r="J189">
        <v>10034</v>
      </c>
      <c r="K189" t="s">
        <v>1237</v>
      </c>
      <c r="L189" t="s">
        <v>1236</v>
      </c>
      <c r="M189" t="s">
        <v>1240</v>
      </c>
      <c r="N189" t="s">
        <v>1258</v>
      </c>
      <c r="O189" t="s">
        <v>1270</v>
      </c>
      <c r="P189">
        <v>89.89</v>
      </c>
      <c r="T189">
        <v>26.1</v>
      </c>
    </row>
    <row r="190" spans="1:20">
      <c r="A190" s="1">
        <f>HYPERLINK("https://cms.ls-nyc.org/matter/dynamic-profile/view/0822574","16-0822574")</f>
        <v>0</v>
      </c>
      <c r="B190" t="s">
        <v>25</v>
      </c>
      <c r="C190" t="s">
        <v>43</v>
      </c>
      <c r="D190" t="s">
        <v>175</v>
      </c>
      <c r="E190" t="s">
        <v>421</v>
      </c>
      <c r="F190" t="s">
        <v>728</v>
      </c>
      <c r="G190" t="s">
        <v>995</v>
      </c>
      <c r="H190" t="s">
        <v>1175</v>
      </c>
      <c r="I190" t="s">
        <v>1234</v>
      </c>
      <c r="J190">
        <v>10034</v>
      </c>
      <c r="K190" t="s">
        <v>1237</v>
      </c>
      <c r="L190" t="s">
        <v>1236</v>
      </c>
      <c r="M190" t="s">
        <v>1252</v>
      </c>
      <c r="N190" t="s">
        <v>1263</v>
      </c>
      <c r="O190" t="s">
        <v>195</v>
      </c>
      <c r="P190">
        <v>90.09999999999999</v>
      </c>
      <c r="T190">
        <v>0.2</v>
      </c>
    </row>
    <row r="191" spans="1:20">
      <c r="A191" s="1">
        <f>HYPERLINK("https://cms.ls-nyc.org/matter/dynamic-profile/view/1876936","18-1876936")</f>
        <v>0</v>
      </c>
      <c r="B191" t="s">
        <v>23</v>
      </c>
      <c r="C191" t="s">
        <v>43</v>
      </c>
      <c r="D191" t="s">
        <v>176</v>
      </c>
      <c r="E191" t="s">
        <v>422</v>
      </c>
      <c r="F191" t="s">
        <v>729</v>
      </c>
      <c r="G191" t="s">
        <v>996</v>
      </c>
      <c r="H191" t="s">
        <v>1176</v>
      </c>
      <c r="I191" t="s">
        <v>1234</v>
      </c>
      <c r="J191">
        <v>10033</v>
      </c>
      <c r="K191" t="s">
        <v>1237</v>
      </c>
      <c r="L191" t="s">
        <v>1237</v>
      </c>
      <c r="M191" t="s">
        <v>1240</v>
      </c>
      <c r="N191" t="s">
        <v>1260</v>
      </c>
      <c r="O191" t="s">
        <v>176</v>
      </c>
      <c r="P191">
        <v>90.40000000000001</v>
      </c>
      <c r="T191">
        <v>0.4</v>
      </c>
    </row>
    <row r="192" spans="1:20">
      <c r="A192" s="1">
        <f>HYPERLINK("https://cms.ls-nyc.org/matter/dynamic-profile/view/0827315","17-0827315")</f>
        <v>0</v>
      </c>
      <c r="B192" t="s">
        <v>25</v>
      </c>
      <c r="C192" t="s">
        <v>43</v>
      </c>
      <c r="D192" t="s">
        <v>150</v>
      </c>
      <c r="E192" t="s">
        <v>406</v>
      </c>
      <c r="F192" t="s">
        <v>665</v>
      </c>
      <c r="G192" t="s">
        <v>938</v>
      </c>
      <c r="H192" t="s">
        <v>1144</v>
      </c>
      <c r="I192" t="s">
        <v>1234</v>
      </c>
      <c r="J192">
        <v>10034</v>
      </c>
      <c r="K192" t="s">
        <v>1237</v>
      </c>
      <c r="L192" t="s">
        <v>1236</v>
      </c>
      <c r="M192" t="s">
        <v>1240</v>
      </c>
      <c r="N192" t="s">
        <v>1258</v>
      </c>
      <c r="O192" t="s">
        <v>1279</v>
      </c>
      <c r="P192">
        <v>92.14</v>
      </c>
      <c r="T192">
        <v>1.25</v>
      </c>
    </row>
    <row r="193" spans="1:20">
      <c r="A193" s="1">
        <f>HYPERLINK("https://cms.ls-nyc.org/matter/dynamic-profile/view/1841429","17-1841429")</f>
        <v>0</v>
      </c>
      <c r="B193" t="s">
        <v>22</v>
      </c>
      <c r="C193" t="s">
        <v>43</v>
      </c>
      <c r="D193" t="s">
        <v>135</v>
      </c>
      <c r="E193" t="s">
        <v>423</v>
      </c>
      <c r="F193" t="s">
        <v>659</v>
      </c>
      <c r="G193" t="s">
        <v>954</v>
      </c>
      <c r="H193" t="s">
        <v>1177</v>
      </c>
      <c r="I193" t="s">
        <v>1234</v>
      </c>
      <c r="J193">
        <v>10034</v>
      </c>
      <c r="K193" t="s">
        <v>1237</v>
      </c>
      <c r="L193" t="s">
        <v>1236</v>
      </c>
      <c r="M193" t="s">
        <v>1248</v>
      </c>
      <c r="N193" t="s">
        <v>1259</v>
      </c>
      <c r="O193" t="s">
        <v>179</v>
      </c>
      <c r="P193">
        <v>92.38</v>
      </c>
      <c r="T193">
        <v>9.199999999999999</v>
      </c>
    </row>
    <row r="194" spans="1:20">
      <c r="A194" s="1">
        <f>HYPERLINK("https://cms.ls-nyc.org/matter/dynamic-profile/view/1863004","18-1863004")</f>
        <v>0</v>
      </c>
      <c r="B194" t="s">
        <v>24</v>
      </c>
      <c r="C194" t="s">
        <v>43</v>
      </c>
      <c r="D194" t="s">
        <v>141</v>
      </c>
      <c r="E194" t="s">
        <v>424</v>
      </c>
      <c r="F194" t="s">
        <v>730</v>
      </c>
      <c r="G194" t="s">
        <v>895</v>
      </c>
      <c r="H194" t="s">
        <v>1178</v>
      </c>
      <c r="I194" t="s">
        <v>1234</v>
      </c>
      <c r="J194">
        <v>10034</v>
      </c>
      <c r="K194" t="s">
        <v>1237</v>
      </c>
      <c r="L194" t="s">
        <v>1236</v>
      </c>
      <c r="M194" t="s">
        <v>1240</v>
      </c>
      <c r="N194" t="s">
        <v>1258</v>
      </c>
      <c r="O194" t="s">
        <v>141</v>
      </c>
      <c r="P194">
        <v>94.31</v>
      </c>
      <c r="T194">
        <v>54.7</v>
      </c>
    </row>
    <row r="195" spans="1:20">
      <c r="A195" s="1">
        <f>HYPERLINK("https://cms.ls-nyc.org/matter/dynamic-profile/view/1886091","18-1886091")</f>
        <v>0</v>
      </c>
      <c r="B195" t="s">
        <v>22</v>
      </c>
      <c r="C195" t="s">
        <v>43</v>
      </c>
      <c r="D195" t="s">
        <v>177</v>
      </c>
      <c r="E195" t="s">
        <v>310</v>
      </c>
      <c r="F195" t="s">
        <v>731</v>
      </c>
      <c r="G195" t="s">
        <v>917</v>
      </c>
      <c r="H195">
        <v>35</v>
      </c>
      <c r="I195" t="s">
        <v>1234</v>
      </c>
      <c r="J195">
        <v>10034</v>
      </c>
      <c r="K195" t="s">
        <v>1237</v>
      </c>
      <c r="L195" t="s">
        <v>1237</v>
      </c>
      <c r="M195" t="s">
        <v>1240</v>
      </c>
      <c r="N195" t="s">
        <v>1258</v>
      </c>
      <c r="O195" t="s">
        <v>177</v>
      </c>
      <c r="P195">
        <v>94.78</v>
      </c>
      <c r="T195">
        <v>103.2</v>
      </c>
    </row>
    <row r="196" spans="1:20">
      <c r="A196" s="1">
        <f>HYPERLINK("https://cms.ls-nyc.org/matter/dynamic-profile/view/1874297","18-1874297")</f>
        <v>0</v>
      </c>
      <c r="B196" t="s">
        <v>29</v>
      </c>
      <c r="C196" t="s">
        <v>43</v>
      </c>
      <c r="D196" t="s">
        <v>178</v>
      </c>
      <c r="E196" t="s">
        <v>425</v>
      </c>
      <c r="F196" t="s">
        <v>732</v>
      </c>
      <c r="G196" t="s">
        <v>918</v>
      </c>
      <c r="H196" t="s">
        <v>1122</v>
      </c>
      <c r="I196" t="s">
        <v>1234</v>
      </c>
      <c r="J196">
        <v>10031</v>
      </c>
      <c r="K196" t="s">
        <v>1237</v>
      </c>
      <c r="L196" t="s">
        <v>1237</v>
      </c>
      <c r="M196" t="s">
        <v>1240</v>
      </c>
      <c r="N196" t="s">
        <v>1258</v>
      </c>
      <c r="O196" t="s">
        <v>178</v>
      </c>
      <c r="P196">
        <v>94.78</v>
      </c>
      <c r="T196">
        <v>2.25</v>
      </c>
    </row>
    <row r="197" spans="1:20">
      <c r="A197" s="1">
        <f>HYPERLINK("https://cms.ls-nyc.org/matter/dynamic-profile/view/1842302","17-1842302")</f>
        <v>0</v>
      </c>
      <c r="B197" t="s">
        <v>22</v>
      </c>
      <c r="C197" t="s">
        <v>43</v>
      </c>
      <c r="D197" t="s">
        <v>179</v>
      </c>
      <c r="E197" t="s">
        <v>426</v>
      </c>
      <c r="F197" t="s">
        <v>729</v>
      </c>
      <c r="G197" t="s">
        <v>997</v>
      </c>
      <c r="H197" t="s">
        <v>1179</v>
      </c>
      <c r="I197" t="s">
        <v>1234</v>
      </c>
      <c r="J197">
        <v>10034</v>
      </c>
      <c r="K197" t="s">
        <v>1237</v>
      </c>
      <c r="L197" t="s">
        <v>1236</v>
      </c>
      <c r="M197" t="s">
        <v>1242</v>
      </c>
      <c r="N197" t="s">
        <v>1258</v>
      </c>
      <c r="O197" t="s">
        <v>179</v>
      </c>
      <c r="P197">
        <v>95.42</v>
      </c>
      <c r="T197">
        <v>76.55</v>
      </c>
    </row>
    <row r="198" spans="1:20">
      <c r="A198" s="1">
        <f>HYPERLINK("https://cms.ls-nyc.org/matter/dynamic-profile/view/0795538","16-0795538")</f>
        <v>0</v>
      </c>
      <c r="B198" t="s">
        <v>25</v>
      </c>
      <c r="C198" t="s">
        <v>43</v>
      </c>
      <c r="D198" t="s">
        <v>180</v>
      </c>
      <c r="E198" t="s">
        <v>427</v>
      </c>
      <c r="F198" t="s">
        <v>733</v>
      </c>
      <c r="G198" t="s">
        <v>998</v>
      </c>
      <c r="H198" t="s">
        <v>1180</v>
      </c>
      <c r="I198" t="s">
        <v>1234</v>
      </c>
      <c r="J198">
        <v>10034</v>
      </c>
      <c r="K198" t="s">
        <v>1236</v>
      </c>
      <c r="L198" t="s">
        <v>1236</v>
      </c>
      <c r="M198" t="s">
        <v>1241</v>
      </c>
      <c r="N198" t="s">
        <v>1261</v>
      </c>
      <c r="O198" t="s">
        <v>1280</v>
      </c>
      <c r="P198">
        <v>97.93000000000001</v>
      </c>
      <c r="T198">
        <v>4.75</v>
      </c>
    </row>
    <row r="199" spans="1:20">
      <c r="A199" s="1">
        <f>HYPERLINK("https://cms.ls-nyc.org/matter/dynamic-profile/view/0826185","17-0826185")</f>
        <v>0</v>
      </c>
      <c r="B199" t="s">
        <v>29</v>
      </c>
      <c r="C199" t="s">
        <v>43</v>
      </c>
      <c r="D199" t="s">
        <v>181</v>
      </c>
      <c r="E199" t="s">
        <v>317</v>
      </c>
      <c r="F199" t="s">
        <v>687</v>
      </c>
      <c r="G199" t="s">
        <v>995</v>
      </c>
      <c r="H199" t="s">
        <v>1116</v>
      </c>
      <c r="I199" t="s">
        <v>1234</v>
      </c>
      <c r="J199">
        <v>10034</v>
      </c>
      <c r="K199" t="s">
        <v>1237</v>
      </c>
      <c r="L199" t="s">
        <v>1236</v>
      </c>
      <c r="M199" t="s">
        <v>1252</v>
      </c>
      <c r="N199" t="s">
        <v>1263</v>
      </c>
      <c r="O199" t="s">
        <v>1281</v>
      </c>
      <c r="P199">
        <v>98.45999999999999</v>
      </c>
      <c r="T199">
        <v>0.7</v>
      </c>
    </row>
    <row r="200" spans="1:20">
      <c r="A200" s="1">
        <f>HYPERLINK("https://cms.ls-nyc.org/matter/dynamic-profile/view/1875260","18-1875260")</f>
        <v>0</v>
      </c>
      <c r="B200" t="s">
        <v>22</v>
      </c>
      <c r="C200" t="s">
        <v>43</v>
      </c>
      <c r="D200" t="s">
        <v>182</v>
      </c>
      <c r="E200" t="s">
        <v>428</v>
      </c>
      <c r="F200" t="s">
        <v>721</v>
      </c>
      <c r="G200" t="s">
        <v>999</v>
      </c>
      <c r="H200" t="s">
        <v>1181</v>
      </c>
      <c r="I200" t="s">
        <v>1234</v>
      </c>
      <c r="J200">
        <v>10034</v>
      </c>
      <c r="K200" t="s">
        <v>1237</v>
      </c>
      <c r="L200" t="s">
        <v>1237</v>
      </c>
      <c r="M200" t="s">
        <v>1241</v>
      </c>
      <c r="N200" t="s">
        <v>1260</v>
      </c>
      <c r="O200" t="s">
        <v>182</v>
      </c>
      <c r="P200">
        <v>98.56999999999999</v>
      </c>
      <c r="T200">
        <v>1.6</v>
      </c>
    </row>
    <row r="201" spans="1:20">
      <c r="A201" s="1">
        <f>HYPERLINK("https://cms.ls-nyc.org/matter/dynamic-profile/view/1889914","19-1889914")</f>
        <v>0</v>
      </c>
      <c r="B201" t="s">
        <v>24</v>
      </c>
      <c r="C201" t="s">
        <v>43</v>
      </c>
      <c r="D201" t="s">
        <v>183</v>
      </c>
      <c r="E201" t="s">
        <v>429</v>
      </c>
      <c r="F201" t="s">
        <v>734</v>
      </c>
      <c r="G201" t="s">
        <v>1000</v>
      </c>
      <c r="H201" t="s">
        <v>1182</v>
      </c>
      <c r="I201" t="s">
        <v>1234</v>
      </c>
      <c r="J201">
        <v>10034</v>
      </c>
      <c r="K201" t="s">
        <v>1237</v>
      </c>
      <c r="L201" t="s">
        <v>1237</v>
      </c>
      <c r="M201" t="s">
        <v>1244</v>
      </c>
      <c r="N201" t="s">
        <v>1261</v>
      </c>
      <c r="O201" t="s">
        <v>183</v>
      </c>
      <c r="P201">
        <v>99.44</v>
      </c>
      <c r="T201">
        <v>37.5</v>
      </c>
    </row>
    <row r="202" spans="1:20">
      <c r="A202" s="1">
        <f>HYPERLINK("https://cms.ls-nyc.org/matter/dynamic-profile/view/1834512","17-1834512")</f>
        <v>0</v>
      </c>
      <c r="B202" t="s">
        <v>25</v>
      </c>
      <c r="C202" t="s">
        <v>43</v>
      </c>
      <c r="D202" t="s">
        <v>184</v>
      </c>
      <c r="E202" t="s">
        <v>372</v>
      </c>
      <c r="F202" t="s">
        <v>735</v>
      </c>
      <c r="G202" t="s">
        <v>1001</v>
      </c>
      <c r="H202" t="s">
        <v>1115</v>
      </c>
      <c r="I202" t="s">
        <v>1234</v>
      </c>
      <c r="J202">
        <v>10034</v>
      </c>
      <c r="K202" t="s">
        <v>1237</v>
      </c>
      <c r="L202" t="s">
        <v>1236</v>
      </c>
      <c r="M202" t="s">
        <v>1241</v>
      </c>
      <c r="N202" t="s">
        <v>1259</v>
      </c>
      <c r="O202" t="s">
        <v>1264</v>
      </c>
      <c r="P202">
        <v>99.5</v>
      </c>
      <c r="T202">
        <v>80</v>
      </c>
    </row>
    <row r="203" spans="1:20">
      <c r="A203" s="1">
        <f>HYPERLINK("https://cms.ls-nyc.org/matter/dynamic-profile/view/1862289","18-1862289")</f>
        <v>0</v>
      </c>
      <c r="B203" t="s">
        <v>29</v>
      </c>
      <c r="C203" t="s">
        <v>43</v>
      </c>
      <c r="D203" t="s">
        <v>185</v>
      </c>
      <c r="E203" t="s">
        <v>430</v>
      </c>
      <c r="F203" t="s">
        <v>736</v>
      </c>
      <c r="G203" t="s">
        <v>895</v>
      </c>
      <c r="H203" t="s">
        <v>1159</v>
      </c>
      <c r="I203" t="s">
        <v>1234</v>
      </c>
      <c r="J203">
        <v>10034</v>
      </c>
      <c r="K203" t="s">
        <v>1237</v>
      </c>
      <c r="L203" t="s">
        <v>1236</v>
      </c>
      <c r="M203" t="s">
        <v>1240</v>
      </c>
      <c r="N203" t="s">
        <v>1258</v>
      </c>
      <c r="O203" t="s">
        <v>185</v>
      </c>
      <c r="P203">
        <v>99.59999999999999</v>
      </c>
      <c r="T203">
        <v>7.5</v>
      </c>
    </row>
    <row r="204" spans="1:20">
      <c r="A204" s="1">
        <f>HYPERLINK("https://cms.ls-nyc.org/matter/dynamic-profile/view/1862256","18-1862256")</f>
        <v>0</v>
      </c>
      <c r="B204" t="s">
        <v>22</v>
      </c>
      <c r="C204" t="s">
        <v>43</v>
      </c>
      <c r="D204" t="s">
        <v>131</v>
      </c>
      <c r="E204" t="s">
        <v>431</v>
      </c>
      <c r="F204" t="s">
        <v>737</v>
      </c>
      <c r="G204" t="s">
        <v>914</v>
      </c>
      <c r="H204">
        <v>42</v>
      </c>
      <c r="I204" t="s">
        <v>1234</v>
      </c>
      <c r="J204">
        <v>10034</v>
      </c>
      <c r="K204" t="s">
        <v>1237</v>
      </c>
      <c r="L204" t="s">
        <v>1236</v>
      </c>
      <c r="M204" t="s">
        <v>1242</v>
      </c>
      <c r="N204" t="s">
        <v>1258</v>
      </c>
      <c r="O204" t="s">
        <v>1282</v>
      </c>
      <c r="P204">
        <v>99.59999999999999</v>
      </c>
      <c r="T204">
        <v>109.9</v>
      </c>
    </row>
    <row r="205" spans="1:20">
      <c r="A205" s="1">
        <f>HYPERLINK("https://cms.ls-nyc.org/matter/dynamic-profile/view/1901495","19-1901495")</f>
        <v>0</v>
      </c>
      <c r="B205" t="s">
        <v>21</v>
      </c>
      <c r="C205" t="s">
        <v>43</v>
      </c>
      <c r="D205" t="s">
        <v>129</v>
      </c>
      <c r="E205" t="s">
        <v>432</v>
      </c>
      <c r="F205" t="s">
        <v>738</v>
      </c>
      <c r="G205" t="s">
        <v>1002</v>
      </c>
      <c r="H205">
        <v>31</v>
      </c>
      <c r="I205" t="s">
        <v>1234</v>
      </c>
      <c r="J205">
        <v>10033</v>
      </c>
      <c r="K205" t="s">
        <v>1237</v>
      </c>
      <c r="L205" t="s">
        <v>1236</v>
      </c>
      <c r="M205" t="s">
        <v>1244</v>
      </c>
      <c r="N205" t="s">
        <v>1261</v>
      </c>
      <c r="O205" t="s">
        <v>129</v>
      </c>
      <c r="P205">
        <v>99.70999999999999</v>
      </c>
      <c r="T205">
        <v>1</v>
      </c>
    </row>
    <row r="206" spans="1:20">
      <c r="A206" s="1">
        <f>HYPERLINK("https://cms.ls-nyc.org/matter/dynamic-profile/view/1901398","19-1901398")</f>
        <v>0</v>
      </c>
      <c r="B206" t="s">
        <v>26</v>
      </c>
      <c r="C206" t="s">
        <v>43</v>
      </c>
      <c r="D206" t="s">
        <v>186</v>
      </c>
      <c r="E206" t="s">
        <v>304</v>
      </c>
      <c r="F206" t="s">
        <v>739</v>
      </c>
      <c r="G206" t="s">
        <v>943</v>
      </c>
      <c r="H206" t="s">
        <v>1127</v>
      </c>
      <c r="I206" t="s">
        <v>1234</v>
      </c>
      <c r="J206">
        <v>10032</v>
      </c>
      <c r="K206" t="s">
        <v>1237</v>
      </c>
      <c r="L206" t="s">
        <v>1236</v>
      </c>
      <c r="N206" t="s">
        <v>1261</v>
      </c>
      <c r="O206" t="s">
        <v>186</v>
      </c>
      <c r="P206">
        <v>100.25</v>
      </c>
      <c r="T206">
        <v>5.5</v>
      </c>
    </row>
    <row r="207" spans="1:20">
      <c r="A207" s="1">
        <f>HYPERLINK("https://cms.ls-nyc.org/matter/dynamic-profile/view/1852468","17-1852468")</f>
        <v>0</v>
      </c>
      <c r="B207" t="s">
        <v>22</v>
      </c>
      <c r="C207" t="s">
        <v>43</v>
      </c>
      <c r="D207" t="s">
        <v>187</v>
      </c>
      <c r="E207" t="s">
        <v>423</v>
      </c>
      <c r="F207" t="s">
        <v>659</v>
      </c>
      <c r="G207" t="s">
        <v>1003</v>
      </c>
      <c r="H207" t="s">
        <v>1183</v>
      </c>
      <c r="I207" t="s">
        <v>1234</v>
      </c>
      <c r="J207">
        <v>10034</v>
      </c>
      <c r="K207" t="s">
        <v>1237</v>
      </c>
      <c r="L207" t="s">
        <v>1236</v>
      </c>
      <c r="M207" t="s">
        <v>1245</v>
      </c>
      <c r="N207" t="s">
        <v>1259</v>
      </c>
      <c r="O207" t="s">
        <v>187</v>
      </c>
      <c r="P207">
        <v>102.37</v>
      </c>
      <c r="T207">
        <v>5.1</v>
      </c>
    </row>
    <row r="208" spans="1:20">
      <c r="A208" s="1">
        <f>HYPERLINK("https://cms.ls-nyc.org/matter/dynamic-profile/view/1888044","19-1888044")</f>
        <v>0</v>
      </c>
      <c r="B208" t="s">
        <v>26</v>
      </c>
      <c r="C208" t="s">
        <v>43</v>
      </c>
      <c r="D208" t="s">
        <v>99</v>
      </c>
      <c r="E208" t="s">
        <v>304</v>
      </c>
      <c r="F208" t="s">
        <v>739</v>
      </c>
      <c r="G208" t="s">
        <v>943</v>
      </c>
      <c r="H208" t="s">
        <v>1127</v>
      </c>
      <c r="I208" t="s">
        <v>1234</v>
      </c>
      <c r="J208">
        <v>10032</v>
      </c>
      <c r="K208" t="s">
        <v>1237</v>
      </c>
      <c r="L208" t="s">
        <v>1237</v>
      </c>
      <c r="N208" t="s">
        <v>1258</v>
      </c>
      <c r="O208" t="s">
        <v>99</v>
      </c>
      <c r="P208">
        <v>102.99</v>
      </c>
      <c r="T208">
        <v>0.6</v>
      </c>
    </row>
    <row r="209" spans="1:20">
      <c r="A209" s="1">
        <f>HYPERLINK("https://cms.ls-nyc.org/matter/dynamic-profile/view/1868474","18-1868474")</f>
        <v>0</v>
      </c>
      <c r="B209" t="s">
        <v>35</v>
      </c>
      <c r="C209" t="s">
        <v>43</v>
      </c>
      <c r="D209" t="s">
        <v>188</v>
      </c>
      <c r="E209" t="s">
        <v>326</v>
      </c>
      <c r="F209" t="s">
        <v>740</v>
      </c>
      <c r="G209" t="s">
        <v>1004</v>
      </c>
      <c r="H209">
        <v>57</v>
      </c>
      <c r="I209" t="s">
        <v>1234</v>
      </c>
      <c r="J209">
        <v>10031</v>
      </c>
      <c r="K209" t="s">
        <v>1236</v>
      </c>
      <c r="L209" t="s">
        <v>1236</v>
      </c>
      <c r="M209" t="s">
        <v>1241</v>
      </c>
      <c r="N209" t="s">
        <v>1260</v>
      </c>
      <c r="O209" t="s">
        <v>188</v>
      </c>
      <c r="P209">
        <v>103.79</v>
      </c>
      <c r="T209">
        <v>0</v>
      </c>
    </row>
    <row r="210" spans="1:20">
      <c r="A210" s="1">
        <f>HYPERLINK("https://cms.ls-nyc.org/matter/dynamic-profile/view/1863534","18-1863534")</f>
        <v>0</v>
      </c>
      <c r="B210" t="s">
        <v>22</v>
      </c>
      <c r="C210" t="s">
        <v>43</v>
      </c>
      <c r="D210" t="s">
        <v>189</v>
      </c>
      <c r="E210" t="s">
        <v>433</v>
      </c>
      <c r="F210" t="s">
        <v>741</v>
      </c>
      <c r="G210" t="s">
        <v>961</v>
      </c>
      <c r="H210">
        <v>53</v>
      </c>
      <c r="I210" t="s">
        <v>1234</v>
      </c>
      <c r="J210">
        <v>10031</v>
      </c>
      <c r="K210" t="s">
        <v>1237</v>
      </c>
      <c r="L210" t="s">
        <v>1236</v>
      </c>
      <c r="M210" t="s">
        <v>1250</v>
      </c>
      <c r="N210" t="s">
        <v>1260</v>
      </c>
      <c r="O210" t="s">
        <v>189</v>
      </c>
      <c r="P210">
        <v>105.24</v>
      </c>
      <c r="Q210" t="s">
        <v>1304</v>
      </c>
      <c r="T210">
        <v>17.6</v>
      </c>
    </row>
    <row r="211" spans="1:20">
      <c r="A211" s="1">
        <f>HYPERLINK("https://cms.ls-nyc.org/matter/dynamic-profile/view/1888681","19-1888681")</f>
        <v>0</v>
      </c>
      <c r="B211" t="s">
        <v>22</v>
      </c>
      <c r="C211" t="s">
        <v>43</v>
      </c>
      <c r="D211" t="s">
        <v>153</v>
      </c>
      <c r="E211" t="s">
        <v>322</v>
      </c>
      <c r="F211" t="s">
        <v>683</v>
      </c>
      <c r="G211" t="s">
        <v>917</v>
      </c>
      <c r="H211">
        <v>24</v>
      </c>
      <c r="I211" t="s">
        <v>1234</v>
      </c>
      <c r="J211">
        <v>10034</v>
      </c>
      <c r="K211" t="s">
        <v>1237</v>
      </c>
      <c r="L211" t="s">
        <v>1237</v>
      </c>
      <c r="M211" t="s">
        <v>1240</v>
      </c>
      <c r="N211" t="s">
        <v>1258</v>
      </c>
      <c r="O211" t="s">
        <v>153</v>
      </c>
      <c r="P211">
        <v>105.65</v>
      </c>
      <c r="T211">
        <v>0.5</v>
      </c>
    </row>
    <row r="212" spans="1:20">
      <c r="A212" s="1">
        <f>HYPERLINK("https://cms.ls-nyc.org/matter/dynamic-profile/view/1895534","19-1895534")</f>
        <v>0</v>
      </c>
      <c r="B212" t="s">
        <v>22</v>
      </c>
      <c r="C212" t="s">
        <v>43</v>
      </c>
      <c r="D212" t="s">
        <v>107</v>
      </c>
      <c r="E212" t="s">
        <v>424</v>
      </c>
      <c r="F212" t="s">
        <v>742</v>
      </c>
      <c r="G212" t="s">
        <v>1005</v>
      </c>
      <c r="H212" t="s">
        <v>1111</v>
      </c>
      <c r="I212" t="s">
        <v>1234</v>
      </c>
      <c r="J212">
        <v>10034</v>
      </c>
      <c r="K212" t="s">
        <v>1237</v>
      </c>
      <c r="L212" t="s">
        <v>1237</v>
      </c>
      <c r="M212" t="s">
        <v>1241</v>
      </c>
      <c r="N212" t="s">
        <v>1262</v>
      </c>
      <c r="O212" t="s">
        <v>107</v>
      </c>
      <c r="P212">
        <v>105.68</v>
      </c>
      <c r="T212">
        <v>10.3</v>
      </c>
    </row>
    <row r="213" spans="1:20">
      <c r="A213" s="1">
        <f>HYPERLINK("https://cms.ls-nyc.org/matter/dynamic-profile/view/1867904","18-1867904")</f>
        <v>0</v>
      </c>
      <c r="B213" t="s">
        <v>29</v>
      </c>
      <c r="C213" t="s">
        <v>43</v>
      </c>
      <c r="D213" t="s">
        <v>190</v>
      </c>
      <c r="E213" t="s">
        <v>434</v>
      </c>
      <c r="F213" t="s">
        <v>743</v>
      </c>
      <c r="G213" t="s">
        <v>937</v>
      </c>
      <c r="H213" t="s">
        <v>1127</v>
      </c>
      <c r="I213" t="s">
        <v>1234</v>
      </c>
      <c r="J213">
        <v>10031</v>
      </c>
      <c r="K213" t="s">
        <v>1237</v>
      </c>
      <c r="L213" t="s">
        <v>1236</v>
      </c>
      <c r="M213" t="s">
        <v>1240</v>
      </c>
      <c r="N213" t="s">
        <v>1260</v>
      </c>
      <c r="O213" t="s">
        <v>190</v>
      </c>
      <c r="P213">
        <v>105.86</v>
      </c>
      <c r="T213">
        <v>0.25</v>
      </c>
    </row>
    <row r="214" spans="1:20">
      <c r="A214" s="1">
        <f>HYPERLINK("https://cms.ls-nyc.org/matter/dynamic-profile/view/0830874","17-0830874")</f>
        <v>0</v>
      </c>
      <c r="B214" t="s">
        <v>28</v>
      </c>
      <c r="C214" t="s">
        <v>43</v>
      </c>
      <c r="D214" t="s">
        <v>73</v>
      </c>
      <c r="E214" t="s">
        <v>435</v>
      </c>
      <c r="F214" t="s">
        <v>689</v>
      </c>
      <c r="G214" t="s">
        <v>910</v>
      </c>
      <c r="H214">
        <v>51</v>
      </c>
      <c r="I214" t="s">
        <v>1234</v>
      </c>
      <c r="J214">
        <v>10032</v>
      </c>
      <c r="K214" t="s">
        <v>1236</v>
      </c>
      <c r="L214" t="s">
        <v>1236</v>
      </c>
      <c r="M214" t="s">
        <v>1240</v>
      </c>
      <c r="N214" t="s">
        <v>1258</v>
      </c>
      <c r="O214" t="s">
        <v>1283</v>
      </c>
      <c r="P214">
        <v>105.91</v>
      </c>
      <c r="Q214" t="s">
        <v>1302</v>
      </c>
      <c r="T214">
        <v>1.55</v>
      </c>
    </row>
    <row r="215" spans="1:20">
      <c r="A215" s="1">
        <f>HYPERLINK("https://cms.ls-nyc.org/matter/dynamic-profile/view/1899822","19-1899822")</f>
        <v>0</v>
      </c>
      <c r="B215" t="s">
        <v>22</v>
      </c>
      <c r="C215" t="s">
        <v>43</v>
      </c>
      <c r="D215" t="s">
        <v>191</v>
      </c>
      <c r="E215" t="s">
        <v>374</v>
      </c>
      <c r="F215" t="s">
        <v>689</v>
      </c>
      <c r="G215" t="s">
        <v>968</v>
      </c>
      <c r="H215" t="s">
        <v>1184</v>
      </c>
      <c r="I215" t="s">
        <v>1234</v>
      </c>
      <c r="J215">
        <v>10034</v>
      </c>
      <c r="K215" t="s">
        <v>1237</v>
      </c>
      <c r="L215" t="s">
        <v>1236</v>
      </c>
      <c r="N215" t="s">
        <v>1259</v>
      </c>
      <c r="O215" t="s">
        <v>151</v>
      </c>
      <c r="P215">
        <v>106.02</v>
      </c>
      <c r="T215">
        <v>3.9</v>
      </c>
    </row>
    <row r="216" spans="1:20">
      <c r="A216" s="1">
        <f>HYPERLINK("https://cms.ls-nyc.org/matter/dynamic-profile/view/1874579","18-1874579")</f>
        <v>0</v>
      </c>
      <c r="B216" t="s">
        <v>24</v>
      </c>
      <c r="C216" t="s">
        <v>43</v>
      </c>
      <c r="D216" t="s">
        <v>192</v>
      </c>
      <c r="E216" t="s">
        <v>436</v>
      </c>
      <c r="F216" t="s">
        <v>744</v>
      </c>
      <c r="G216" t="s">
        <v>1006</v>
      </c>
      <c r="H216" t="s">
        <v>1182</v>
      </c>
      <c r="I216" t="s">
        <v>1234</v>
      </c>
      <c r="J216">
        <v>10034</v>
      </c>
      <c r="K216" t="s">
        <v>1237</v>
      </c>
      <c r="L216" t="s">
        <v>1237</v>
      </c>
      <c r="M216" t="s">
        <v>1240</v>
      </c>
      <c r="N216" t="s">
        <v>1258</v>
      </c>
      <c r="O216" t="s">
        <v>192</v>
      </c>
      <c r="P216">
        <v>106.75</v>
      </c>
      <c r="T216">
        <v>1.25</v>
      </c>
    </row>
    <row r="217" spans="1:20">
      <c r="A217" s="1">
        <f>HYPERLINK("https://cms.ls-nyc.org/matter/dynamic-profile/view/1876334","18-1876334")</f>
        <v>0</v>
      </c>
      <c r="B217" t="s">
        <v>23</v>
      </c>
      <c r="C217" t="s">
        <v>43</v>
      </c>
      <c r="D217" t="s">
        <v>173</v>
      </c>
      <c r="E217" t="s">
        <v>437</v>
      </c>
      <c r="F217" t="s">
        <v>745</v>
      </c>
      <c r="G217" t="s">
        <v>903</v>
      </c>
      <c r="H217" t="s">
        <v>1185</v>
      </c>
      <c r="I217" t="s">
        <v>1234</v>
      </c>
      <c r="J217">
        <v>10033</v>
      </c>
      <c r="K217" t="s">
        <v>1237</v>
      </c>
      <c r="L217" t="s">
        <v>1237</v>
      </c>
      <c r="M217" t="s">
        <v>1240</v>
      </c>
      <c r="N217" t="s">
        <v>1260</v>
      </c>
      <c r="O217" t="s">
        <v>173</v>
      </c>
      <c r="P217">
        <v>107.25</v>
      </c>
      <c r="T217">
        <v>1.1</v>
      </c>
    </row>
    <row r="218" spans="1:20">
      <c r="A218" s="1">
        <f>HYPERLINK("https://cms.ls-nyc.org/matter/dynamic-profile/view/1897239","19-1897239")</f>
        <v>0</v>
      </c>
      <c r="B218" t="s">
        <v>21</v>
      </c>
      <c r="C218" t="s">
        <v>43</v>
      </c>
      <c r="D218" t="s">
        <v>106</v>
      </c>
      <c r="E218" t="s">
        <v>438</v>
      </c>
      <c r="F218" t="s">
        <v>746</v>
      </c>
      <c r="G218" t="s">
        <v>1007</v>
      </c>
      <c r="H218" t="s">
        <v>1122</v>
      </c>
      <c r="I218" t="s">
        <v>1234</v>
      </c>
      <c r="J218">
        <v>10034</v>
      </c>
      <c r="K218" t="s">
        <v>1237</v>
      </c>
      <c r="L218" t="s">
        <v>1237</v>
      </c>
      <c r="N218" t="s">
        <v>1261</v>
      </c>
      <c r="O218" t="s">
        <v>106</v>
      </c>
      <c r="P218">
        <v>107.63</v>
      </c>
      <c r="T218">
        <v>20</v>
      </c>
    </row>
    <row r="219" spans="1:20">
      <c r="A219" s="1">
        <f>HYPERLINK("https://cms.ls-nyc.org/matter/dynamic-profile/view/1847647","17-1847647")</f>
        <v>0</v>
      </c>
      <c r="B219" t="s">
        <v>28</v>
      </c>
      <c r="C219" t="s">
        <v>43</v>
      </c>
      <c r="D219" t="s">
        <v>88</v>
      </c>
      <c r="E219" t="s">
        <v>355</v>
      </c>
      <c r="F219" t="s">
        <v>634</v>
      </c>
      <c r="G219" t="s">
        <v>934</v>
      </c>
      <c r="H219" t="s">
        <v>1164</v>
      </c>
      <c r="I219" t="s">
        <v>1234</v>
      </c>
      <c r="J219">
        <v>10034</v>
      </c>
      <c r="K219" t="s">
        <v>1237</v>
      </c>
      <c r="L219" t="s">
        <v>1236</v>
      </c>
      <c r="M219" t="s">
        <v>1240</v>
      </c>
      <c r="N219" t="s">
        <v>1258</v>
      </c>
      <c r="O219" t="s">
        <v>248</v>
      </c>
      <c r="P219">
        <v>107.79</v>
      </c>
      <c r="T219">
        <v>0</v>
      </c>
    </row>
    <row r="220" spans="1:20">
      <c r="A220" s="1">
        <f>HYPERLINK("https://cms.ls-nyc.org/matter/dynamic-profile/view/1887998","19-1887998")</f>
        <v>0</v>
      </c>
      <c r="B220" t="s">
        <v>22</v>
      </c>
      <c r="C220" t="s">
        <v>43</v>
      </c>
      <c r="D220" t="s">
        <v>146</v>
      </c>
      <c r="E220" t="s">
        <v>439</v>
      </c>
      <c r="F220" t="s">
        <v>747</v>
      </c>
      <c r="G220" t="s">
        <v>917</v>
      </c>
      <c r="H220">
        <v>31</v>
      </c>
      <c r="I220" t="s">
        <v>1234</v>
      </c>
      <c r="J220">
        <v>10034</v>
      </c>
      <c r="K220" t="s">
        <v>1237</v>
      </c>
      <c r="L220" t="s">
        <v>1237</v>
      </c>
      <c r="M220" t="s">
        <v>1240</v>
      </c>
      <c r="N220" t="s">
        <v>1258</v>
      </c>
      <c r="O220" t="s">
        <v>146</v>
      </c>
      <c r="P220">
        <v>108.26</v>
      </c>
      <c r="T220">
        <v>1.1</v>
      </c>
    </row>
    <row r="221" spans="1:20">
      <c r="A221" s="1">
        <f>HYPERLINK("https://cms.ls-nyc.org/matter/dynamic-profile/view/1861226","18-1861226")</f>
        <v>0</v>
      </c>
      <c r="B221" t="s">
        <v>22</v>
      </c>
      <c r="C221" t="s">
        <v>43</v>
      </c>
      <c r="D221" t="s">
        <v>125</v>
      </c>
      <c r="E221" t="s">
        <v>440</v>
      </c>
      <c r="F221" t="s">
        <v>748</v>
      </c>
      <c r="G221" t="s">
        <v>961</v>
      </c>
      <c r="H221">
        <v>24</v>
      </c>
      <c r="I221" t="s">
        <v>1234</v>
      </c>
      <c r="J221">
        <v>10031</v>
      </c>
      <c r="K221" t="s">
        <v>1237</v>
      </c>
      <c r="L221" t="s">
        <v>1236</v>
      </c>
      <c r="M221" t="s">
        <v>1250</v>
      </c>
      <c r="N221" t="s">
        <v>1260</v>
      </c>
      <c r="O221" t="s">
        <v>125</v>
      </c>
      <c r="P221">
        <v>108.85</v>
      </c>
      <c r="Q221" t="s">
        <v>1304</v>
      </c>
      <c r="T221">
        <v>6.7</v>
      </c>
    </row>
    <row r="222" spans="1:20">
      <c r="A222" s="1">
        <f>HYPERLINK("https://cms.ls-nyc.org/matter/dynamic-profile/view/1889313","19-1889313")</f>
        <v>0</v>
      </c>
      <c r="B222" t="s">
        <v>22</v>
      </c>
      <c r="C222" t="s">
        <v>43</v>
      </c>
      <c r="D222" t="s">
        <v>59</v>
      </c>
      <c r="E222" t="s">
        <v>441</v>
      </c>
      <c r="F222" t="s">
        <v>659</v>
      </c>
      <c r="G222" t="s">
        <v>1008</v>
      </c>
      <c r="H222" t="s">
        <v>1186</v>
      </c>
      <c r="I222" t="s">
        <v>1234</v>
      </c>
      <c r="J222">
        <v>10034</v>
      </c>
      <c r="K222" t="s">
        <v>1237</v>
      </c>
      <c r="L222" t="s">
        <v>1237</v>
      </c>
      <c r="M222" t="s">
        <v>1244</v>
      </c>
      <c r="N222" t="s">
        <v>1261</v>
      </c>
      <c r="O222" t="s">
        <v>59</v>
      </c>
      <c r="P222">
        <v>109.05</v>
      </c>
      <c r="T222">
        <v>2.6</v>
      </c>
    </row>
    <row r="223" spans="1:20">
      <c r="A223" s="1">
        <f>HYPERLINK("https://cms.ls-nyc.org/matter/dynamic-profile/view/1845745","17-1845745")</f>
        <v>0</v>
      </c>
      <c r="B223" t="s">
        <v>22</v>
      </c>
      <c r="C223" t="s">
        <v>43</v>
      </c>
      <c r="D223" t="s">
        <v>193</v>
      </c>
      <c r="E223" t="s">
        <v>442</v>
      </c>
      <c r="F223" t="s">
        <v>348</v>
      </c>
      <c r="G223" t="s">
        <v>1009</v>
      </c>
      <c r="H223">
        <v>23</v>
      </c>
      <c r="I223" t="s">
        <v>1234</v>
      </c>
      <c r="J223">
        <v>10034</v>
      </c>
      <c r="K223" t="s">
        <v>1237</v>
      </c>
      <c r="L223" t="s">
        <v>1236</v>
      </c>
      <c r="M223" t="s">
        <v>1241</v>
      </c>
      <c r="N223" t="s">
        <v>1259</v>
      </c>
      <c r="O223" t="s">
        <v>134</v>
      </c>
      <c r="P223">
        <v>109.22</v>
      </c>
      <c r="T223">
        <v>5.3</v>
      </c>
    </row>
    <row r="224" spans="1:20">
      <c r="A224" s="1">
        <f>HYPERLINK("https://cms.ls-nyc.org/matter/dynamic-profile/view/1887304","19-1887304")</f>
        <v>0</v>
      </c>
      <c r="B224" t="s">
        <v>22</v>
      </c>
      <c r="C224" t="s">
        <v>43</v>
      </c>
      <c r="D224" t="s">
        <v>194</v>
      </c>
      <c r="E224" t="s">
        <v>443</v>
      </c>
      <c r="F224" t="s">
        <v>731</v>
      </c>
      <c r="G224" t="s">
        <v>944</v>
      </c>
      <c r="H224">
        <v>5</v>
      </c>
      <c r="I224" t="s">
        <v>1234</v>
      </c>
      <c r="J224">
        <v>10034</v>
      </c>
      <c r="K224" t="s">
        <v>1237</v>
      </c>
      <c r="L224" t="s">
        <v>1237</v>
      </c>
      <c r="M224" t="s">
        <v>1248</v>
      </c>
      <c r="N224" t="s">
        <v>1259</v>
      </c>
      <c r="O224" t="s">
        <v>194</v>
      </c>
      <c r="P224">
        <v>109.36</v>
      </c>
      <c r="T224">
        <v>18.07</v>
      </c>
    </row>
    <row r="225" spans="1:20">
      <c r="A225" s="1">
        <f>HYPERLINK("https://cms.ls-nyc.org/matter/dynamic-profile/view/1897803","19-1897803")</f>
        <v>0</v>
      </c>
      <c r="B225" t="s">
        <v>24</v>
      </c>
      <c r="C225" t="s">
        <v>43</v>
      </c>
      <c r="D225" t="s">
        <v>57</v>
      </c>
      <c r="E225" t="s">
        <v>444</v>
      </c>
      <c r="F225" t="s">
        <v>749</v>
      </c>
      <c r="G225" t="s">
        <v>1010</v>
      </c>
      <c r="H225" t="s">
        <v>1187</v>
      </c>
      <c r="I225" t="s">
        <v>1234</v>
      </c>
      <c r="J225">
        <v>10032</v>
      </c>
      <c r="K225" t="s">
        <v>1237</v>
      </c>
      <c r="L225" t="s">
        <v>1237</v>
      </c>
      <c r="M225" t="s">
        <v>1244</v>
      </c>
      <c r="N225" t="s">
        <v>1258</v>
      </c>
      <c r="O225" t="s">
        <v>57</v>
      </c>
      <c r="P225">
        <v>109.7</v>
      </c>
      <c r="T225">
        <v>6.7</v>
      </c>
    </row>
    <row r="226" spans="1:20">
      <c r="A226" s="1">
        <f>HYPERLINK("https://cms.ls-nyc.org/matter/dynamic-profile/view/1835693","17-1835693")</f>
        <v>0</v>
      </c>
      <c r="B226" t="s">
        <v>22</v>
      </c>
      <c r="C226" t="s">
        <v>43</v>
      </c>
      <c r="D226" t="s">
        <v>47</v>
      </c>
      <c r="E226" t="s">
        <v>440</v>
      </c>
      <c r="F226" t="s">
        <v>748</v>
      </c>
      <c r="G226" t="s">
        <v>961</v>
      </c>
      <c r="H226">
        <v>24</v>
      </c>
      <c r="I226" t="s">
        <v>1234</v>
      </c>
      <c r="J226">
        <v>10031</v>
      </c>
      <c r="K226" t="s">
        <v>1237</v>
      </c>
      <c r="L226" t="s">
        <v>1236</v>
      </c>
      <c r="M226" t="s">
        <v>1242</v>
      </c>
      <c r="N226" t="s">
        <v>1258</v>
      </c>
      <c r="O226" t="s">
        <v>47</v>
      </c>
      <c r="P226">
        <v>110.32</v>
      </c>
      <c r="Q226" t="s">
        <v>1304</v>
      </c>
      <c r="T226">
        <v>99.09999999999999</v>
      </c>
    </row>
    <row r="227" spans="1:20">
      <c r="A227" s="1">
        <f>HYPERLINK("https://cms.ls-nyc.org/matter/dynamic-profile/view/0821996","16-0821996")</f>
        <v>0</v>
      </c>
      <c r="B227" t="s">
        <v>28</v>
      </c>
      <c r="C227" t="s">
        <v>43</v>
      </c>
      <c r="D227" t="s">
        <v>195</v>
      </c>
      <c r="E227" t="s">
        <v>445</v>
      </c>
      <c r="F227" t="s">
        <v>689</v>
      </c>
      <c r="G227" t="s">
        <v>910</v>
      </c>
      <c r="H227">
        <v>43</v>
      </c>
      <c r="I227" t="s">
        <v>1234</v>
      </c>
      <c r="J227">
        <v>10032</v>
      </c>
      <c r="K227" t="s">
        <v>1237</v>
      </c>
      <c r="L227" t="s">
        <v>1236</v>
      </c>
      <c r="M227" t="s">
        <v>1241</v>
      </c>
      <c r="N227" t="s">
        <v>1258</v>
      </c>
      <c r="O227" t="s">
        <v>1264</v>
      </c>
      <c r="P227">
        <v>110.55</v>
      </c>
      <c r="Q227" t="s">
        <v>1302</v>
      </c>
      <c r="T227">
        <v>1.75</v>
      </c>
    </row>
    <row r="228" spans="1:20">
      <c r="A228" s="1">
        <f>HYPERLINK("https://cms.ls-nyc.org/matter/dynamic-profile/view/1854958","18-1854958")</f>
        <v>0</v>
      </c>
      <c r="B228" t="s">
        <v>22</v>
      </c>
      <c r="C228" t="s">
        <v>43</v>
      </c>
      <c r="D228" t="s">
        <v>196</v>
      </c>
      <c r="E228" t="s">
        <v>446</v>
      </c>
      <c r="F228" t="s">
        <v>676</v>
      </c>
      <c r="G228" t="s">
        <v>1011</v>
      </c>
      <c r="H228" t="s">
        <v>1120</v>
      </c>
      <c r="I228" t="s">
        <v>1234</v>
      </c>
      <c r="J228">
        <v>10034</v>
      </c>
      <c r="K228" t="s">
        <v>1237</v>
      </c>
      <c r="L228" t="s">
        <v>1236</v>
      </c>
      <c r="M228" t="s">
        <v>1242</v>
      </c>
      <c r="N228" t="s">
        <v>1258</v>
      </c>
      <c r="O228" t="s">
        <v>196</v>
      </c>
      <c r="P228">
        <v>110.6</v>
      </c>
      <c r="T228">
        <v>20.1</v>
      </c>
    </row>
    <row r="229" spans="1:20">
      <c r="A229" s="1">
        <f>HYPERLINK("https://cms.ls-nyc.org/matter/dynamic-profile/view/1892749","19-1892749")</f>
        <v>0</v>
      </c>
      <c r="B229" t="s">
        <v>20</v>
      </c>
      <c r="C229" t="s">
        <v>43</v>
      </c>
      <c r="D229" t="s">
        <v>169</v>
      </c>
      <c r="E229" t="s">
        <v>447</v>
      </c>
      <c r="F229" t="s">
        <v>750</v>
      </c>
      <c r="G229" t="s">
        <v>1012</v>
      </c>
      <c r="H229">
        <v>6</v>
      </c>
      <c r="I229" t="s">
        <v>1234</v>
      </c>
      <c r="J229">
        <v>10031</v>
      </c>
      <c r="K229" t="s">
        <v>1236</v>
      </c>
      <c r="L229" t="s">
        <v>1236</v>
      </c>
      <c r="N229" t="s">
        <v>1262</v>
      </c>
      <c r="P229">
        <v>111.13</v>
      </c>
      <c r="T229">
        <v>3.3</v>
      </c>
    </row>
    <row r="230" spans="1:20">
      <c r="A230" s="1">
        <f>HYPERLINK("https://cms.ls-nyc.org/matter/dynamic-profile/view/1889861","19-1889861")</f>
        <v>0</v>
      </c>
      <c r="B230" t="s">
        <v>31</v>
      </c>
      <c r="C230" t="s">
        <v>43</v>
      </c>
      <c r="D230" t="s">
        <v>197</v>
      </c>
      <c r="E230" t="s">
        <v>448</v>
      </c>
      <c r="F230" t="s">
        <v>751</v>
      </c>
      <c r="G230" t="s">
        <v>1013</v>
      </c>
      <c r="H230" t="s">
        <v>1143</v>
      </c>
      <c r="I230" t="s">
        <v>1234</v>
      </c>
      <c r="J230">
        <v>10034</v>
      </c>
      <c r="K230" t="s">
        <v>1237</v>
      </c>
      <c r="L230" t="s">
        <v>1236</v>
      </c>
      <c r="M230" t="s">
        <v>1243</v>
      </c>
      <c r="N230" t="s">
        <v>1260</v>
      </c>
      <c r="O230" t="s">
        <v>197</v>
      </c>
      <c r="P230">
        <v>111.45</v>
      </c>
      <c r="T230">
        <v>1.3</v>
      </c>
    </row>
    <row r="231" spans="1:20">
      <c r="A231" s="1">
        <f>HYPERLINK("https://cms.ls-nyc.org/matter/dynamic-profile/view/1889917","19-1889917")</f>
        <v>0</v>
      </c>
      <c r="B231" t="s">
        <v>31</v>
      </c>
      <c r="C231" t="s">
        <v>43</v>
      </c>
      <c r="D231" t="s">
        <v>183</v>
      </c>
      <c r="E231" t="s">
        <v>448</v>
      </c>
      <c r="F231" t="s">
        <v>751</v>
      </c>
      <c r="G231" t="s">
        <v>1013</v>
      </c>
      <c r="H231" t="s">
        <v>1143</v>
      </c>
      <c r="I231" t="s">
        <v>1234</v>
      </c>
      <c r="J231">
        <v>10034</v>
      </c>
      <c r="K231" t="s">
        <v>1237</v>
      </c>
      <c r="L231" t="s">
        <v>1236</v>
      </c>
      <c r="M231" t="s">
        <v>1243</v>
      </c>
      <c r="N231" t="s">
        <v>1260</v>
      </c>
      <c r="O231" t="s">
        <v>183</v>
      </c>
      <c r="P231">
        <v>111.45</v>
      </c>
      <c r="T231">
        <v>9</v>
      </c>
    </row>
    <row r="232" spans="1:20">
      <c r="A232" s="1">
        <f>HYPERLINK("https://cms.ls-nyc.org/matter/dynamic-profile/view/1865962","18-1865962")</f>
        <v>0</v>
      </c>
      <c r="B232" t="s">
        <v>29</v>
      </c>
      <c r="C232" t="s">
        <v>43</v>
      </c>
      <c r="D232" t="s">
        <v>198</v>
      </c>
      <c r="E232" t="s">
        <v>449</v>
      </c>
      <c r="F232" t="s">
        <v>685</v>
      </c>
      <c r="G232" t="s">
        <v>937</v>
      </c>
      <c r="H232" t="s">
        <v>1188</v>
      </c>
      <c r="I232" t="s">
        <v>1234</v>
      </c>
      <c r="J232">
        <v>10031</v>
      </c>
      <c r="K232" t="s">
        <v>1237</v>
      </c>
      <c r="L232" t="s">
        <v>1236</v>
      </c>
      <c r="M232" t="s">
        <v>1240</v>
      </c>
      <c r="N232" t="s">
        <v>1258</v>
      </c>
      <c r="O232" t="s">
        <v>198</v>
      </c>
      <c r="P232">
        <v>111.98</v>
      </c>
      <c r="T232">
        <v>0.25</v>
      </c>
    </row>
    <row r="233" spans="1:20">
      <c r="A233" s="1">
        <f>HYPERLINK("https://cms.ls-nyc.org/matter/dynamic-profile/view/1893564","19-1893564")</f>
        <v>0</v>
      </c>
      <c r="B233" t="s">
        <v>21</v>
      </c>
      <c r="C233" t="s">
        <v>43</v>
      </c>
      <c r="D233" t="s">
        <v>120</v>
      </c>
      <c r="E233" t="s">
        <v>450</v>
      </c>
      <c r="F233" t="s">
        <v>752</v>
      </c>
      <c r="G233" t="s">
        <v>1014</v>
      </c>
      <c r="H233" t="s">
        <v>1125</v>
      </c>
      <c r="I233" t="s">
        <v>1234</v>
      </c>
      <c r="J233">
        <v>10034</v>
      </c>
      <c r="K233" t="s">
        <v>1236</v>
      </c>
      <c r="L233" t="s">
        <v>1236</v>
      </c>
      <c r="M233" t="s">
        <v>1242</v>
      </c>
      <c r="N233" t="s">
        <v>1261</v>
      </c>
      <c r="P233">
        <v>112.27</v>
      </c>
      <c r="T233">
        <v>2.6</v>
      </c>
    </row>
    <row r="234" spans="1:20">
      <c r="A234" s="1">
        <f>HYPERLINK("https://cms.ls-nyc.org/matter/dynamic-profile/view/0822673","16-0822673")</f>
        <v>0</v>
      </c>
      <c r="B234" t="s">
        <v>25</v>
      </c>
      <c r="C234" t="s">
        <v>43</v>
      </c>
      <c r="D234" t="s">
        <v>199</v>
      </c>
      <c r="E234" t="s">
        <v>317</v>
      </c>
      <c r="F234" t="s">
        <v>753</v>
      </c>
      <c r="G234" t="s">
        <v>1001</v>
      </c>
      <c r="H234" t="s">
        <v>1189</v>
      </c>
      <c r="I234" t="s">
        <v>1234</v>
      </c>
      <c r="J234">
        <v>10034</v>
      </c>
      <c r="K234" t="s">
        <v>1237</v>
      </c>
      <c r="L234" t="s">
        <v>1236</v>
      </c>
      <c r="M234" t="s">
        <v>1240</v>
      </c>
      <c r="N234" t="s">
        <v>1259</v>
      </c>
      <c r="O234" t="s">
        <v>175</v>
      </c>
      <c r="P234">
        <v>112.36</v>
      </c>
      <c r="T234">
        <v>19.6</v>
      </c>
    </row>
    <row r="235" spans="1:20">
      <c r="A235" s="1">
        <f>HYPERLINK("https://cms.ls-nyc.org/matter/dynamic-profile/view/1889638","19-1889638")</f>
        <v>0</v>
      </c>
      <c r="B235" t="s">
        <v>25</v>
      </c>
      <c r="C235" t="s">
        <v>43</v>
      </c>
      <c r="D235" t="s">
        <v>200</v>
      </c>
      <c r="E235" t="s">
        <v>349</v>
      </c>
      <c r="F235" t="s">
        <v>754</v>
      </c>
      <c r="G235" t="s">
        <v>1015</v>
      </c>
      <c r="H235">
        <v>65</v>
      </c>
      <c r="I235" t="s">
        <v>1234</v>
      </c>
      <c r="J235">
        <v>10034</v>
      </c>
      <c r="K235" t="s">
        <v>1237</v>
      </c>
      <c r="L235" t="s">
        <v>1237</v>
      </c>
      <c r="M235" t="s">
        <v>1239</v>
      </c>
      <c r="N235" t="s">
        <v>1258</v>
      </c>
      <c r="O235" t="s">
        <v>200</v>
      </c>
      <c r="P235">
        <v>112.52</v>
      </c>
      <c r="T235">
        <v>26.9</v>
      </c>
    </row>
    <row r="236" spans="1:20">
      <c r="A236" s="1">
        <f>HYPERLINK("https://cms.ls-nyc.org/matter/dynamic-profile/view/1836774","17-1836774")</f>
        <v>0</v>
      </c>
      <c r="B236" t="s">
        <v>22</v>
      </c>
      <c r="C236" t="s">
        <v>43</v>
      </c>
      <c r="D236" t="s">
        <v>201</v>
      </c>
      <c r="E236" t="s">
        <v>309</v>
      </c>
      <c r="F236" t="s">
        <v>693</v>
      </c>
      <c r="G236" t="s">
        <v>940</v>
      </c>
      <c r="H236" t="s">
        <v>1190</v>
      </c>
      <c r="I236" t="s">
        <v>1234</v>
      </c>
      <c r="J236">
        <v>10034</v>
      </c>
      <c r="K236" t="s">
        <v>1237</v>
      </c>
      <c r="L236" t="s">
        <v>1236</v>
      </c>
      <c r="M236" t="s">
        <v>1240</v>
      </c>
      <c r="N236" t="s">
        <v>1259</v>
      </c>
      <c r="O236" t="s">
        <v>1264</v>
      </c>
      <c r="P236">
        <v>112.63</v>
      </c>
      <c r="T236">
        <v>4.7</v>
      </c>
    </row>
    <row r="237" spans="1:20">
      <c r="A237" s="1">
        <f>HYPERLINK("https://cms.ls-nyc.org/matter/dynamic-profile/view/1841253","17-1841253")</f>
        <v>0</v>
      </c>
      <c r="B237" t="s">
        <v>22</v>
      </c>
      <c r="C237" t="s">
        <v>43</v>
      </c>
      <c r="D237" t="s">
        <v>202</v>
      </c>
      <c r="E237" t="s">
        <v>309</v>
      </c>
      <c r="F237" t="s">
        <v>693</v>
      </c>
      <c r="G237" t="s">
        <v>940</v>
      </c>
      <c r="H237" t="s">
        <v>1190</v>
      </c>
      <c r="I237" t="s">
        <v>1234</v>
      </c>
      <c r="J237">
        <v>10034</v>
      </c>
      <c r="K237" t="s">
        <v>1237</v>
      </c>
      <c r="L237" t="s">
        <v>1236</v>
      </c>
      <c r="M237" t="s">
        <v>1242</v>
      </c>
      <c r="N237" t="s">
        <v>1258</v>
      </c>
      <c r="O237" t="s">
        <v>202</v>
      </c>
      <c r="P237">
        <v>112.63</v>
      </c>
      <c r="T237">
        <v>5.4</v>
      </c>
    </row>
    <row r="238" spans="1:20">
      <c r="A238" s="1">
        <f>HYPERLINK("https://cms.ls-nyc.org/matter/dynamic-profile/view/1873845","18-1873845")</f>
        <v>0</v>
      </c>
      <c r="B238" t="s">
        <v>23</v>
      </c>
      <c r="C238" t="s">
        <v>43</v>
      </c>
      <c r="D238" t="s">
        <v>91</v>
      </c>
      <c r="E238" t="s">
        <v>451</v>
      </c>
      <c r="F238" t="s">
        <v>755</v>
      </c>
      <c r="G238" t="s">
        <v>903</v>
      </c>
      <c r="H238" t="s">
        <v>1121</v>
      </c>
      <c r="I238" t="s">
        <v>1234</v>
      </c>
      <c r="J238">
        <v>10033</v>
      </c>
      <c r="K238" t="s">
        <v>1237</v>
      </c>
      <c r="L238" t="s">
        <v>1237</v>
      </c>
      <c r="M238" t="s">
        <v>1240</v>
      </c>
      <c r="N238" t="s">
        <v>1260</v>
      </c>
      <c r="O238" t="s">
        <v>91</v>
      </c>
      <c r="P238">
        <v>112.73</v>
      </c>
      <c r="T238">
        <v>0.3</v>
      </c>
    </row>
    <row r="239" spans="1:20">
      <c r="A239" s="1">
        <f>HYPERLINK("https://cms.ls-nyc.org/matter/dynamic-profile/view/1840469","17-1840469")</f>
        <v>0</v>
      </c>
      <c r="B239" t="s">
        <v>29</v>
      </c>
      <c r="C239" t="s">
        <v>43</v>
      </c>
      <c r="D239" t="s">
        <v>94</v>
      </c>
      <c r="E239" t="s">
        <v>452</v>
      </c>
      <c r="F239" t="s">
        <v>756</v>
      </c>
      <c r="G239" t="s">
        <v>979</v>
      </c>
      <c r="H239" t="s">
        <v>1191</v>
      </c>
      <c r="I239" t="s">
        <v>1234</v>
      </c>
      <c r="J239">
        <v>10034</v>
      </c>
      <c r="K239" t="s">
        <v>1237</v>
      </c>
      <c r="L239" t="s">
        <v>1236</v>
      </c>
      <c r="M239" t="s">
        <v>1244</v>
      </c>
      <c r="N239" t="s">
        <v>1259</v>
      </c>
      <c r="O239" t="s">
        <v>134</v>
      </c>
      <c r="P239">
        <v>114.59</v>
      </c>
      <c r="T239">
        <v>8</v>
      </c>
    </row>
    <row r="240" spans="1:20">
      <c r="A240" s="1">
        <f>HYPERLINK("https://cms.ls-nyc.org/matter/dynamic-profile/view/1846029","17-1846029")</f>
        <v>0</v>
      </c>
      <c r="B240" t="s">
        <v>28</v>
      </c>
      <c r="C240" t="s">
        <v>43</v>
      </c>
      <c r="D240" t="s">
        <v>203</v>
      </c>
      <c r="E240" t="s">
        <v>453</v>
      </c>
      <c r="F240" t="s">
        <v>757</v>
      </c>
      <c r="G240" t="s">
        <v>989</v>
      </c>
      <c r="H240">
        <v>5</v>
      </c>
      <c r="I240" t="s">
        <v>1234</v>
      </c>
      <c r="J240">
        <v>10034</v>
      </c>
      <c r="K240" t="s">
        <v>1237</v>
      </c>
      <c r="L240" t="s">
        <v>1236</v>
      </c>
      <c r="M240" t="s">
        <v>1239</v>
      </c>
      <c r="N240" t="s">
        <v>1259</v>
      </c>
      <c r="O240" t="s">
        <v>1284</v>
      </c>
      <c r="P240">
        <v>114.66</v>
      </c>
      <c r="T240">
        <v>35.3</v>
      </c>
    </row>
    <row r="241" spans="1:20">
      <c r="A241" s="1">
        <f>HYPERLINK("https://cms.ls-nyc.org/matter/dynamic-profile/view/1885141","18-1885141")</f>
        <v>0</v>
      </c>
      <c r="B241" t="s">
        <v>26</v>
      </c>
      <c r="C241" t="s">
        <v>43</v>
      </c>
      <c r="D241" t="s">
        <v>204</v>
      </c>
      <c r="E241" t="s">
        <v>448</v>
      </c>
      <c r="F241" t="s">
        <v>751</v>
      </c>
      <c r="G241" t="s">
        <v>1016</v>
      </c>
      <c r="H241" t="s">
        <v>1143</v>
      </c>
      <c r="I241" t="s">
        <v>1234</v>
      </c>
      <c r="J241">
        <v>10034</v>
      </c>
      <c r="K241" t="s">
        <v>1237</v>
      </c>
      <c r="L241" t="s">
        <v>1237</v>
      </c>
      <c r="N241" t="s">
        <v>1259</v>
      </c>
      <c r="O241" t="s">
        <v>204</v>
      </c>
      <c r="P241">
        <v>114.66</v>
      </c>
      <c r="T241">
        <v>19.9</v>
      </c>
    </row>
    <row r="242" spans="1:20">
      <c r="A242" s="1">
        <f>HYPERLINK("https://cms.ls-nyc.org/matter/dynamic-profile/view/1881390","18-1881390")</f>
        <v>0</v>
      </c>
      <c r="B242" t="s">
        <v>29</v>
      </c>
      <c r="C242" t="s">
        <v>43</v>
      </c>
      <c r="D242" t="s">
        <v>69</v>
      </c>
      <c r="E242" t="s">
        <v>317</v>
      </c>
      <c r="F242" t="s">
        <v>638</v>
      </c>
      <c r="G242" t="s">
        <v>937</v>
      </c>
      <c r="H242" t="s">
        <v>1113</v>
      </c>
      <c r="I242" t="s">
        <v>1234</v>
      </c>
      <c r="J242">
        <v>10031</v>
      </c>
      <c r="K242" t="s">
        <v>1237</v>
      </c>
      <c r="L242" t="s">
        <v>1237</v>
      </c>
      <c r="M242" t="s">
        <v>1240</v>
      </c>
      <c r="N242" t="s">
        <v>1258</v>
      </c>
      <c r="O242" t="s">
        <v>246</v>
      </c>
      <c r="P242">
        <v>114.68</v>
      </c>
      <c r="T242">
        <v>2.2</v>
      </c>
    </row>
    <row r="243" spans="1:20">
      <c r="A243" s="1">
        <f>HYPERLINK("https://cms.ls-nyc.org/matter/dynamic-profile/view/1872389","18-1872389")</f>
        <v>0</v>
      </c>
      <c r="B243" t="s">
        <v>22</v>
      </c>
      <c r="C243" t="s">
        <v>43</v>
      </c>
      <c r="D243" t="s">
        <v>205</v>
      </c>
      <c r="E243" t="s">
        <v>317</v>
      </c>
      <c r="F243" t="s">
        <v>758</v>
      </c>
      <c r="G243" t="s">
        <v>1017</v>
      </c>
      <c r="H243">
        <v>5</v>
      </c>
      <c r="I243" t="s">
        <v>1234</v>
      </c>
      <c r="J243">
        <v>10034</v>
      </c>
      <c r="K243" t="s">
        <v>1237</v>
      </c>
      <c r="L243" t="s">
        <v>1237</v>
      </c>
      <c r="M243" t="s">
        <v>1242</v>
      </c>
      <c r="N243" t="s">
        <v>1258</v>
      </c>
      <c r="O243" t="s">
        <v>205</v>
      </c>
      <c r="P243">
        <v>114.89</v>
      </c>
      <c r="T243">
        <v>44.9</v>
      </c>
    </row>
    <row r="244" spans="1:20">
      <c r="A244" s="1">
        <f>HYPERLINK("https://cms.ls-nyc.org/matter/dynamic-profile/view/1867544","18-1867544")</f>
        <v>0</v>
      </c>
      <c r="B244" t="s">
        <v>20</v>
      </c>
      <c r="C244" t="s">
        <v>43</v>
      </c>
      <c r="D244" t="s">
        <v>206</v>
      </c>
      <c r="E244" t="s">
        <v>454</v>
      </c>
      <c r="F244" t="s">
        <v>648</v>
      </c>
      <c r="G244" t="s">
        <v>1001</v>
      </c>
      <c r="H244" t="s">
        <v>1137</v>
      </c>
      <c r="I244" t="s">
        <v>1234</v>
      </c>
      <c r="J244">
        <v>10034</v>
      </c>
      <c r="K244" t="s">
        <v>1237</v>
      </c>
      <c r="L244" t="s">
        <v>1236</v>
      </c>
      <c r="M244" t="s">
        <v>1242</v>
      </c>
      <c r="O244" t="s">
        <v>85</v>
      </c>
      <c r="P244">
        <v>115.32</v>
      </c>
      <c r="T244">
        <v>1</v>
      </c>
    </row>
    <row r="245" spans="1:20">
      <c r="A245" s="1">
        <f>HYPERLINK("https://cms.ls-nyc.org/matter/dynamic-profile/view/1836743","17-1836743")</f>
        <v>0</v>
      </c>
      <c r="B245" t="s">
        <v>28</v>
      </c>
      <c r="C245" t="s">
        <v>43</v>
      </c>
      <c r="D245" t="s">
        <v>201</v>
      </c>
      <c r="E245" t="s">
        <v>455</v>
      </c>
      <c r="F245" t="s">
        <v>677</v>
      </c>
      <c r="G245" t="s">
        <v>940</v>
      </c>
      <c r="H245" t="s">
        <v>1192</v>
      </c>
      <c r="I245" t="s">
        <v>1234</v>
      </c>
      <c r="J245">
        <v>10034</v>
      </c>
      <c r="K245" t="s">
        <v>1237</v>
      </c>
      <c r="L245" t="s">
        <v>1236</v>
      </c>
      <c r="M245" t="s">
        <v>1241</v>
      </c>
      <c r="N245" t="s">
        <v>1259</v>
      </c>
      <c r="O245" t="s">
        <v>1264</v>
      </c>
      <c r="P245">
        <v>117.06</v>
      </c>
      <c r="T245">
        <v>1.3</v>
      </c>
    </row>
    <row r="246" spans="1:20">
      <c r="A246" s="1">
        <f>HYPERLINK("https://cms.ls-nyc.org/matter/dynamic-profile/view/1834387","17-1834387")</f>
        <v>0</v>
      </c>
      <c r="B246" t="s">
        <v>35</v>
      </c>
      <c r="C246" t="s">
        <v>43</v>
      </c>
      <c r="D246" t="s">
        <v>207</v>
      </c>
      <c r="E246" t="s">
        <v>456</v>
      </c>
      <c r="F246" t="s">
        <v>759</v>
      </c>
      <c r="G246" t="s">
        <v>1018</v>
      </c>
      <c r="H246">
        <v>56</v>
      </c>
      <c r="I246" t="s">
        <v>1234</v>
      </c>
      <c r="J246">
        <v>10031</v>
      </c>
      <c r="K246" t="s">
        <v>1237</v>
      </c>
      <c r="L246" t="s">
        <v>1236</v>
      </c>
      <c r="M246" t="s">
        <v>1242</v>
      </c>
      <c r="N246" t="s">
        <v>1258</v>
      </c>
      <c r="O246" t="s">
        <v>84</v>
      </c>
      <c r="P246">
        <v>117.21</v>
      </c>
      <c r="T246">
        <v>34.48</v>
      </c>
    </row>
    <row r="247" spans="1:20">
      <c r="A247" s="1">
        <f>HYPERLINK("https://cms.ls-nyc.org/matter/dynamic-profile/view/1874697","18-1874697")</f>
        <v>0</v>
      </c>
      <c r="B247" t="s">
        <v>23</v>
      </c>
      <c r="C247" t="s">
        <v>43</v>
      </c>
      <c r="D247" t="s">
        <v>208</v>
      </c>
      <c r="E247" t="s">
        <v>326</v>
      </c>
      <c r="F247" t="s">
        <v>709</v>
      </c>
      <c r="G247" t="s">
        <v>903</v>
      </c>
      <c r="H247" t="s">
        <v>1159</v>
      </c>
      <c r="I247" t="s">
        <v>1234</v>
      </c>
      <c r="J247">
        <v>10033</v>
      </c>
      <c r="K247" t="s">
        <v>1237</v>
      </c>
      <c r="L247" t="s">
        <v>1237</v>
      </c>
      <c r="M247" t="s">
        <v>1240</v>
      </c>
      <c r="N247" t="s">
        <v>1260</v>
      </c>
      <c r="O247" t="s">
        <v>208</v>
      </c>
      <c r="P247">
        <v>118.62</v>
      </c>
      <c r="T247">
        <v>1.7</v>
      </c>
    </row>
    <row r="248" spans="1:20">
      <c r="A248" s="1">
        <f>HYPERLINK("https://cms.ls-nyc.org/matter/dynamic-profile/view/1887933","19-1887933")</f>
        <v>0</v>
      </c>
      <c r="B248" t="s">
        <v>22</v>
      </c>
      <c r="C248" t="s">
        <v>43</v>
      </c>
      <c r="D248" t="s">
        <v>146</v>
      </c>
      <c r="E248" t="s">
        <v>457</v>
      </c>
      <c r="F248" t="s">
        <v>682</v>
      </c>
      <c r="G248" t="s">
        <v>1019</v>
      </c>
      <c r="I248" t="s">
        <v>1234</v>
      </c>
      <c r="J248">
        <v>10034</v>
      </c>
      <c r="K248" t="s">
        <v>1237</v>
      </c>
      <c r="L248" t="s">
        <v>1237</v>
      </c>
      <c r="M248" t="s">
        <v>1240</v>
      </c>
      <c r="N248" t="s">
        <v>1258</v>
      </c>
      <c r="O248" t="s">
        <v>146</v>
      </c>
      <c r="P248">
        <v>118.97</v>
      </c>
      <c r="T248">
        <v>0</v>
      </c>
    </row>
    <row r="249" spans="1:20">
      <c r="A249" s="1">
        <f>HYPERLINK("https://cms.ls-nyc.org/matter/dynamic-profile/view/1835437","17-1835437")</f>
        <v>0</v>
      </c>
      <c r="B249" t="s">
        <v>25</v>
      </c>
      <c r="C249" t="s">
        <v>43</v>
      </c>
      <c r="D249" t="s">
        <v>209</v>
      </c>
      <c r="E249" t="s">
        <v>458</v>
      </c>
      <c r="F249" t="s">
        <v>760</v>
      </c>
      <c r="G249" t="s">
        <v>902</v>
      </c>
      <c r="H249" t="s">
        <v>1113</v>
      </c>
      <c r="I249" t="s">
        <v>1234</v>
      </c>
      <c r="J249">
        <v>10033</v>
      </c>
      <c r="K249" t="s">
        <v>1238</v>
      </c>
      <c r="L249" t="s">
        <v>1236</v>
      </c>
      <c r="N249" t="s">
        <v>1259</v>
      </c>
      <c r="O249" t="s">
        <v>1285</v>
      </c>
      <c r="P249">
        <v>119.5</v>
      </c>
      <c r="Q249" t="s">
        <v>1301</v>
      </c>
      <c r="T249">
        <v>0</v>
      </c>
    </row>
    <row r="250" spans="1:20">
      <c r="A250" s="1">
        <f>HYPERLINK("https://cms.ls-nyc.org/matter/dynamic-profile/view/0818324","16-0818324")</f>
        <v>0</v>
      </c>
      <c r="B250" t="s">
        <v>29</v>
      </c>
      <c r="C250" t="s">
        <v>43</v>
      </c>
      <c r="D250" t="s">
        <v>210</v>
      </c>
      <c r="E250" t="s">
        <v>459</v>
      </c>
      <c r="F250" t="s">
        <v>761</v>
      </c>
      <c r="G250" t="s">
        <v>995</v>
      </c>
      <c r="H250" t="s">
        <v>1112</v>
      </c>
      <c r="I250" t="s">
        <v>1234</v>
      </c>
      <c r="J250">
        <v>10034</v>
      </c>
      <c r="K250" t="s">
        <v>1237</v>
      </c>
      <c r="L250" t="s">
        <v>1236</v>
      </c>
      <c r="M250" t="s">
        <v>1252</v>
      </c>
      <c r="N250" t="s">
        <v>1263</v>
      </c>
      <c r="O250" t="s">
        <v>1286</v>
      </c>
      <c r="P250">
        <v>119.88</v>
      </c>
      <c r="T250">
        <v>110.52</v>
      </c>
    </row>
    <row r="251" spans="1:20">
      <c r="A251" s="1">
        <f>HYPERLINK("https://cms.ls-nyc.org/matter/dynamic-profile/view/1901243","19-1901243")</f>
        <v>0</v>
      </c>
      <c r="B251" t="s">
        <v>28</v>
      </c>
      <c r="C251" t="s">
        <v>43</v>
      </c>
      <c r="D251" t="s">
        <v>152</v>
      </c>
      <c r="E251" t="s">
        <v>349</v>
      </c>
      <c r="F251" t="s">
        <v>762</v>
      </c>
      <c r="G251" t="s">
        <v>987</v>
      </c>
      <c r="H251">
        <v>45</v>
      </c>
      <c r="I251" t="s">
        <v>1234</v>
      </c>
      <c r="J251">
        <v>10032</v>
      </c>
      <c r="K251" t="s">
        <v>1237</v>
      </c>
      <c r="L251" t="s">
        <v>1236</v>
      </c>
      <c r="M251" t="s">
        <v>1244</v>
      </c>
      <c r="N251" t="s">
        <v>1260</v>
      </c>
      <c r="O251" t="s">
        <v>152</v>
      </c>
      <c r="P251">
        <v>120.27</v>
      </c>
      <c r="T251">
        <v>0</v>
      </c>
    </row>
    <row r="252" spans="1:20">
      <c r="A252" s="1">
        <f>HYPERLINK("https://cms.ls-nyc.org/matter/dynamic-profile/view/1895304","19-1895304")</f>
        <v>0</v>
      </c>
      <c r="B252" t="s">
        <v>28</v>
      </c>
      <c r="C252" t="s">
        <v>43</v>
      </c>
      <c r="D252" t="s">
        <v>211</v>
      </c>
      <c r="E252" t="s">
        <v>460</v>
      </c>
      <c r="F252" t="s">
        <v>763</v>
      </c>
      <c r="G252" t="s">
        <v>1020</v>
      </c>
      <c r="H252" t="s">
        <v>1193</v>
      </c>
      <c r="I252" t="s">
        <v>1234</v>
      </c>
      <c r="J252">
        <v>10034</v>
      </c>
      <c r="K252" t="s">
        <v>1237</v>
      </c>
      <c r="L252" t="s">
        <v>1236</v>
      </c>
      <c r="M252" t="s">
        <v>1254</v>
      </c>
      <c r="N252" t="s">
        <v>1260</v>
      </c>
      <c r="O252" t="s">
        <v>211</v>
      </c>
      <c r="P252">
        <v>121.06</v>
      </c>
      <c r="T252">
        <v>1.5</v>
      </c>
    </row>
    <row r="253" spans="1:20">
      <c r="A253" s="1">
        <f>HYPERLINK("https://cms.ls-nyc.org/matter/dynamic-profile/view/1836777","17-1836777")</f>
        <v>0</v>
      </c>
      <c r="B253" t="s">
        <v>28</v>
      </c>
      <c r="C253" t="s">
        <v>43</v>
      </c>
      <c r="D253" t="s">
        <v>201</v>
      </c>
      <c r="E253" t="s">
        <v>461</v>
      </c>
      <c r="F253" t="s">
        <v>764</v>
      </c>
      <c r="G253" t="s">
        <v>940</v>
      </c>
      <c r="H253" t="s">
        <v>1194</v>
      </c>
      <c r="I253" t="s">
        <v>1234</v>
      </c>
      <c r="J253">
        <v>10034</v>
      </c>
      <c r="K253" t="s">
        <v>1237</v>
      </c>
      <c r="L253" t="s">
        <v>1236</v>
      </c>
      <c r="M253" t="s">
        <v>1240</v>
      </c>
      <c r="N253" t="s">
        <v>1258</v>
      </c>
      <c r="O253" t="s">
        <v>1287</v>
      </c>
      <c r="P253">
        <v>121.61</v>
      </c>
      <c r="T253">
        <v>0.15</v>
      </c>
    </row>
    <row r="254" spans="1:20">
      <c r="A254" s="1">
        <f>HYPERLINK("https://cms.ls-nyc.org/matter/dynamic-profile/view/1871565","18-1871565")</f>
        <v>0</v>
      </c>
      <c r="B254" t="s">
        <v>22</v>
      </c>
      <c r="C254" t="s">
        <v>43</v>
      </c>
      <c r="D254" t="s">
        <v>46</v>
      </c>
      <c r="E254" t="s">
        <v>462</v>
      </c>
      <c r="F254" t="s">
        <v>765</v>
      </c>
      <c r="G254" t="s">
        <v>896</v>
      </c>
      <c r="H254" t="s">
        <v>1160</v>
      </c>
      <c r="I254" t="s">
        <v>1234</v>
      </c>
      <c r="J254">
        <v>10034</v>
      </c>
      <c r="K254" t="s">
        <v>1237</v>
      </c>
      <c r="L254" t="s">
        <v>1237</v>
      </c>
      <c r="M254" t="s">
        <v>1240</v>
      </c>
      <c r="N254" t="s">
        <v>1258</v>
      </c>
      <c r="O254" t="s">
        <v>46</v>
      </c>
      <c r="P254">
        <v>123.56</v>
      </c>
      <c r="T254">
        <v>1</v>
      </c>
    </row>
    <row r="255" spans="1:20">
      <c r="A255" s="1">
        <f>HYPERLINK("https://cms.ls-nyc.org/matter/dynamic-profile/view/1873835","18-1873835")</f>
        <v>0</v>
      </c>
      <c r="B255" t="s">
        <v>23</v>
      </c>
      <c r="C255" t="s">
        <v>43</v>
      </c>
      <c r="D255" t="s">
        <v>91</v>
      </c>
      <c r="E255" t="s">
        <v>463</v>
      </c>
      <c r="F255" t="s">
        <v>729</v>
      </c>
      <c r="G255" t="s">
        <v>903</v>
      </c>
      <c r="H255" t="s">
        <v>1195</v>
      </c>
      <c r="I255" t="s">
        <v>1234</v>
      </c>
      <c r="J255">
        <v>10033</v>
      </c>
      <c r="K255" t="s">
        <v>1237</v>
      </c>
      <c r="L255" t="s">
        <v>1237</v>
      </c>
      <c r="M255" t="s">
        <v>1240</v>
      </c>
      <c r="N255" t="s">
        <v>1260</v>
      </c>
      <c r="O255" t="s">
        <v>91</v>
      </c>
      <c r="P255">
        <v>123.56</v>
      </c>
      <c r="T255">
        <v>0.2</v>
      </c>
    </row>
    <row r="256" spans="1:20">
      <c r="A256" s="1">
        <f>HYPERLINK("https://cms.ls-nyc.org/matter/dynamic-profile/view/1892836","19-1892836")</f>
        <v>0</v>
      </c>
      <c r="B256" t="s">
        <v>21</v>
      </c>
      <c r="C256" t="s">
        <v>43</v>
      </c>
      <c r="D256" t="s">
        <v>122</v>
      </c>
      <c r="E256" t="s">
        <v>443</v>
      </c>
      <c r="F256" t="s">
        <v>731</v>
      </c>
      <c r="G256" t="s">
        <v>944</v>
      </c>
      <c r="H256">
        <v>5</v>
      </c>
      <c r="I256" t="s">
        <v>1234</v>
      </c>
      <c r="J256">
        <v>10034</v>
      </c>
      <c r="K256" t="s">
        <v>1237</v>
      </c>
      <c r="L256" t="s">
        <v>1237</v>
      </c>
      <c r="N256" t="s">
        <v>1261</v>
      </c>
      <c r="O256" t="s">
        <v>122</v>
      </c>
      <c r="P256">
        <v>123.62</v>
      </c>
      <c r="T256">
        <v>6.2</v>
      </c>
    </row>
    <row r="257" spans="1:20">
      <c r="A257" s="1">
        <f>HYPERLINK("https://cms.ls-nyc.org/matter/dynamic-profile/view/0826270","17-0826270")</f>
        <v>0</v>
      </c>
      <c r="B257" t="s">
        <v>22</v>
      </c>
      <c r="C257" t="s">
        <v>43</v>
      </c>
      <c r="D257" t="s">
        <v>181</v>
      </c>
      <c r="E257" t="s">
        <v>464</v>
      </c>
      <c r="F257" t="s">
        <v>766</v>
      </c>
      <c r="G257" t="s">
        <v>1021</v>
      </c>
      <c r="H257" t="s">
        <v>1121</v>
      </c>
      <c r="I257" t="s">
        <v>1234</v>
      </c>
      <c r="J257">
        <v>10034</v>
      </c>
      <c r="K257" t="s">
        <v>1237</v>
      </c>
      <c r="L257" t="s">
        <v>1236</v>
      </c>
      <c r="M257" t="s">
        <v>1239</v>
      </c>
      <c r="N257" t="s">
        <v>1258</v>
      </c>
      <c r="O257" t="s">
        <v>1288</v>
      </c>
      <c r="P257">
        <v>124.58</v>
      </c>
      <c r="T257">
        <v>113.2</v>
      </c>
    </row>
    <row r="258" spans="1:20">
      <c r="A258" s="1">
        <f>HYPERLINK("https://cms.ls-nyc.org/matter/dynamic-profile/view/1891373","19-1891373")</f>
        <v>0</v>
      </c>
      <c r="B258" t="s">
        <v>31</v>
      </c>
      <c r="C258" t="s">
        <v>43</v>
      </c>
      <c r="D258" t="s">
        <v>158</v>
      </c>
      <c r="E258" t="s">
        <v>325</v>
      </c>
      <c r="F258" t="s">
        <v>637</v>
      </c>
      <c r="G258" t="s">
        <v>932</v>
      </c>
      <c r="H258" t="s">
        <v>1130</v>
      </c>
      <c r="I258" t="s">
        <v>1234</v>
      </c>
      <c r="J258">
        <v>10034</v>
      </c>
      <c r="K258" t="s">
        <v>1237</v>
      </c>
      <c r="L258" t="s">
        <v>1238</v>
      </c>
      <c r="M258" t="s">
        <v>1241</v>
      </c>
      <c r="N258" t="s">
        <v>1260</v>
      </c>
      <c r="O258" t="s">
        <v>158</v>
      </c>
      <c r="P258">
        <v>124.8</v>
      </c>
      <c r="T258">
        <v>10.1</v>
      </c>
    </row>
    <row r="259" spans="1:20">
      <c r="A259" s="1">
        <f>HYPERLINK("https://cms.ls-nyc.org/matter/dynamic-profile/view/1889088","19-1889088")</f>
        <v>0</v>
      </c>
      <c r="B259" t="s">
        <v>22</v>
      </c>
      <c r="C259" t="s">
        <v>43</v>
      </c>
      <c r="D259" t="s">
        <v>56</v>
      </c>
      <c r="E259" t="s">
        <v>287</v>
      </c>
      <c r="F259" t="s">
        <v>598</v>
      </c>
      <c r="G259" t="s">
        <v>897</v>
      </c>
      <c r="H259">
        <v>33</v>
      </c>
      <c r="I259" t="s">
        <v>1234</v>
      </c>
      <c r="J259">
        <v>10034</v>
      </c>
      <c r="K259" t="s">
        <v>1237</v>
      </c>
      <c r="L259" t="s">
        <v>1237</v>
      </c>
      <c r="M259" t="s">
        <v>1242</v>
      </c>
      <c r="N259" t="s">
        <v>1258</v>
      </c>
      <c r="O259" t="s">
        <v>56</v>
      </c>
      <c r="P259">
        <v>124.97</v>
      </c>
      <c r="T259">
        <v>21.25</v>
      </c>
    </row>
    <row r="260" spans="1:20">
      <c r="A260" s="1">
        <f>HYPERLINK("https://cms.ls-nyc.org/matter/dynamic-profile/view/1889085","19-1889085")</f>
        <v>0</v>
      </c>
      <c r="B260" t="s">
        <v>22</v>
      </c>
      <c r="C260" t="s">
        <v>43</v>
      </c>
      <c r="D260" t="s">
        <v>56</v>
      </c>
      <c r="E260" t="s">
        <v>287</v>
      </c>
      <c r="F260" t="s">
        <v>598</v>
      </c>
      <c r="G260" t="s">
        <v>897</v>
      </c>
      <c r="H260">
        <v>33</v>
      </c>
      <c r="I260" t="s">
        <v>1234</v>
      </c>
      <c r="J260">
        <v>10034</v>
      </c>
      <c r="K260" t="s">
        <v>1237</v>
      </c>
      <c r="L260" t="s">
        <v>1237</v>
      </c>
      <c r="M260" t="s">
        <v>1244</v>
      </c>
      <c r="N260" t="s">
        <v>1259</v>
      </c>
      <c r="O260" t="s">
        <v>56</v>
      </c>
      <c r="P260">
        <v>124.97</v>
      </c>
      <c r="T260">
        <v>5.7</v>
      </c>
    </row>
    <row r="261" spans="1:20">
      <c r="A261" s="1">
        <f>HYPERLINK("https://cms.ls-nyc.org/matter/dynamic-profile/view/1866560","18-1866560")</f>
        <v>0</v>
      </c>
      <c r="B261" t="s">
        <v>23</v>
      </c>
      <c r="C261" t="s">
        <v>43</v>
      </c>
      <c r="D261" t="s">
        <v>212</v>
      </c>
      <c r="E261" t="s">
        <v>385</v>
      </c>
      <c r="F261" t="s">
        <v>767</v>
      </c>
      <c r="G261" t="s">
        <v>1022</v>
      </c>
      <c r="H261" t="s">
        <v>1137</v>
      </c>
      <c r="I261" t="s">
        <v>1234</v>
      </c>
      <c r="J261">
        <v>10034</v>
      </c>
      <c r="K261" t="s">
        <v>1237</v>
      </c>
      <c r="L261" t="s">
        <v>1236</v>
      </c>
      <c r="M261" t="s">
        <v>1239</v>
      </c>
      <c r="N261" t="s">
        <v>1258</v>
      </c>
      <c r="O261" t="s">
        <v>212</v>
      </c>
      <c r="P261">
        <v>126.37</v>
      </c>
      <c r="T261">
        <v>167.6</v>
      </c>
    </row>
    <row r="262" spans="1:20">
      <c r="A262" s="1">
        <f>HYPERLINK("https://cms.ls-nyc.org/matter/dynamic-profile/view/1837382","17-1837382")</f>
        <v>0</v>
      </c>
      <c r="B262" t="s">
        <v>22</v>
      </c>
      <c r="C262" t="s">
        <v>43</v>
      </c>
      <c r="D262" t="s">
        <v>213</v>
      </c>
      <c r="E262" t="s">
        <v>465</v>
      </c>
      <c r="F262" t="s">
        <v>768</v>
      </c>
      <c r="G262" t="s">
        <v>1023</v>
      </c>
      <c r="H262" t="s">
        <v>1143</v>
      </c>
      <c r="I262" t="s">
        <v>1234</v>
      </c>
      <c r="J262">
        <v>10034</v>
      </c>
      <c r="K262" t="s">
        <v>1237</v>
      </c>
      <c r="L262" t="s">
        <v>1236</v>
      </c>
      <c r="M262" t="s">
        <v>1241</v>
      </c>
      <c r="N262" t="s">
        <v>1259</v>
      </c>
      <c r="O262" t="s">
        <v>213</v>
      </c>
      <c r="P262">
        <v>126.84</v>
      </c>
      <c r="T262">
        <v>46.7</v>
      </c>
    </row>
    <row r="263" spans="1:20">
      <c r="A263" s="1">
        <f>HYPERLINK("https://cms.ls-nyc.org/matter/dynamic-profile/view/1841656","17-1841656")</f>
        <v>0</v>
      </c>
      <c r="B263" t="s">
        <v>29</v>
      </c>
      <c r="C263" t="s">
        <v>43</v>
      </c>
      <c r="D263" t="s">
        <v>214</v>
      </c>
      <c r="E263" t="s">
        <v>385</v>
      </c>
      <c r="F263" t="s">
        <v>767</v>
      </c>
      <c r="G263" t="s">
        <v>1022</v>
      </c>
      <c r="H263" t="s">
        <v>1137</v>
      </c>
      <c r="I263" t="s">
        <v>1234</v>
      </c>
      <c r="J263">
        <v>10034</v>
      </c>
      <c r="K263" t="s">
        <v>1237</v>
      </c>
      <c r="L263" t="s">
        <v>1236</v>
      </c>
      <c r="M263" t="s">
        <v>1252</v>
      </c>
      <c r="N263" t="s">
        <v>1258</v>
      </c>
      <c r="O263" t="s">
        <v>261</v>
      </c>
      <c r="P263">
        <v>128.08</v>
      </c>
      <c r="T263">
        <v>31.7</v>
      </c>
    </row>
    <row r="264" spans="1:20">
      <c r="A264" s="1">
        <f>HYPERLINK("https://cms.ls-nyc.org/matter/dynamic-profile/view/1870112","18-1870112")</f>
        <v>0</v>
      </c>
      <c r="B264" t="s">
        <v>26</v>
      </c>
      <c r="C264" t="s">
        <v>43</v>
      </c>
      <c r="D264" t="s">
        <v>215</v>
      </c>
      <c r="E264" t="s">
        <v>466</v>
      </c>
      <c r="F264" t="s">
        <v>769</v>
      </c>
      <c r="G264" t="s">
        <v>1024</v>
      </c>
      <c r="H264">
        <v>54</v>
      </c>
      <c r="I264" t="s">
        <v>1234</v>
      </c>
      <c r="J264">
        <v>10034</v>
      </c>
      <c r="K264" t="s">
        <v>1237</v>
      </c>
      <c r="L264" t="s">
        <v>1236</v>
      </c>
      <c r="M264" t="s">
        <v>1240</v>
      </c>
      <c r="N264" t="s">
        <v>1258</v>
      </c>
      <c r="O264" t="s">
        <v>1289</v>
      </c>
      <c r="P264">
        <v>128.5</v>
      </c>
      <c r="T264">
        <v>25.7</v>
      </c>
    </row>
    <row r="265" spans="1:20">
      <c r="A265" s="1">
        <f>HYPERLINK("https://cms.ls-nyc.org/matter/dynamic-profile/view/1870852","18-1870852")</f>
        <v>0</v>
      </c>
      <c r="B265" t="s">
        <v>26</v>
      </c>
      <c r="C265" t="s">
        <v>43</v>
      </c>
      <c r="D265" t="s">
        <v>216</v>
      </c>
      <c r="E265" t="s">
        <v>466</v>
      </c>
      <c r="F265" t="s">
        <v>769</v>
      </c>
      <c r="G265" t="s">
        <v>1024</v>
      </c>
      <c r="H265">
        <v>54</v>
      </c>
      <c r="I265" t="s">
        <v>1234</v>
      </c>
      <c r="J265">
        <v>10034</v>
      </c>
      <c r="K265" t="s">
        <v>1237</v>
      </c>
      <c r="L265" t="s">
        <v>1236</v>
      </c>
      <c r="M265" t="s">
        <v>1242</v>
      </c>
      <c r="N265" t="s">
        <v>1258</v>
      </c>
      <c r="O265" t="s">
        <v>216</v>
      </c>
      <c r="P265">
        <v>128.5</v>
      </c>
      <c r="T265">
        <v>96.33</v>
      </c>
    </row>
    <row r="266" spans="1:20">
      <c r="A266" s="1">
        <f>HYPERLINK("https://cms.ls-nyc.org/matter/dynamic-profile/view/1838603","17-1838603")</f>
        <v>0</v>
      </c>
      <c r="B266" t="s">
        <v>28</v>
      </c>
      <c r="C266" t="s">
        <v>43</v>
      </c>
      <c r="D266" t="s">
        <v>127</v>
      </c>
      <c r="E266" t="s">
        <v>385</v>
      </c>
      <c r="F266" t="s">
        <v>770</v>
      </c>
      <c r="G266" t="s">
        <v>940</v>
      </c>
      <c r="H266" t="s">
        <v>1196</v>
      </c>
      <c r="I266" t="s">
        <v>1234</v>
      </c>
      <c r="J266">
        <v>10034</v>
      </c>
      <c r="K266" t="s">
        <v>1237</v>
      </c>
      <c r="L266" t="s">
        <v>1236</v>
      </c>
      <c r="M266" t="s">
        <v>1240</v>
      </c>
      <c r="N266" t="s">
        <v>1259</v>
      </c>
      <c r="O266" t="s">
        <v>179</v>
      </c>
      <c r="P266">
        <v>128.52</v>
      </c>
      <c r="T266">
        <v>0.1</v>
      </c>
    </row>
    <row r="267" spans="1:20">
      <c r="A267" s="1">
        <f>HYPERLINK("https://cms.ls-nyc.org/matter/dynamic-profile/view/1854180","17-1854180")</f>
        <v>0</v>
      </c>
      <c r="B267" t="s">
        <v>22</v>
      </c>
      <c r="C267" t="s">
        <v>43</v>
      </c>
      <c r="D267" t="s">
        <v>217</v>
      </c>
      <c r="E267" t="s">
        <v>467</v>
      </c>
      <c r="F267" t="s">
        <v>771</v>
      </c>
      <c r="G267" t="s">
        <v>1025</v>
      </c>
      <c r="H267" t="s">
        <v>1197</v>
      </c>
      <c r="I267" t="s">
        <v>1234</v>
      </c>
      <c r="J267">
        <v>10034</v>
      </c>
      <c r="K267" t="s">
        <v>1237</v>
      </c>
      <c r="L267" t="s">
        <v>1236</v>
      </c>
      <c r="M267" t="s">
        <v>1241</v>
      </c>
      <c r="N267" t="s">
        <v>1260</v>
      </c>
      <c r="O267" t="s">
        <v>1290</v>
      </c>
      <c r="P267">
        <v>130.35</v>
      </c>
      <c r="T267">
        <v>3.5</v>
      </c>
    </row>
    <row r="268" spans="1:20">
      <c r="A268" s="1">
        <f>HYPERLINK("https://cms.ls-nyc.org/matter/dynamic-profile/view/1860417","18-1860417")</f>
        <v>0</v>
      </c>
      <c r="B268" t="s">
        <v>29</v>
      </c>
      <c r="C268" t="s">
        <v>43</v>
      </c>
      <c r="D268" t="s">
        <v>126</v>
      </c>
      <c r="E268" t="s">
        <v>372</v>
      </c>
      <c r="F268" t="s">
        <v>772</v>
      </c>
      <c r="G268" t="s">
        <v>937</v>
      </c>
      <c r="H268" t="s">
        <v>1138</v>
      </c>
      <c r="I268" t="s">
        <v>1234</v>
      </c>
      <c r="J268">
        <v>10031</v>
      </c>
      <c r="K268" t="s">
        <v>1237</v>
      </c>
      <c r="L268" t="s">
        <v>1237</v>
      </c>
      <c r="M268" t="s">
        <v>1240</v>
      </c>
      <c r="N268" t="s">
        <v>1260</v>
      </c>
      <c r="O268" t="s">
        <v>1291</v>
      </c>
      <c r="P268">
        <v>130.88</v>
      </c>
      <c r="T268">
        <v>0.25</v>
      </c>
    </row>
    <row r="269" spans="1:20">
      <c r="A269" s="1">
        <f>HYPERLINK("https://cms.ls-nyc.org/matter/dynamic-profile/view/0822317","16-0822317")</f>
        <v>0</v>
      </c>
      <c r="B269" t="s">
        <v>25</v>
      </c>
      <c r="C269" t="s">
        <v>43</v>
      </c>
      <c r="D269" t="s">
        <v>218</v>
      </c>
      <c r="E269" t="s">
        <v>468</v>
      </c>
      <c r="F269" t="s">
        <v>773</v>
      </c>
      <c r="G269" t="s">
        <v>995</v>
      </c>
      <c r="H269" t="s">
        <v>1160</v>
      </c>
      <c r="I269" t="s">
        <v>1234</v>
      </c>
      <c r="J269">
        <v>10034</v>
      </c>
      <c r="K269" t="s">
        <v>1237</v>
      </c>
      <c r="L269" t="s">
        <v>1236</v>
      </c>
      <c r="M269" t="s">
        <v>1252</v>
      </c>
      <c r="N269" t="s">
        <v>1263</v>
      </c>
      <c r="O269" t="s">
        <v>1292</v>
      </c>
      <c r="P269">
        <v>132.3</v>
      </c>
      <c r="T269">
        <v>0.1</v>
      </c>
    </row>
    <row r="270" spans="1:20">
      <c r="A270" s="1">
        <f>HYPERLINK("https://cms.ls-nyc.org/matter/dynamic-profile/view/1880351","18-1880351")</f>
        <v>0</v>
      </c>
      <c r="B270" t="s">
        <v>28</v>
      </c>
      <c r="C270" t="s">
        <v>43</v>
      </c>
      <c r="D270" t="s">
        <v>219</v>
      </c>
      <c r="E270" t="s">
        <v>469</v>
      </c>
      <c r="F270" t="s">
        <v>689</v>
      </c>
      <c r="G270" t="s">
        <v>1026</v>
      </c>
      <c r="H270" t="s">
        <v>1144</v>
      </c>
      <c r="I270" t="s">
        <v>1234</v>
      </c>
      <c r="J270">
        <v>10032</v>
      </c>
      <c r="K270" t="s">
        <v>1237</v>
      </c>
      <c r="L270" t="s">
        <v>1237</v>
      </c>
      <c r="M270" t="s">
        <v>1242</v>
      </c>
      <c r="N270" t="s">
        <v>1258</v>
      </c>
      <c r="O270" t="s">
        <v>219</v>
      </c>
      <c r="P270">
        <v>133.4</v>
      </c>
      <c r="T270">
        <v>96.04000000000001</v>
      </c>
    </row>
    <row r="271" spans="1:20">
      <c r="A271" s="1">
        <f>HYPERLINK("https://cms.ls-nyc.org/matter/dynamic-profile/view/1869858","18-1869858")</f>
        <v>0</v>
      </c>
      <c r="B271" t="s">
        <v>25</v>
      </c>
      <c r="C271" t="s">
        <v>43</v>
      </c>
      <c r="D271" t="s">
        <v>220</v>
      </c>
      <c r="E271" t="s">
        <v>470</v>
      </c>
      <c r="F271" t="s">
        <v>676</v>
      </c>
      <c r="G271" t="s">
        <v>989</v>
      </c>
      <c r="H271">
        <v>25</v>
      </c>
      <c r="I271" t="s">
        <v>1234</v>
      </c>
      <c r="J271">
        <v>10034</v>
      </c>
      <c r="K271" t="s">
        <v>1237</v>
      </c>
      <c r="L271" t="s">
        <v>1236</v>
      </c>
      <c r="M271" t="s">
        <v>1252</v>
      </c>
      <c r="N271" t="s">
        <v>1258</v>
      </c>
      <c r="O271" t="s">
        <v>220</v>
      </c>
      <c r="P271">
        <v>134.26</v>
      </c>
      <c r="T271">
        <v>34.3</v>
      </c>
    </row>
    <row r="272" spans="1:20">
      <c r="A272" s="1">
        <f>HYPERLINK("https://cms.ls-nyc.org/matter/dynamic-profile/view/1898822","19-1898822")</f>
        <v>0</v>
      </c>
      <c r="B272" t="s">
        <v>26</v>
      </c>
      <c r="C272" t="s">
        <v>43</v>
      </c>
      <c r="D272" t="s">
        <v>81</v>
      </c>
      <c r="E272" t="s">
        <v>471</v>
      </c>
      <c r="F272" t="s">
        <v>774</v>
      </c>
      <c r="G272" t="s">
        <v>1027</v>
      </c>
      <c r="H272">
        <v>41</v>
      </c>
      <c r="I272" t="s">
        <v>1234</v>
      </c>
      <c r="J272">
        <v>10033</v>
      </c>
      <c r="K272" t="s">
        <v>1237</v>
      </c>
      <c r="L272" t="s">
        <v>1237</v>
      </c>
      <c r="N272" t="s">
        <v>1261</v>
      </c>
      <c r="O272" t="s">
        <v>81</v>
      </c>
      <c r="P272">
        <v>134.32</v>
      </c>
      <c r="T272">
        <v>2.8</v>
      </c>
    </row>
    <row r="273" spans="1:20">
      <c r="A273" s="1">
        <f>HYPERLINK("https://cms.ls-nyc.org/matter/dynamic-profile/view/1898384","19-1898384")</f>
        <v>0</v>
      </c>
      <c r="B273" t="s">
        <v>29</v>
      </c>
      <c r="C273" t="s">
        <v>43</v>
      </c>
      <c r="D273" t="s">
        <v>60</v>
      </c>
      <c r="E273" t="s">
        <v>472</v>
      </c>
      <c r="F273" t="s">
        <v>775</v>
      </c>
      <c r="G273" t="s">
        <v>918</v>
      </c>
      <c r="H273" t="s">
        <v>1145</v>
      </c>
      <c r="I273" t="s">
        <v>1234</v>
      </c>
      <c r="J273">
        <v>10031</v>
      </c>
      <c r="K273" t="s">
        <v>1237</v>
      </c>
      <c r="L273" t="s">
        <v>1237</v>
      </c>
      <c r="M273" t="s">
        <v>1241</v>
      </c>
      <c r="N273" t="s">
        <v>1260</v>
      </c>
      <c r="O273" t="s">
        <v>106</v>
      </c>
      <c r="P273">
        <v>136.01</v>
      </c>
      <c r="T273">
        <v>0</v>
      </c>
    </row>
    <row r="274" spans="1:20">
      <c r="A274" s="1">
        <f>HYPERLINK("https://cms.ls-nyc.org/matter/dynamic-profile/view/1855152","18-1855152")</f>
        <v>0</v>
      </c>
      <c r="B274" t="s">
        <v>22</v>
      </c>
      <c r="C274" t="s">
        <v>43</v>
      </c>
      <c r="D274" t="s">
        <v>221</v>
      </c>
      <c r="E274" t="s">
        <v>399</v>
      </c>
      <c r="F274" t="s">
        <v>711</v>
      </c>
      <c r="G274" t="s">
        <v>982</v>
      </c>
      <c r="H274" t="s">
        <v>1164</v>
      </c>
      <c r="I274" t="s">
        <v>1234</v>
      </c>
      <c r="J274">
        <v>10034</v>
      </c>
      <c r="K274" t="s">
        <v>1237</v>
      </c>
      <c r="L274" t="s">
        <v>1236</v>
      </c>
      <c r="M274" t="s">
        <v>1244</v>
      </c>
      <c r="N274" t="s">
        <v>1258</v>
      </c>
      <c r="O274" t="s">
        <v>221</v>
      </c>
      <c r="P274">
        <v>136.55</v>
      </c>
      <c r="T274">
        <v>86.59999999999999</v>
      </c>
    </row>
    <row r="275" spans="1:20">
      <c r="A275" s="1">
        <f>HYPERLINK("https://cms.ls-nyc.org/matter/dynamic-profile/view/1901242","19-1901242")</f>
        <v>0</v>
      </c>
      <c r="B275" t="s">
        <v>36</v>
      </c>
      <c r="C275" t="s">
        <v>43</v>
      </c>
      <c r="D275" t="s">
        <v>152</v>
      </c>
      <c r="E275" t="s">
        <v>372</v>
      </c>
      <c r="F275" t="s">
        <v>692</v>
      </c>
      <c r="G275" t="s">
        <v>1028</v>
      </c>
      <c r="H275" t="s">
        <v>1198</v>
      </c>
      <c r="I275" t="s">
        <v>1234</v>
      </c>
      <c r="J275">
        <v>10033</v>
      </c>
      <c r="K275" t="s">
        <v>1237</v>
      </c>
      <c r="L275" t="s">
        <v>1236</v>
      </c>
      <c r="M275" t="s">
        <v>1242</v>
      </c>
      <c r="N275" t="s">
        <v>1262</v>
      </c>
      <c r="O275" t="s">
        <v>152</v>
      </c>
      <c r="P275">
        <v>138.38</v>
      </c>
      <c r="T275">
        <v>0.8</v>
      </c>
    </row>
    <row r="276" spans="1:20">
      <c r="A276" s="1">
        <f>HYPERLINK("https://cms.ls-nyc.org/matter/dynamic-profile/view/1836770","17-1836770")</f>
        <v>0</v>
      </c>
      <c r="B276" t="s">
        <v>28</v>
      </c>
      <c r="C276" t="s">
        <v>43</v>
      </c>
      <c r="D276" t="s">
        <v>201</v>
      </c>
      <c r="E276" t="s">
        <v>473</v>
      </c>
      <c r="F276" t="s">
        <v>776</v>
      </c>
      <c r="G276" t="s">
        <v>940</v>
      </c>
      <c r="H276" t="s">
        <v>1199</v>
      </c>
      <c r="I276" t="s">
        <v>1234</v>
      </c>
      <c r="J276">
        <v>10034</v>
      </c>
      <c r="K276" t="s">
        <v>1237</v>
      </c>
      <c r="L276" t="s">
        <v>1236</v>
      </c>
      <c r="M276" t="s">
        <v>1240</v>
      </c>
      <c r="N276" t="s">
        <v>1258</v>
      </c>
      <c r="O276" t="s">
        <v>1264</v>
      </c>
      <c r="P276">
        <v>138.49</v>
      </c>
      <c r="T276">
        <v>126.25</v>
      </c>
    </row>
    <row r="277" spans="1:20">
      <c r="A277" s="1">
        <f>HYPERLINK("https://cms.ls-nyc.org/matter/dynamic-profile/view/1890794","19-1890794")</f>
        <v>0</v>
      </c>
      <c r="B277" t="s">
        <v>26</v>
      </c>
      <c r="C277" t="s">
        <v>43</v>
      </c>
      <c r="D277" t="s">
        <v>222</v>
      </c>
      <c r="E277" t="s">
        <v>474</v>
      </c>
      <c r="F277" t="s">
        <v>649</v>
      </c>
      <c r="G277" t="s">
        <v>943</v>
      </c>
      <c r="H277" t="s">
        <v>1150</v>
      </c>
      <c r="I277" t="s">
        <v>1234</v>
      </c>
      <c r="J277">
        <v>10032</v>
      </c>
      <c r="K277" t="s">
        <v>1237</v>
      </c>
      <c r="L277" t="s">
        <v>1237</v>
      </c>
      <c r="N277" t="s">
        <v>1261</v>
      </c>
      <c r="O277" t="s">
        <v>222</v>
      </c>
      <c r="P277">
        <v>139.04</v>
      </c>
      <c r="T277">
        <v>0</v>
      </c>
    </row>
    <row r="278" spans="1:20">
      <c r="A278" s="1">
        <f>HYPERLINK("https://cms.ls-nyc.org/matter/dynamic-profile/view/1863816","18-1863816")</f>
        <v>0</v>
      </c>
      <c r="B278" t="s">
        <v>25</v>
      </c>
      <c r="C278" t="s">
        <v>43</v>
      </c>
      <c r="D278" t="s">
        <v>64</v>
      </c>
      <c r="E278" t="s">
        <v>377</v>
      </c>
      <c r="F278" t="s">
        <v>777</v>
      </c>
      <c r="G278" t="s">
        <v>902</v>
      </c>
      <c r="H278" t="s">
        <v>1116</v>
      </c>
      <c r="I278" t="s">
        <v>1234</v>
      </c>
      <c r="J278">
        <v>10033</v>
      </c>
      <c r="K278" t="s">
        <v>1237</v>
      </c>
      <c r="L278" t="s">
        <v>1236</v>
      </c>
      <c r="M278" t="s">
        <v>1252</v>
      </c>
      <c r="N278" t="s">
        <v>1263</v>
      </c>
      <c r="O278" t="s">
        <v>64</v>
      </c>
      <c r="P278">
        <v>140.03</v>
      </c>
      <c r="Q278" t="s">
        <v>1301</v>
      </c>
      <c r="T278">
        <v>18.6</v>
      </c>
    </row>
    <row r="279" spans="1:20">
      <c r="A279" s="1">
        <f>HYPERLINK("https://cms.ls-nyc.org/matter/dynamic-profile/view/0821880","16-0821880")</f>
        <v>0</v>
      </c>
      <c r="B279" t="s">
        <v>28</v>
      </c>
      <c r="C279" t="s">
        <v>43</v>
      </c>
      <c r="D279" t="s">
        <v>223</v>
      </c>
      <c r="E279" t="s">
        <v>475</v>
      </c>
      <c r="F279" t="s">
        <v>689</v>
      </c>
      <c r="G279" t="s">
        <v>910</v>
      </c>
      <c r="H279">
        <v>65</v>
      </c>
      <c r="I279" t="s">
        <v>1234</v>
      </c>
      <c r="J279">
        <v>10032</v>
      </c>
      <c r="K279" t="s">
        <v>1238</v>
      </c>
      <c r="L279" t="s">
        <v>1236</v>
      </c>
      <c r="M279" t="s">
        <v>1240</v>
      </c>
      <c r="N279" t="s">
        <v>1258</v>
      </c>
      <c r="O279" t="s">
        <v>144</v>
      </c>
      <c r="P279">
        <v>140.65</v>
      </c>
      <c r="T279">
        <v>2.7</v>
      </c>
    </row>
    <row r="280" spans="1:20">
      <c r="A280" s="1">
        <f>HYPERLINK("https://cms.ls-nyc.org/matter/dynamic-profile/view/1900463","19-1900463")</f>
        <v>0</v>
      </c>
      <c r="B280" t="s">
        <v>26</v>
      </c>
      <c r="C280" t="s">
        <v>43</v>
      </c>
      <c r="D280" t="s">
        <v>151</v>
      </c>
      <c r="E280" t="s">
        <v>476</v>
      </c>
      <c r="F280" t="s">
        <v>778</v>
      </c>
      <c r="G280" t="s">
        <v>943</v>
      </c>
      <c r="H280" t="s">
        <v>1165</v>
      </c>
      <c r="I280" t="s">
        <v>1234</v>
      </c>
      <c r="J280">
        <v>10032</v>
      </c>
      <c r="K280" t="s">
        <v>1237</v>
      </c>
      <c r="L280" t="s">
        <v>1236</v>
      </c>
      <c r="N280" t="s">
        <v>1261</v>
      </c>
      <c r="O280" t="s">
        <v>151</v>
      </c>
      <c r="P280">
        <v>140.65</v>
      </c>
      <c r="T280">
        <v>0.65</v>
      </c>
    </row>
    <row r="281" spans="1:20">
      <c r="A281" s="1">
        <f>HYPERLINK("https://cms.ls-nyc.org/matter/dynamic-profile/view/1834670","17-1834670")</f>
        <v>0</v>
      </c>
      <c r="B281" t="s">
        <v>25</v>
      </c>
      <c r="C281" t="s">
        <v>43</v>
      </c>
      <c r="D281" t="s">
        <v>102</v>
      </c>
      <c r="E281" t="s">
        <v>377</v>
      </c>
      <c r="F281" t="s">
        <v>777</v>
      </c>
      <c r="G281" t="s">
        <v>902</v>
      </c>
      <c r="H281" t="s">
        <v>1116</v>
      </c>
      <c r="I281" t="s">
        <v>1234</v>
      </c>
      <c r="J281">
        <v>10033</v>
      </c>
      <c r="K281" t="s">
        <v>1237</v>
      </c>
      <c r="L281" t="s">
        <v>1236</v>
      </c>
      <c r="M281" t="s">
        <v>1255</v>
      </c>
      <c r="N281" t="s">
        <v>1263</v>
      </c>
      <c r="O281" t="s">
        <v>155</v>
      </c>
      <c r="P281">
        <v>140.96</v>
      </c>
      <c r="Q281" t="s">
        <v>1301</v>
      </c>
      <c r="T281">
        <v>13.6</v>
      </c>
    </row>
    <row r="282" spans="1:20">
      <c r="A282" s="1">
        <f>HYPERLINK("https://cms.ls-nyc.org/matter/dynamic-profile/view/1850144","17-1850144")</f>
        <v>0</v>
      </c>
      <c r="B282" t="s">
        <v>37</v>
      </c>
      <c r="C282" t="s">
        <v>43</v>
      </c>
      <c r="D282" t="s">
        <v>224</v>
      </c>
      <c r="E282" t="s">
        <v>477</v>
      </c>
      <c r="F282" t="s">
        <v>779</v>
      </c>
      <c r="G282" t="s">
        <v>1029</v>
      </c>
      <c r="H282">
        <v>9</v>
      </c>
      <c r="I282" t="s">
        <v>1234</v>
      </c>
      <c r="J282">
        <v>10032</v>
      </c>
      <c r="K282" t="s">
        <v>1237</v>
      </c>
      <c r="L282" t="s">
        <v>1236</v>
      </c>
      <c r="M282" t="s">
        <v>1252</v>
      </c>
      <c r="N282" t="s">
        <v>1259</v>
      </c>
      <c r="O282" t="s">
        <v>187</v>
      </c>
      <c r="P282">
        <v>142.19</v>
      </c>
      <c r="T282">
        <v>33.1</v>
      </c>
    </row>
    <row r="283" spans="1:20">
      <c r="A283" s="1">
        <f>HYPERLINK("https://cms.ls-nyc.org/matter/dynamic-profile/view/1873786","18-1873786")</f>
        <v>0</v>
      </c>
      <c r="B283" t="s">
        <v>22</v>
      </c>
      <c r="C283" t="s">
        <v>43</v>
      </c>
      <c r="D283" t="s">
        <v>91</v>
      </c>
      <c r="E283" t="s">
        <v>385</v>
      </c>
      <c r="F283" t="s">
        <v>676</v>
      </c>
      <c r="G283" t="s">
        <v>1030</v>
      </c>
      <c r="H283" t="s">
        <v>1165</v>
      </c>
      <c r="I283" t="s">
        <v>1234</v>
      </c>
      <c r="J283">
        <v>10033</v>
      </c>
      <c r="K283" t="s">
        <v>1237</v>
      </c>
      <c r="L283" t="s">
        <v>1237</v>
      </c>
      <c r="M283" t="s">
        <v>1242</v>
      </c>
      <c r="N283" t="s">
        <v>1258</v>
      </c>
      <c r="O283" t="s">
        <v>91</v>
      </c>
      <c r="P283">
        <v>142.75</v>
      </c>
      <c r="T283">
        <v>25.3</v>
      </c>
    </row>
    <row r="284" spans="1:20">
      <c r="A284" s="1">
        <f>HYPERLINK("https://cms.ls-nyc.org/matter/dynamic-profile/view/1896429","19-1896429")</f>
        <v>0</v>
      </c>
      <c r="B284" t="s">
        <v>21</v>
      </c>
      <c r="C284" t="s">
        <v>43</v>
      </c>
      <c r="D284" t="s">
        <v>113</v>
      </c>
      <c r="E284" t="s">
        <v>478</v>
      </c>
      <c r="F284" t="s">
        <v>780</v>
      </c>
      <c r="G284" t="s">
        <v>1005</v>
      </c>
      <c r="H284" t="s">
        <v>1143</v>
      </c>
      <c r="I284" t="s">
        <v>1234</v>
      </c>
      <c r="J284">
        <v>10034</v>
      </c>
      <c r="K284" t="s">
        <v>1236</v>
      </c>
      <c r="L284" t="s">
        <v>1236</v>
      </c>
      <c r="M284" t="s">
        <v>1241</v>
      </c>
      <c r="P284">
        <v>144.12</v>
      </c>
      <c r="T284">
        <v>19</v>
      </c>
    </row>
    <row r="285" spans="1:20">
      <c r="A285" s="1">
        <f>HYPERLINK("https://cms.ls-nyc.org/matter/dynamic-profile/view/1896374","19-1896374")</f>
        <v>0</v>
      </c>
      <c r="B285" t="s">
        <v>21</v>
      </c>
      <c r="C285" t="s">
        <v>43</v>
      </c>
      <c r="D285" t="s">
        <v>45</v>
      </c>
      <c r="E285" t="s">
        <v>479</v>
      </c>
      <c r="F285" t="s">
        <v>732</v>
      </c>
      <c r="G285" t="s">
        <v>931</v>
      </c>
      <c r="H285" t="s">
        <v>1170</v>
      </c>
      <c r="I285" t="s">
        <v>1234</v>
      </c>
      <c r="J285">
        <v>10033</v>
      </c>
      <c r="K285" t="s">
        <v>1236</v>
      </c>
      <c r="L285" t="s">
        <v>1236</v>
      </c>
      <c r="M285" t="s">
        <v>1241</v>
      </c>
      <c r="P285">
        <v>144.12</v>
      </c>
      <c r="T285">
        <v>0</v>
      </c>
    </row>
    <row r="286" spans="1:20">
      <c r="A286" s="1">
        <f>HYPERLINK("https://cms.ls-nyc.org/matter/dynamic-profile/view/1885138","18-1885138")</f>
        <v>0</v>
      </c>
      <c r="B286" t="s">
        <v>26</v>
      </c>
      <c r="C286" t="s">
        <v>43</v>
      </c>
      <c r="D286" t="s">
        <v>204</v>
      </c>
      <c r="E286" t="s">
        <v>476</v>
      </c>
      <c r="F286" t="s">
        <v>778</v>
      </c>
      <c r="G286" t="s">
        <v>943</v>
      </c>
      <c r="H286" t="s">
        <v>1165</v>
      </c>
      <c r="I286" t="s">
        <v>1234</v>
      </c>
      <c r="J286">
        <v>10032</v>
      </c>
      <c r="K286" t="s">
        <v>1237</v>
      </c>
      <c r="L286" t="s">
        <v>1237</v>
      </c>
      <c r="N286" t="s">
        <v>1258</v>
      </c>
      <c r="O286" t="s">
        <v>204</v>
      </c>
      <c r="P286">
        <v>144.37</v>
      </c>
      <c r="T286">
        <v>106.8</v>
      </c>
    </row>
    <row r="287" spans="1:20">
      <c r="A287" s="1">
        <f>HYPERLINK("https://cms.ls-nyc.org/matter/dynamic-profile/view/1841463","17-1841463")</f>
        <v>0</v>
      </c>
      <c r="B287" t="s">
        <v>29</v>
      </c>
      <c r="C287" t="s">
        <v>43</v>
      </c>
      <c r="D287" t="s">
        <v>135</v>
      </c>
      <c r="E287" t="s">
        <v>480</v>
      </c>
      <c r="F287" t="s">
        <v>682</v>
      </c>
      <c r="G287" t="s">
        <v>1031</v>
      </c>
      <c r="H287" t="s">
        <v>1117</v>
      </c>
      <c r="I287" t="s">
        <v>1234</v>
      </c>
      <c r="J287">
        <v>10034</v>
      </c>
      <c r="K287" t="s">
        <v>1237</v>
      </c>
      <c r="L287" t="s">
        <v>1237</v>
      </c>
      <c r="M287" t="s">
        <v>1242</v>
      </c>
      <c r="N287" t="s">
        <v>1258</v>
      </c>
      <c r="O287" t="s">
        <v>1293</v>
      </c>
      <c r="P287">
        <v>144.54</v>
      </c>
      <c r="T287">
        <v>69.75</v>
      </c>
    </row>
    <row r="288" spans="1:20">
      <c r="A288" s="1">
        <f>HYPERLINK("https://cms.ls-nyc.org/matter/dynamic-profile/view/1876234","18-1876234")</f>
        <v>0</v>
      </c>
      <c r="B288" t="s">
        <v>23</v>
      </c>
      <c r="C288" t="s">
        <v>43</v>
      </c>
      <c r="D288" t="s">
        <v>52</v>
      </c>
      <c r="E288" t="s">
        <v>481</v>
      </c>
      <c r="F288" t="s">
        <v>699</v>
      </c>
      <c r="G288" t="s">
        <v>903</v>
      </c>
      <c r="H288" t="s">
        <v>1113</v>
      </c>
      <c r="I288" t="s">
        <v>1234</v>
      </c>
      <c r="J288">
        <v>10033</v>
      </c>
      <c r="K288" t="s">
        <v>1237</v>
      </c>
      <c r="L288" t="s">
        <v>1237</v>
      </c>
      <c r="M288" t="s">
        <v>1240</v>
      </c>
      <c r="N288" t="s">
        <v>1260</v>
      </c>
      <c r="O288" t="s">
        <v>52</v>
      </c>
      <c r="P288">
        <v>146.59</v>
      </c>
      <c r="T288">
        <v>1.7</v>
      </c>
    </row>
    <row r="289" spans="1:20">
      <c r="A289" s="1">
        <f>HYPERLINK("https://cms.ls-nyc.org/matter/dynamic-profile/view/0828020","17-0828020")</f>
        <v>0</v>
      </c>
      <c r="B289" t="s">
        <v>28</v>
      </c>
      <c r="C289" t="s">
        <v>43</v>
      </c>
      <c r="D289" t="s">
        <v>96</v>
      </c>
      <c r="E289" t="s">
        <v>448</v>
      </c>
      <c r="F289" t="s">
        <v>645</v>
      </c>
      <c r="G289" t="s">
        <v>941</v>
      </c>
      <c r="H289" t="s">
        <v>1136</v>
      </c>
      <c r="I289" t="s">
        <v>1234</v>
      </c>
      <c r="J289">
        <v>10034</v>
      </c>
      <c r="K289" t="s">
        <v>1237</v>
      </c>
      <c r="L289" t="s">
        <v>1236</v>
      </c>
      <c r="M289" t="s">
        <v>1241</v>
      </c>
      <c r="N289" t="s">
        <v>1258</v>
      </c>
      <c r="O289" t="s">
        <v>156</v>
      </c>
      <c r="P289">
        <v>148.82</v>
      </c>
      <c r="T289">
        <v>33.6</v>
      </c>
    </row>
    <row r="290" spans="1:20">
      <c r="A290" s="1">
        <f>HYPERLINK("https://cms.ls-nyc.org/matter/dynamic-profile/view/1839720","17-1839720")</f>
        <v>0</v>
      </c>
      <c r="B290" t="s">
        <v>29</v>
      </c>
      <c r="C290" t="s">
        <v>43</v>
      </c>
      <c r="D290" t="s">
        <v>225</v>
      </c>
      <c r="E290" t="s">
        <v>482</v>
      </c>
      <c r="F290" t="s">
        <v>781</v>
      </c>
      <c r="G290" t="s">
        <v>1008</v>
      </c>
      <c r="H290" t="s">
        <v>1182</v>
      </c>
      <c r="I290" t="s">
        <v>1234</v>
      </c>
      <c r="J290">
        <v>10034</v>
      </c>
      <c r="K290" t="s">
        <v>1237</v>
      </c>
      <c r="L290" t="s">
        <v>1236</v>
      </c>
      <c r="M290" t="s">
        <v>1252</v>
      </c>
      <c r="N290" t="s">
        <v>1262</v>
      </c>
      <c r="O290" t="s">
        <v>1294</v>
      </c>
      <c r="P290">
        <v>149.25</v>
      </c>
      <c r="T290">
        <v>12.5</v>
      </c>
    </row>
    <row r="291" spans="1:20">
      <c r="A291" s="1">
        <f>HYPERLINK("https://cms.ls-nyc.org/matter/dynamic-profile/view/1860080","18-1860080")</f>
        <v>0</v>
      </c>
      <c r="B291" t="s">
        <v>20</v>
      </c>
      <c r="C291" t="s">
        <v>43</v>
      </c>
      <c r="D291" t="s">
        <v>226</v>
      </c>
      <c r="E291" t="s">
        <v>483</v>
      </c>
      <c r="F291" t="s">
        <v>782</v>
      </c>
      <c r="G291" t="s">
        <v>1032</v>
      </c>
      <c r="H291" t="s">
        <v>1116</v>
      </c>
      <c r="I291" t="s">
        <v>1234</v>
      </c>
      <c r="J291">
        <v>10034</v>
      </c>
      <c r="K291" t="s">
        <v>1236</v>
      </c>
      <c r="L291" t="s">
        <v>1236</v>
      </c>
      <c r="M291" t="s">
        <v>1241</v>
      </c>
      <c r="P291">
        <v>149.25</v>
      </c>
      <c r="T291">
        <v>0.5</v>
      </c>
    </row>
    <row r="292" spans="1:20">
      <c r="A292" s="1">
        <f>HYPERLINK("https://cms.ls-nyc.org/matter/dynamic-profile/view/1852010","17-1852010")</f>
        <v>0</v>
      </c>
      <c r="B292" t="s">
        <v>22</v>
      </c>
      <c r="C292" t="s">
        <v>43</v>
      </c>
      <c r="D292" t="s">
        <v>227</v>
      </c>
      <c r="E292" t="s">
        <v>439</v>
      </c>
      <c r="F292" t="s">
        <v>644</v>
      </c>
      <c r="G292" t="s">
        <v>1033</v>
      </c>
      <c r="H292" t="s">
        <v>1200</v>
      </c>
      <c r="I292" t="s">
        <v>1234</v>
      </c>
      <c r="J292">
        <v>10034</v>
      </c>
      <c r="K292" t="s">
        <v>1237</v>
      </c>
      <c r="L292" t="s">
        <v>1236</v>
      </c>
      <c r="M292" t="s">
        <v>1248</v>
      </c>
      <c r="N292" t="s">
        <v>1259</v>
      </c>
      <c r="O292" t="s">
        <v>227</v>
      </c>
      <c r="P292">
        <v>149.85</v>
      </c>
      <c r="T292">
        <v>3.4</v>
      </c>
    </row>
    <row r="293" spans="1:20">
      <c r="A293" s="1">
        <f>HYPERLINK("https://cms.ls-nyc.org/matter/dynamic-profile/view/1872229","18-1872229")</f>
        <v>0</v>
      </c>
      <c r="B293" t="s">
        <v>24</v>
      </c>
      <c r="C293" t="s">
        <v>43</v>
      </c>
      <c r="D293" t="s">
        <v>228</v>
      </c>
      <c r="E293" t="s">
        <v>317</v>
      </c>
      <c r="F293" t="s">
        <v>682</v>
      </c>
      <c r="G293" t="s">
        <v>1034</v>
      </c>
      <c r="H293" t="s">
        <v>1201</v>
      </c>
      <c r="I293" t="s">
        <v>1234</v>
      </c>
      <c r="J293">
        <v>10033</v>
      </c>
      <c r="K293" t="s">
        <v>1237</v>
      </c>
      <c r="L293" t="s">
        <v>1237</v>
      </c>
      <c r="M293" t="s">
        <v>1239</v>
      </c>
      <c r="N293" t="s">
        <v>1258</v>
      </c>
      <c r="O293" t="s">
        <v>228</v>
      </c>
      <c r="P293">
        <v>150.14</v>
      </c>
      <c r="T293">
        <v>82.55</v>
      </c>
    </row>
    <row r="294" spans="1:20">
      <c r="A294" s="1">
        <f>HYPERLINK("https://cms.ls-nyc.org/matter/dynamic-profile/view/0821898","16-0821898")</f>
        <v>0</v>
      </c>
      <c r="B294" t="s">
        <v>28</v>
      </c>
      <c r="C294" t="s">
        <v>43</v>
      </c>
      <c r="D294" t="s">
        <v>223</v>
      </c>
      <c r="E294" t="s">
        <v>290</v>
      </c>
      <c r="F294" t="s">
        <v>783</v>
      </c>
      <c r="G294" t="s">
        <v>1035</v>
      </c>
      <c r="H294">
        <v>37</v>
      </c>
      <c r="I294" t="s">
        <v>1234</v>
      </c>
      <c r="J294">
        <v>10032</v>
      </c>
      <c r="K294" t="s">
        <v>1237</v>
      </c>
      <c r="L294" t="s">
        <v>1236</v>
      </c>
      <c r="M294" t="s">
        <v>1241</v>
      </c>
      <c r="N294" t="s">
        <v>1258</v>
      </c>
      <c r="O294" t="s">
        <v>1264</v>
      </c>
      <c r="P294">
        <v>150.79</v>
      </c>
      <c r="T294">
        <v>1.75</v>
      </c>
    </row>
    <row r="295" spans="1:20">
      <c r="A295" s="1">
        <f>HYPERLINK("https://cms.ls-nyc.org/matter/dynamic-profile/view/1867127","18-1867127")</f>
        <v>0</v>
      </c>
      <c r="B295" t="s">
        <v>28</v>
      </c>
      <c r="C295" t="s">
        <v>43</v>
      </c>
      <c r="D295" t="s">
        <v>229</v>
      </c>
      <c r="E295" t="s">
        <v>317</v>
      </c>
      <c r="F295" t="s">
        <v>784</v>
      </c>
      <c r="G295" t="s">
        <v>909</v>
      </c>
      <c r="H295">
        <v>46</v>
      </c>
      <c r="I295" t="s">
        <v>1234</v>
      </c>
      <c r="J295">
        <v>10032</v>
      </c>
      <c r="K295" t="s">
        <v>1237</v>
      </c>
      <c r="L295" t="s">
        <v>1236</v>
      </c>
      <c r="M295" t="s">
        <v>1244</v>
      </c>
      <c r="N295" t="s">
        <v>1258</v>
      </c>
      <c r="O295" t="s">
        <v>229</v>
      </c>
      <c r="P295">
        <v>151.39</v>
      </c>
      <c r="T295">
        <v>108</v>
      </c>
    </row>
    <row r="296" spans="1:20">
      <c r="A296" s="1">
        <f>HYPERLINK("https://cms.ls-nyc.org/matter/dynamic-profile/view/1896443","19-1896443")</f>
        <v>0</v>
      </c>
      <c r="B296" t="s">
        <v>32</v>
      </c>
      <c r="C296" t="s">
        <v>43</v>
      </c>
      <c r="D296" t="s">
        <v>45</v>
      </c>
      <c r="E296" t="s">
        <v>484</v>
      </c>
      <c r="F296" t="s">
        <v>785</v>
      </c>
      <c r="G296" t="s">
        <v>950</v>
      </c>
      <c r="H296">
        <v>41</v>
      </c>
      <c r="I296" t="s">
        <v>1234</v>
      </c>
      <c r="J296">
        <v>10034</v>
      </c>
      <c r="K296" t="s">
        <v>1236</v>
      </c>
      <c r="L296" t="s">
        <v>1236</v>
      </c>
      <c r="M296" t="s">
        <v>1241</v>
      </c>
      <c r="P296">
        <v>151.45</v>
      </c>
      <c r="T296">
        <v>0</v>
      </c>
    </row>
    <row r="297" spans="1:20">
      <c r="A297" s="1">
        <f>HYPERLINK("https://cms.ls-nyc.org/matter/dynamic-profile/view/1879356","18-1879356")</f>
        <v>0</v>
      </c>
      <c r="B297" t="s">
        <v>22</v>
      </c>
      <c r="C297" t="s">
        <v>43</v>
      </c>
      <c r="D297" t="s">
        <v>230</v>
      </c>
      <c r="E297" t="s">
        <v>420</v>
      </c>
      <c r="F297" t="s">
        <v>636</v>
      </c>
      <c r="G297" t="s">
        <v>1036</v>
      </c>
      <c r="H297" t="s">
        <v>1202</v>
      </c>
      <c r="I297" t="s">
        <v>1234</v>
      </c>
      <c r="J297">
        <v>10034</v>
      </c>
      <c r="K297" t="s">
        <v>1236</v>
      </c>
      <c r="L297" t="s">
        <v>1236</v>
      </c>
      <c r="M297" t="s">
        <v>1239</v>
      </c>
      <c r="N297" t="s">
        <v>1261</v>
      </c>
      <c r="P297">
        <v>153.1</v>
      </c>
      <c r="T297">
        <v>1.6</v>
      </c>
    </row>
    <row r="298" spans="1:20">
      <c r="A298" s="1">
        <f>HYPERLINK("https://cms.ls-nyc.org/matter/dynamic-profile/view/1901440","19-1901440")</f>
        <v>0</v>
      </c>
      <c r="B298" t="s">
        <v>21</v>
      </c>
      <c r="C298" t="s">
        <v>43</v>
      </c>
      <c r="D298" t="s">
        <v>129</v>
      </c>
      <c r="E298" t="s">
        <v>326</v>
      </c>
      <c r="F298" t="s">
        <v>786</v>
      </c>
      <c r="G298" t="s">
        <v>1037</v>
      </c>
      <c r="H298" t="s">
        <v>1104</v>
      </c>
      <c r="I298" t="s">
        <v>1234</v>
      </c>
      <c r="J298">
        <v>10034</v>
      </c>
      <c r="K298" t="s">
        <v>1237</v>
      </c>
      <c r="L298" t="s">
        <v>1236</v>
      </c>
      <c r="M298" t="s">
        <v>1244</v>
      </c>
      <c r="N298" t="s">
        <v>1262</v>
      </c>
      <c r="O298" t="s">
        <v>129</v>
      </c>
      <c r="P298">
        <v>153.72</v>
      </c>
      <c r="T298">
        <v>1.15</v>
      </c>
    </row>
    <row r="299" spans="1:20">
      <c r="A299" s="1">
        <f>HYPERLINK("https://cms.ls-nyc.org/matter/dynamic-profile/view/1892541","19-1892541")</f>
        <v>0</v>
      </c>
      <c r="B299" t="s">
        <v>22</v>
      </c>
      <c r="C299" t="s">
        <v>43</v>
      </c>
      <c r="D299" t="s">
        <v>231</v>
      </c>
      <c r="E299" t="s">
        <v>485</v>
      </c>
      <c r="F299" t="s">
        <v>787</v>
      </c>
      <c r="G299" t="s">
        <v>917</v>
      </c>
      <c r="H299">
        <v>33</v>
      </c>
      <c r="I299" t="s">
        <v>1234</v>
      </c>
      <c r="J299">
        <v>10034</v>
      </c>
      <c r="K299" t="s">
        <v>1237</v>
      </c>
      <c r="L299" t="s">
        <v>1237</v>
      </c>
      <c r="M299" t="s">
        <v>1244</v>
      </c>
      <c r="N299" t="s">
        <v>1260</v>
      </c>
      <c r="O299" t="s">
        <v>231</v>
      </c>
      <c r="P299">
        <v>153.76</v>
      </c>
      <c r="T299">
        <v>16.2</v>
      </c>
    </row>
    <row r="300" spans="1:20">
      <c r="A300" s="1">
        <f>HYPERLINK("https://cms.ls-nyc.org/matter/dynamic-profile/view/1862035","18-1862035")</f>
        <v>0</v>
      </c>
      <c r="B300" t="s">
        <v>22</v>
      </c>
      <c r="C300" t="s">
        <v>43</v>
      </c>
      <c r="D300" t="s">
        <v>232</v>
      </c>
      <c r="E300" t="s">
        <v>399</v>
      </c>
      <c r="F300" t="s">
        <v>788</v>
      </c>
      <c r="G300" t="s">
        <v>1038</v>
      </c>
      <c r="H300" t="s">
        <v>1130</v>
      </c>
      <c r="I300" t="s">
        <v>1234</v>
      </c>
      <c r="J300">
        <v>10032</v>
      </c>
      <c r="K300" t="s">
        <v>1237</v>
      </c>
      <c r="L300" t="s">
        <v>1236</v>
      </c>
      <c r="M300" t="s">
        <v>1244</v>
      </c>
      <c r="N300" t="s">
        <v>1262</v>
      </c>
      <c r="O300" t="s">
        <v>232</v>
      </c>
      <c r="P300">
        <v>154</v>
      </c>
      <c r="T300">
        <v>5.1</v>
      </c>
    </row>
    <row r="301" spans="1:20">
      <c r="A301" s="1">
        <f>HYPERLINK("https://cms.ls-nyc.org/matter/dynamic-profile/view/1889161","19-1889161")</f>
        <v>0</v>
      </c>
      <c r="B301" t="s">
        <v>29</v>
      </c>
      <c r="C301" t="s">
        <v>43</v>
      </c>
      <c r="D301" t="s">
        <v>233</v>
      </c>
      <c r="E301" t="s">
        <v>388</v>
      </c>
      <c r="F301" t="s">
        <v>742</v>
      </c>
      <c r="G301" t="s">
        <v>1039</v>
      </c>
      <c r="H301" t="s">
        <v>1115</v>
      </c>
      <c r="I301" t="s">
        <v>1234</v>
      </c>
      <c r="J301">
        <v>10031</v>
      </c>
      <c r="K301" t="s">
        <v>1237</v>
      </c>
      <c r="L301" t="s">
        <v>1237</v>
      </c>
      <c r="M301" t="s">
        <v>1241</v>
      </c>
      <c r="N301" t="s">
        <v>1261</v>
      </c>
      <c r="O301" t="s">
        <v>149</v>
      </c>
      <c r="P301">
        <v>156.12</v>
      </c>
      <c r="T301">
        <v>0.1</v>
      </c>
    </row>
    <row r="302" spans="1:20">
      <c r="A302" s="1">
        <f>HYPERLINK("https://cms.ls-nyc.org/matter/dynamic-profile/view/1882939","18-1882939")</f>
        <v>0</v>
      </c>
      <c r="B302" t="s">
        <v>22</v>
      </c>
      <c r="C302" t="s">
        <v>43</v>
      </c>
      <c r="D302" t="s">
        <v>234</v>
      </c>
      <c r="E302" t="s">
        <v>475</v>
      </c>
      <c r="F302" t="s">
        <v>789</v>
      </c>
      <c r="G302" t="s">
        <v>1040</v>
      </c>
      <c r="H302" t="s">
        <v>1112</v>
      </c>
      <c r="I302" t="s">
        <v>1234</v>
      </c>
      <c r="J302">
        <v>10034</v>
      </c>
      <c r="K302" t="s">
        <v>1237</v>
      </c>
      <c r="L302" t="s">
        <v>1237</v>
      </c>
      <c r="M302" t="s">
        <v>1244</v>
      </c>
      <c r="N302" t="s">
        <v>1259</v>
      </c>
      <c r="O302" t="s">
        <v>234</v>
      </c>
      <c r="P302">
        <v>156.33</v>
      </c>
      <c r="T302">
        <v>1.8</v>
      </c>
    </row>
    <row r="303" spans="1:20">
      <c r="A303" s="1">
        <f>HYPERLINK("https://cms.ls-nyc.org/matter/dynamic-profile/view/0831773","17-0831773")</f>
        <v>0</v>
      </c>
      <c r="B303" t="s">
        <v>28</v>
      </c>
      <c r="C303" t="s">
        <v>43</v>
      </c>
      <c r="D303" t="s">
        <v>235</v>
      </c>
      <c r="E303" t="s">
        <v>486</v>
      </c>
      <c r="F303" t="s">
        <v>790</v>
      </c>
      <c r="G303" t="s">
        <v>1041</v>
      </c>
      <c r="H303">
        <v>21</v>
      </c>
      <c r="I303" t="s">
        <v>1234</v>
      </c>
      <c r="J303">
        <v>10034</v>
      </c>
      <c r="K303" t="s">
        <v>1237</v>
      </c>
      <c r="L303" t="s">
        <v>1236</v>
      </c>
      <c r="M303" t="s">
        <v>1256</v>
      </c>
      <c r="N303" t="s">
        <v>1258</v>
      </c>
      <c r="O303" t="s">
        <v>1264</v>
      </c>
      <c r="P303">
        <v>156.42</v>
      </c>
      <c r="T303">
        <v>3.7</v>
      </c>
    </row>
    <row r="304" spans="1:20">
      <c r="A304" s="1">
        <f>HYPERLINK("https://cms.ls-nyc.org/matter/dynamic-profile/view/1870466","18-1870466")</f>
        <v>0</v>
      </c>
      <c r="B304" t="s">
        <v>25</v>
      </c>
      <c r="C304" t="s">
        <v>43</v>
      </c>
      <c r="D304" t="s">
        <v>236</v>
      </c>
      <c r="E304" t="s">
        <v>487</v>
      </c>
      <c r="F304" t="s">
        <v>791</v>
      </c>
      <c r="G304" t="s">
        <v>908</v>
      </c>
      <c r="H304" t="s">
        <v>1120</v>
      </c>
      <c r="I304" t="s">
        <v>1234</v>
      </c>
      <c r="J304">
        <v>10032</v>
      </c>
      <c r="K304" t="s">
        <v>1237</v>
      </c>
      <c r="L304" t="s">
        <v>1236</v>
      </c>
      <c r="M304" t="s">
        <v>1252</v>
      </c>
      <c r="N304" t="s">
        <v>1260</v>
      </c>
      <c r="O304" t="s">
        <v>1295</v>
      </c>
      <c r="P304">
        <v>157.21</v>
      </c>
      <c r="T304">
        <v>0</v>
      </c>
    </row>
    <row r="305" spans="1:20">
      <c r="A305" s="1">
        <f>HYPERLINK("https://cms.ls-nyc.org/matter/dynamic-profile/view/1902038","19-1902038")</f>
        <v>0</v>
      </c>
      <c r="B305" t="s">
        <v>23</v>
      </c>
      <c r="C305" t="s">
        <v>43</v>
      </c>
      <c r="D305" t="s">
        <v>48</v>
      </c>
      <c r="E305" t="s">
        <v>383</v>
      </c>
      <c r="F305" t="s">
        <v>689</v>
      </c>
      <c r="G305" t="s">
        <v>1042</v>
      </c>
      <c r="H305" t="s">
        <v>1203</v>
      </c>
      <c r="I305" t="s">
        <v>1234</v>
      </c>
      <c r="J305">
        <v>10034</v>
      </c>
      <c r="K305" t="s">
        <v>1237</v>
      </c>
      <c r="L305" t="s">
        <v>1236</v>
      </c>
      <c r="M305" t="s">
        <v>1241</v>
      </c>
      <c r="N305" t="s">
        <v>1260</v>
      </c>
      <c r="O305" t="s">
        <v>48</v>
      </c>
      <c r="P305">
        <v>157.69</v>
      </c>
      <c r="T305">
        <v>1.4</v>
      </c>
    </row>
    <row r="306" spans="1:20">
      <c r="A306" s="1">
        <f>HYPERLINK("https://cms.ls-nyc.org/matter/dynamic-profile/view/1887937","19-1887937")</f>
        <v>0</v>
      </c>
      <c r="B306" t="s">
        <v>22</v>
      </c>
      <c r="C306" t="s">
        <v>43</v>
      </c>
      <c r="D306" t="s">
        <v>146</v>
      </c>
      <c r="E306" t="s">
        <v>485</v>
      </c>
      <c r="F306" t="s">
        <v>787</v>
      </c>
      <c r="G306" t="s">
        <v>917</v>
      </c>
      <c r="H306">
        <v>33</v>
      </c>
      <c r="I306" t="s">
        <v>1234</v>
      </c>
      <c r="J306">
        <v>10034</v>
      </c>
      <c r="K306" t="s">
        <v>1237</v>
      </c>
      <c r="L306" t="s">
        <v>1237</v>
      </c>
      <c r="M306" t="s">
        <v>1240</v>
      </c>
      <c r="N306" t="s">
        <v>1258</v>
      </c>
      <c r="O306" t="s">
        <v>146</v>
      </c>
      <c r="P306">
        <v>157.96</v>
      </c>
      <c r="T306">
        <v>1</v>
      </c>
    </row>
    <row r="307" spans="1:20">
      <c r="A307" s="1">
        <f>HYPERLINK("https://cms.ls-nyc.org/matter/dynamic-profile/view/1869020","18-1869020")</f>
        <v>0</v>
      </c>
      <c r="B307" t="s">
        <v>32</v>
      </c>
      <c r="C307" t="s">
        <v>43</v>
      </c>
      <c r="D307" t="s">
        <v>237</v>
      </c>
      <c r="E307" t="s">
        <v>402</v>
      </c>
      <c r="F307" t="s">
        <v>769</v>
      </c>
      <c r="G307" t="s">
        <v>1043</v>
      </c>
      <c r="H307" t="s">
        <v>1204</v>
      </c>
      <c r="I307" t="s">
        <v>1234</v>
      </c>
      <c r="J307">
        <v>10034</v>
      </c>
      <c r="K307" t="s">
        <v>1237</v>
      </c>
      <c r="L307" t="s">
        <v>1236</v>
      </c>
      <c r="M307" t="s">
        <v>1252</v>
      </c>
      <c r="N307" t="s">
        <v>1263</v>
      </c>
      <c r="O307" t="s">
        <v>237</v>
      </c>
      <c r="P307">
        <v>159.36</v>
      </c>
      <c r="T307">
        <v>0</v>
      </c>
    </row>
    <row r="308" spans="1:20">
      <c r="A308" s="1">
        <f>HYPERLINK("https://cms.ls-nyc.org/matter/dynamic-profile/view/1869025","18-1869025")</f>
        <v>0</v>
      </c>
      <c r="B308" t="s">
        <v>32</v>
      </c>
      <c r="C308" t="s">
        <v>43</v>
      </c>
      <c r="D308" t="s">
        <v>237</v>
      </c>
      <c r="E308" t="s">
        <v>402</v>
      </c>
      <c r="F308" t="s">
        <v>769</v>
      </c>
      <c r="G308" t="s">
        <v>1043</v>
      </c>
      <c r="H308" t="s">
        <v>1204</v>
      </c>
      <c r="I308" t="s">
        <v>1234</v>
      </c>
      <c r="J308">
        <v>10034</v>
      </c>
      <c r="K308" t="s">
        <v>1237</v>
      </c>
      <c r="L308" t="s">
        <v>1236</v>
      </c>
      <c r="M308" t="s">
        <v>1252</v>
      </c>
      <c r="N308" t="s">
        <v>1263</v>
      </c>
      <c r="O308" t="s">
        <v>237</v>
      </c>
      <c r="P308">
        <v>159.36</v>
      </c>
      <c r="T308">
        <v>0</v>
      </c>
    </row>
    <row r="309" spans="1:20">
      <c r="A309" s="1">
        <f>HYPERLINK("https://cms.ls-nyc.org/matter/dynamic-profile/view/1901004","19-1901004")</f>
        <v>0</v>
      </c>
      <c r="B309" t="s">
        <v>31</v>
      </c>
      <c r="C309" t="s">
        <v>43</v>
      </c>
      <c r="D309" t="s">
        <v>147</v>
      </c>
      <c r="E309" t="s">
        <v>462</v>
      </c>
      <c r="F309" t="s">
        <v>765</v>
      </c>
      <c r="G309" t="s">
        <v>896</v>
      </c>
      <c r="H309" t="s">
        <v>1160</v>
      </c>
      <c r="I309" t="s">
        <v>1234</v>
      </c>
      <c r="J309">
        <v>10034</v>
      </c>
      <c r="K309" t="s">
        <v>1237</v>
      </c>
      <c r="L309" t="s">
        <v>1236</v>
      </c>
      <c r="N309" t="s">
        <v>1261</v>
      </c>
      <c r="O309" t="s">
        <v>147</v>
      </c>
      <c r="P309">
        <v>160.13</v>
      </c>
      <c r="T309">
        <v>1.5</v>
      </c>
    </row>
    <row r="310" spans="1:20">
      <c r="A310" s="1">
        <f>HYPERLINK("https://cms.ls-nyc.org/matter/dynamic-profile/view/0832574","17-0832574")</f>
        <v>0</v>
      </c>
      <c r="B310" t="s">
        <v>28</v>
      </c>
      <c r="C310" t="s">
        <v>43</v>
      </c>
      <c r="D310" t="s">
        <v>112</v>
      </c>
      <c r="E310" t="s">
        <v>488</v>
      </c>
      <c r="F310" t="s">
        <v>792</v>
      </c>
      <c r="G310" t="s">
        <v>1035</v>
      </c>
      <c r="H310" t="s">
        <v>1144</v>
      </c>
      <c r="I310" t="s">
        <v>1234</v>
      </c>
      <c r="J310">
        <v>10032</v>
      </c>
      <c r="K310" t="s">
        <v>1237</v>
      </c>
      <c r="L310" t="s">
        <v>1236</v>
      </c>
      <c r="M310" t="s">
        <v>1241</v>
      </c>
      <c r="N310" t="s">
        <v>1258</v>
      </c>
      <c r="O310" t="s">
        <v>1272</v>
      </c>
      <c r="P310">
        <v>160.65</v>
      </c>
      <c r="Q310" t="s">
        <v>1277</v>
      </c>
      <c r="T310">
        <v>17.55</v>
      </c>
    </row>
    <row r="311" spans="1:20">
      <c r="A311" s="1">
        <f>HYPERLINK("https://cms.ls-nyc.org/matter/dynamic-profile/view/1902423","19-1902423")</f>
        <v>0</v>
      </c>
      <c r="B311" t="s">
        <v>23</v>
      </c>
      <c r="C311" t="s">
        <v>43</v>
      </c>
      <c r="D311" t="s">
        <v>238</v>
      </c>
      <c r="E311" t="s">
        <v>489</v>
      </c>
      <c r="F311" t="s">
        <v>793</v>
      </c>
      <c r="G311" t="s">
        <v>997</v>
      </c>
      <c r="H311" t="s">
        <v>1136</v>
      </c>
      <c r="I311" t="s">
        <v>1234</v>
      </c>
      <c r="J311">
        <v>10034</v>
      </c>
      <c r="K311" t="s">
        <v>1237</v>
      </c>
      <c r="L311" t="s">
        <v>1236</v>
      </c>
      <c r="M311" t="s">
        <v>1244</v>
      </c>
      <c r="N311" t="s">
        <v>1262</v>
      </c>
      <c r="O311" t="s">
        <v>238</v>
      </c>
      <c r="P311">
        <v>163.22</v>
      </c>
      <c r="T311">
        <v>0</v>
      </c>
    </row>
    <row r="312" spans="1:20">
      <c r="A312" s="1">
        <f>HYPERLINK("https://cms.ls-nyc.org/matter/dynamic-profile/view/1896423","19-1896423")</f>
        <v>0</v>
      </c>
      <c r="B312" t="s">
        <v>21</v>
      </c>
      <c r="C312" t="s">
        <v>43</v>
      </c>
      <c r="D312" t="s">
        <v>45</v>
      </c>
      <c r="E312" t="s">
        <v>424</v>
      </c>
      <c r="F312" t="s">
        <v>794</v>
      </c>
      <c r="G312" t="s">
        <v>1002</v>
      </c>
      <c r="H312">
        <v>3</v>
      </c>
      <c r="I312" t="s">
        <v>1234</v>
      </c>
      <c r="J312">
        <v>10033</v>
      </c>
      <c r="K312" t="s">
        <v>1236</v>
      </c>
      <c r="L312" t="s">
        <v>1236</v>
      </c>
      <c r="M312" t="s">
        <v>1241</v>
      </c>
      <c r="P312">
        <v>163.23</v>
      </c>
      <c r="T312">
        <v>0</v>
      </c>
    </row>
    <row r="313" spans="1:20">
      <c r="A313" s="1">
        <f>HYPERLINK("https://cms.ls-nyc.org/matter/dynamic-profile/view/1897797","19-1897797")</f>
        <v>0</v>
      </c>
      <c r="B313" t="s">
        <v>24</v>
      </c>
      <c r="C313" t="s">
        <v>43</v>
      </c>
      <c r="D313" t="s">
        <v>57</v>
      </c>
      <c r="E313" t="s">
        <v>490</v>
      </c>
      <c r="F313" t="s">
        <v>645</v>
      </c>
      <c r="G313" t="s">
        <v>1044</v>
      </c>
      <c r="H313" t="s">
        <v>1119</v>
      </c>
      <c r="I313" t="s">
        <v>1234</v>
      </c>
      <c r="J313">
        <v>10034</v>
      </c>
      <c r="K313" t="s">
        <v>1237</v>
      </c>
      <c r="L313" t="s">
        <v>1237</v>
      </c>
      <c r="M313" t="s">
        <v>1242</v>
      </c>
      <c r="N313" t="s">
        <v>1261</v>
      </c>
      <c r="O313" t="s">
        <v>57</v>
      </c>
      <c r="P313">
        <v>165.25</v>
      </c>
      <c r="T313">
        <v>2.35</v>
      </c>
    </row>
    <row r="314" spans="1:20">
      <c r="A314" s="1">
        <f>HYPERLINK("https://cms.ls-nyc.org/matter/dynamic-profile/view/1893970","19-1893970")</f>
        <v>0</v>
      </c>
      <c r="B314" t="s">
        <v>21</v>
      </c>
      <c r="C314" t="s">
        <v>43</v>
      </c>
      <c r="D314" t="s">
        <v>239</v>
      </c>
      <c r="E314" t="s">
        <v>491</v>
      </c>
      <c r="F314" t="s">
        <v>680</v>
      </c>
      <c r="G314" t="s">
        <v>990</v>
      </c>
      <c r="H314">
        <v>54</v>
      </c>
      <c r="I314" t="s">
        <v>1234</v>
      </c>
      <c r="J314">
        <v>10034</v>
      </c>
      <c r="K314" t="s">
        <v>1236</v>
      </c>
      <c r="L314" t="s">
        <v>1236</v>
      </c>
      <c r="M314" t="s">
        <v>1242</v>
      </c>
      <c r="N314" t="s">
        <v>1261</v>
      </c>
      <c r="P314">
        <v>165.58</v>
      </c>
      <c r="T314">
        <v>1</v>
      </c>
    </row>
    <row r="315" spans="1:20">
      <c r="A315" s="1">
        <f>HYPERLINK("https://cms.ls-nyc.org/matter/dynamic-profile/view/1890689","19-1890689")</f>
        <v>0</v>
      </c>
      <c r="B315" t="s">
        <v>22</v>
      </c>
      <c r="C315" t="s">
        <v>43</v>
      </c>
      <c r="D315" t="s">
        <v>117</v>
      </c>
      <c r="E315" t="s">
        <v>403</v>
      </c>
      <c r="F315" t="s">
        <v>641</v>
      </c>
      <c r="G315" t="s">
        <v>1045</v>
      </c>
      <c r="H315" t="s">
        <v>1126</v>
      </c>
      <c r="I315" t="s">
        <v>1234</v>
      </c>
      <c r="J315">
        <v>10034</v>
      </c>
      <c r="K315" t="s">
        <v>1237</v>
      </c>
      <c r="L315" t="s">
        <v>1237</v>
      </c>
      <c r="N315" t="s">
        <v>1261</v>
      </c>
      <c r="O315" t="s">
        <v>117</v>
      </c>
      <c r="P315">
        <v>166.53</v>
      </c>
      <c r="T315">
        <v>1.4</v>
      </c>
    </row>
    <row r="316" spans="1:20">
      <c r="A316" s="1">
        <f>HYPERLINK("https://cms.ls-nyc.org/matter/dynamic-profile/view/1882015","18-1882015")</f>
        <v>0</v>
      </c>
      <c r="B316" t="s">
        <v>22</v>
      </c>
      <c r="C316" t="s">
        <v>43</v>
      </c>
      <c r="D316" t="s">
        <v>157</v>
      </c>
      <c r="E316" t="s">
        <v>492</v>
      </c>
      <c r="F316" t="s">
        <v>795</v>
      </c>
      <c r="G316" t="s">
        <v>899</v>
      </c>
      <c r="H316">
        <v>106</v>
      </c>
      <c r="I316" t="s">
        <v>1234</v>
      </c>
      <c r="J316">
        <v>10034</v>
      </c>
      <c r="K316" t="s">
        <v>1237</v>
      </c>
      <c r="L316" t="s">
        <v>1237</v>
      </c>
      <c r="M316" t="s">
        <v>1245</v>
      </c>
      <c r="N316" t="s">
        <v>1259</v>
      </c>
      <c r="O316" t="s">
        <v>157</v>
      </c>
      <c r="P316">
        <v>167.47</v>
      </c>
      <c r="T316">
        <v>9.5</v>
      </c>
    </row>
    <row r="317" spans="1:20">
      <c r="A317" s="1">
        <f>HYPERLINK("https://cms.ls-nyc.org/matter/dynamic-profile/view/1901968","19-1901968")</f>
        <v>0</v>
      </c>
      <c r="B317" t="s">
        <v>31</v>
      </c>
      <c r="C317" t="s">
        <v>43</v>
      </c>
      <c r="D317" t="s">
        <v>48</v>
      </c>
      <c r="E317" t="s">
        <v>493</v>
      </c>
      <c r="F317" t="s">
        <v>682</v>
      </c>
      <c r="G317" t="s">
        <v>1001</v>
      </c>
      <c r="H317" t="s">
        <v>1113</v>
      </c>
      <c r="I317" t="s">
        <v>1234</v>
      </c>
      <c r="J317">
        <v>10034</v>
      </c>
      <c r="K317" t="s">
        <v>1237</v>
      </c>
      <c r="L317" t="s">
        <v>1236</v>
      </c>
      <c r="M317" t="s">
        <v>1245</v>
      </c>
      <c r="N317" t="s">
        <v>1260</v>
      </c>
      <c r="O317" t="s">
        <v>48</v>
      </c>
      <c r="P317">
        <v>168.07</v>
      </c>
      <c r="T317">
        <v>1.7</v>
      </c>
    </row>
    <row r="318" spans="1:20">
      <c r="A318" s="1">
        <f>HYPERLINK("https://cms.ls-nyc.org/matter/dynamic-profile/view/1890363","19-1890363")</f>
        <v>0</v>
      </c>
      <c r="B318" t="s">
        <v>22</v>
      </c>
      <c r="C318" t="s">
        <v>43</v>
      </c>
      <c r="D318" t="s">
        <v>98</v>
      </c>
      <c r="E318" t="s">
        <v>494</v>
      </c>
      <c r="F318" t="s">
        <v>650</v>
      </c>
      <c r="G318" t="s">
        <v>1046</v>
      </c>
      <c r="H318" t="s">
        <v>1136</v>
      </c>
      <c r="I318" t="s">
        <v>1234</v>
      </c>
      <c r="J318">
        <v>10034</v>
      </c>
      <c r="K318" t="s">
        <v>1237</v>
      </c>
      <c r="L318" t="s">
        <v>1237</v>
      </c>
      <c r="M318" t="s">
        <v>1239</v>
      </c>
      <c r="N318" t="s">
        <v>1258</v>
      </c>
      <c r="O318" t="s">
        <v>98</v>
      </c>
      <c r="P318">
        <v>169.13</v>
      </c>
      <c r="T318">
        <v>14.2</v>
      </c>
    </row>
    <row r="319" spans="1:20">
      <c r="A319" s="1">
        <f>HYPERLINK("https://cms.ls-nyc.org/matter/dynamic-profile/view/1870969","18-1870969")</f>
        <v>0</v>
      </c>
      <c r="B319" t="s">
        <v>26</v>
      </c>
      <c r="C319" t="s">
        <v>43</v>
      </c>
      <c r="D319" t="s">
        <v>240</v>
      </c>
      <c r="E319" t="s">
        <v>495</v>
      </c>
      <c r="F319" t="s">
        <v>796</v>
      </c>
      <c r="G319" t="s">
        <v>1047</v>
      </c>
      <c r="H319">
        <v>46</v>
      </c>
      <c r="I319" t="s">
        <v>1234</v>
      </c>
      <c r="J319">
        <v>10034</v>
      </c>
      <c r="K319" t="s">
        <v>1237</v>
      </c>
      <c r="L319" t="s">
        <v>1236</v>
      </c>
      <c r="M319" t="s">
        <v>1239</v>
      </c>
      <c r="N319" t="s">
        <v>1258</v>
      </c>
      <c r="O319" t="s">
        <v>240</v>
      </c>
      <c r="P319">
        <v>169.18</v>
      </c>
      <c r="T319">
        <v>123.33</v>
      </c>
    </row>
    <row r="320" spans="1:20">
      <c r="A320" s="1">
        <f>HYPERLINK("https://cms.ls-nyc.org/matter/dynamic-profile/view/1857270","18-1857270")</f>
        <v>0</v>
      </c>
      <c r="B320" t="s">
        <v>22</v>
      </c>
      <c r="C320" t="s">
        <v>43</v>
      </c>
      <c r="D320" t="s">
        <v>241</v>
      </c>
      <c r="E320" t="s">
        <v>492</v>
      </c>
      <c r="F320" t="s">
        <v>795</v>
      </c>
      <c r="G320" t="s">
        <v>899</v>
      </c>
      <c r="H320">
        <v>106</v>
      </c>
      <c r="I320" t="s">
        <v>1234</v>
      </c>
      <c r="J320">
        <v>10034</v>
      </c>
      <c r="K320" t="s">
        <v>1237</v>
      </c>
      <c r="L320" t="s">
        <v>1236</v>
      </c>
      <c r="M320" t="s">
        <v>1242</v>
      </c>
      <c r="N320" t="s">
        <v>1258</v>
      </c>
      <c r="O320" t="s">
        <v>241</v>
      </c>
      <c r="P320">
        <v>170.42</v>
      </c>
      <c r="T320">
        <v>84.5</v>
      </c>
    </row>
    <row r="321" spans="1:20">
      <c r="A321" s="1">
        <f>HYPERLINK("https://cms.ls-nyc.org/matter/dynamic-profile/view/1902194","19-1902194")</f>
        <v>0</v>
      </c>
      <c r="B321" t="s">
        <v>26</v>
      </c>
      <c r="C321" t="s">
        <v>43</v>
      </c>
      <c r="D321" t="s">
        <v>167</v>
      </c>
      <c r="E321" t="s">
        <v>496</v>
      </c>
      <c r="F321" t="s">
        <v>797</v>
      </c>
      <c r="G321" t="s">
        <v>1048</v>
      </c>
      <c r="H321">
        <v>33</v>
      </c>
      <c r="I321" t="s">
        <v>1234</v>
      </c>
      <c r="J321">
        <v>10033</v>
      </c>
      <c r="K321" t="s">
        <v>1237</v>
      </c>
      <c r="L321" t="s">
        <v>1236</v>
      </c>
      <c r="N321" t="s">
        <v>1260</v>
      </c>
      <c r="O321" t="s">
        <v>167</v>
      </c>
      <c r="P321">
        <v>171.5</v>
      </c>
      <c r="T321">
        <v>0.4</v>
      </c>
    </row>
    <row r="322" spans="1:20">
      <c r="A322" s="1">
        <f>HYPERLINK("https://cms.ls-nyc.org/matter/dynamic-profile/view/1860636","18-1860636")</f>
        <v>0</v>
      </c>
      <c r="B322" t="s">
        <v>29</v>
      </c>
      <c r="C322" t="s">
        <v>43</v>
      </c>
      <c r="D322" t="s">
        <v>77</v>
      </c>
      <c r="E322" t="s">
        <v>497</v>
      </c>
      <c r="F322" t="s">
        <v>798</v>
      </c>
      <c r="G322" t="s">
        <v>918</v>
      </c>
      <c r="H322" t="s">
        <v>1139</v>
      </c>
      <c r="I322" t="s">
        <v>1234</v>
      </c>
      <c r="J322">
        <v>10031</v>
      </c>
      <c r="K322" t="s">
        <v>1237</v>
      </c>
      <c r="L322" t="s">
        <v>1236</v>
      </c>
      <c r="M322" t="s">
        <v>1240</v>
      </c>
      <c r="N322" t="s">
        <v>1260</v>
      </c>
      <c r="O322" t="s">
        <v>1268</v>
      </c>
      <c r="P322">
        <v>172.99</v>
      </c>
      <c r="T322">
        <v>0.9</v>
      </c>
    </row>
    <row r="323" spans="1:20">
      <c r="A323" s="1">
        <f>HYPERLINK("https://cms.ls-nyc.org/matter/dynamic-profile/view/0830972","17-0830972")</f>
        <v>0</v>
      </c>
      <c r="B323" t="s">
        <v>28</v>
      </c>
      <c r="C323" t="s">
        <v>43</v>
      </c>
      <c r="D323" t="s">
        <v>242</v>
      </c>
      <c r="E323" t="s">
        <v>498</v>
      </c>
      <c r="F323" t="s">
        <v>348</v>
      </c>
      <c r="G323" t="s">
        <v>1035</v>
      </c>
      <c r="H323">
        <v>5</v>
      </c>
      <c r="I323" t="s">
        <v>1234</v>
      </c>
      <c r="J323">
        <v>10032</v>
      </c>
      <c r="K323" t="s">
        <v>1236</v>
      </c>
      <c r="L323" t="s">
        <v>1236</v>
      </c>
      <c r="M323" t="s">
        <v>1240</v>
      </c>
      <c r="N323" t="s">
        <v>1258</v>
      </c>
      <c r="O323" t="s">
        <v>72</v>
      </c>
      <c r="P323">
        <v>173.54</v>
      </c>
      <c r="Q323" t="s">
        <v>1302</v>
      </c>
      <c r="T323">
        <v>1.65</v>
      </c>
    </row>
    <row r="324" spans="1:20">
      <c r="A324" s="1">
        <f>HYPERLINK("https://cms.ls-nyc.org/matter/dynamic-profile/view/1849707","17-1849707")</f>
        <v>0</v>
      </c>
      <c r="B324" t="s">
        <v>28</v>
      </c>
      <c r="C324" t="s">
        <v>43</v>
      </c>
      <c r="D324" t="s">
        <v>243</v>
      </c>
      <c r="E324" t="s">
        <v>499</v>
      </c>
      <c r="F324" t="s">
        <v>799</v>
      </c>
      <c r="G324" t="s">
        <v>940</v>
      </c>
      <c r="H324" t="s">
        <v>1205</v>
      </c>
      <c r="I324" t="s">
        <v>1234</v>
      </c>
      <c r="J324">
        <v>10034</v>
      </c>
      <c r="K324" t="s">
        <v>1237</v>
      </c>
      <c r="L324" t="s">
        <v>1236</v>
      </c>
      <c r="M324" t="s">
        <v>1240</v>
      </c>
      <c r="N324" t="s">
        <v>1258</v>
      </c>
      <c r="O324" t="s">
        <v>243</v>
      </c>
      <c r="P324">
        <v>173.73</v>
      </c>
      <c r="T324">
        <v>1.1</v>
      </c>
    </row>
    <row r="325" spans="1:20">
      <c r="A325" s="1">
        <f>HYPERLINK("https://cms.ls-nyc.org/matter/dynamic-profile/view/1862226","18-1862226")</f>
        <v>0</v>
      </c>
      <c r="B325" t="s">
        <v>29</v>
      </c>
      <c r="C325" t="s">
        <v>43</v>
      </c>
      <c r="D325" t="s">
        <v>131</v>
      </c>
      <c r="E325" t="s">
        <v>500</v>
      </c>
      <c r="F325" t="s">
        <v>718</v>
      </c>
      <c r="G325" t="s">
        <v>895</v>
      </c>
      <c r="H325" t="s">
        <v>1113</v>
      </c>
      <c r="I325" t="s">
        <v>1234</v>
      </c>
      <c r="J325">
        <v>10034</v>
      </c>
      <c r="K325" t="s">
        <v>1237</v>
      </c>
      <c r="L325" t="s">
        <v>1236</v>
      </c>
      <c r="M325" t="s">
        <v>1240</v>
      </c>
      <c r="N325" t="s">
        <v>1258</v>
      </c>
      <c r="O325" t="s">
        <v>131</v>
      </c>
      <c r="P325">
        <v>173.75</v>
      </c>
      <c r="T325">
        <v>0</v>
      </c>
    </row>
    <row r="326" spans="1:20">
      <c r="A326" s="1">
        <f>HYPERLINK("https://cms.ls-nyc.org/matter/dynamic-profile/view/1873795","18-1873795")</f>
        <v>0</v>
      </c>
      <c r="B326" t="s">
        <v>23</v>
      </c>
      <c r="C326" t="s">
        <v>43</v>
      </c>
      <c r="D326" t="s">
        <v>91</v>
      </c>
      <c r="E326" t="s">
        <v>501</v>
      </c>
      <c r="F326" t="s">
        <v>644</v>
      </c>
      <c r="G326" t="s">
        <v>903</v>
      </c>
      <c r="H326" t="s">
        <v>1206</v>
      </c>
      <c r="I326" t="s">
        <v>1234</v>
      </c>
      <c r="J326">
        <v>10033</v>
      </c>
      <c r="K326" t="s">
        <v>1237</v>
      </c>
      <c r="L326" t="s">
        <v>1237</v>
      </c>
      <c r="M326" t="s">
        <v>1240</v>
      </c>
      <c r="N326" t="s">
        <v>1260</v>
      </c>
      <c r="O326" t="s">
        <v>91</v>
      </c>
      <c r="P326">
        <v>175.17</v>
      </c>
      <c r="T326">
        <v>0.7</v>
      </c>
    </row>
    <row r="327" spans="1:20">
      <c r="A327" s="1">
        <f>HYPERLINK("https://cms.ls-nyc.org/matter/dynamic-profile/view/0822350","16-0822350")</f>
        <v>0</v>
      </c>
      <c r="B327" t="s">
        <v>25</v>
      </c>
      <c r="C327" t="s">
        <v>43</v>
      </c>
      <c r="D327" t="s">
        <v>218</v>
      </c>
      <c r="E327" t="s">
        <v>502</v>
      </c>
      <c r="F327" t="s">
        <v>675</v>
      </c>
      <c r="G327" t="s">
        <v>995</v>
      </c>
      <c r="H327" t="s">
        <v>1113</v>
      </c>
      <c r="I327" t="s">
        <v>1234</v>
      </c>
      <c r="J327">
        <v>10034</v>
      </c>
      <c r="K327" t="s">
        <v>1237</v>
      </c>
      <c r="L327" t="s">
        <v>1236</v>
      </c>
      <c r="M327" t="s">
        <v>1252</v>
      </c>
      <c r="N327" t="s">
        <v>1263</v>
      </c>
      <c r="O327" t="s">
        <v>195</v>
      </c>
      <c r="P327">
        <v>175.47</v>
      </c>
      <c r="T327">
        <v>0.2</v>
      </c>
    </row>
    <row r="328" spans="1:20">
      <c r="A328" s="1">
        <f>HYPERLINK("https://cms.ls-nyc.org/matter/dynamic-profile/view/1862977","18-1862977")</f>
        <v>0</v>
      </c>
      <c r="B328" t="s">
        <v>28</v>
      </c>
      <c r="C328" t="s">
        <v>43</v>
      </c>
      <c r="D328" t="s">
        <v>141</v>
      </c>
      <c r="E328" t="s">
        <v>288</v>
      </c>
      <c r="F328" t="s">
        <v>800</v>
      </c>
      <c r="G328" t="s">
        <v>1049</v>
      </c>
      <c r="H328" t="s">
        <v>1115</v>
      </c>
      <c r="I328" t="s">
        <v>1234</v>
      </c>
      <c r="J328">
        <v>10034</v>
      </c>
      <c r="K328" t="s">
        <v>1237</v>
      </c>
      <c r="L328" t="s">
        <v>1236</v>
      </c>
      <c r="M328" t="s">
        <v>1240</v>
      </c>
      <c r="N328" t="s">
        <v>1258</v>
      </c>
      <c r="O328" t="s">
        <v>141</v>
      </c>
      <c r="P328">
        <v>176.75</v>
      </c>
      <c r="T328">
        <v>0.55</v>
      </c>
    </row>
    <row r="329" spans="1:20">
      <c r="A329" s="1">
        <f>HYPERLINK("https://cms.ls-nyc.org/matter/dynamic-profile/view/1898818","19-1898818")</f>
        <v>0</v>
      </c>
      <c r="B329" t="s">
        <v>22</v>
      </c>
      <c r="C329" t="s">
        <v>43</v>
      </c>
      <c r="D329" t="s">
        <v>81</v>
      </c>
      <c r="E329" t="s">
        <v>503</v>
      </c>
      <c r="F329" t="s">
        <v>801</v>
      </c>
      <c r="G329" t="s">
        <v>1050</v>
      </c>
      <c r="H329" t="s">
        <v>1143</v>
      </c>
      <c r="I329" t="s">
        <v>1234</v>
      </c>
      <c r="J329">
        <v>10034</v>
      </c>
      <c r="K329" t="s">
        <v>1237</v>
      </c>
      <c r="L329" t="s">
        <v>1237</v>
      </c>
      <c r="N329" t="s">
        <v>1262</v>
      </c>
      <c r="O329" t="s">
        <v>81</v>
      </c>
      <c r="P329">
        <v>176.88</v>
      </c>
      <c r="T329">
        <v>1.2</v>
      </c>
    </row>
    <row r="330" spans="1:20">
      <c r="A330" s="1">
        <f>HYPERLINK("https://cms.ls-nyc.org/matter/dynamic-profile/view/1902199","19-1902199")</f>
        <v>0</v>
      </c>
      <c r="B330" t="s">
        <v>26</v>
      </c>
      <c r="C330" t="s">
        <v>43</v>
      </c>
      <c r="D330" t="s">
        <v>167</v>
      </c>
      <c r="E330" t="s">
        <v>504</v>
      </c>
      <c r="F330" t="s">
        <v>802</v>
      </c>
      <c r="G330" t="s">
        <v>1051</v>
      </c>
      <c r="H330">
        <v>55</v>
      </c>
      <c r="I330" t="s">
        <v>1234</v>
      </c>
      <c r="J330">
        <v>10033</v>
      </c>
      <c r="K330" t="s">
        <v>1237</v>
      </c>
      <c r="L330" t="s">
        <v>1236</v>
      </c>
      <c r="N330" t="s">
        <v>1260</v>
      </c>
      <c r="O330" t="s">
        <v>167</v>
      </c>
      <c r="P330">
        <v>177.41</v>
      </c>
      <c r="T330">
        <v>0.1</v>
      </c>
    </row>
    <row r="331" spans="1:20">
      <c r="A331" s="1">
        <f>HYPERLINK("https://cms.ls-nyc.org/matter/dynamic-profile/view/1866667","18-1866667")</f>
        <v>0</v>
      </c>
      <c r="B331" t="s">
        <v>22</v>
      </c>
      <c r="C331" t="s">
        <v>43</v>
      </c>
      <c r="D331" t="s">
        <v>145</v>
      </c>
      <c r="E331" t="s">
        <v>505</v>
      </c>
      <c r="F331" t="s">
        <v>803</v>
      </c>
      <c r="G331" t="s">
        <v>1016</v>
      </c>
      <c r="H331" t="s">
        <v>1203</v>
      </c>
      <c r="I331" t="s">
        <v>1234</v>
      </c>
      <c r="J331">
        <v>10034</v>
      </c>
      <c r="K331" t="s">
        <v>1237</v>
      </c>
      <c r="L331" t="s">
        <v>1236</v>
      </c>
      <c r="M331" t="s">
        <v>1242</v>
      </c>
      <c r="N331" t="s">
        <v>1262</v>
      </c>
      <c r="O331" t="s">
        <v>109</v>
      </c>
      <c r="P331">
        <v>178.33</v>
      </c>
      <c r="T331">
        <v>10.2</v>
      </c>
    </row>
    <row r="332" spans="1:20">
      <c r="A332" s="1">
        <f>HYPERLINK("https://cms.ls-nyc.org/matter/dynamic-profile/view/1874396","18-1874396")</f>
        <v>0</v>
      </c>
      <c r="B332" t="s">
        <v>24</v>
      </c>
      <c r="C332" t="s">
        <v>43</v>
      </c>
      <c r="D332" t="s">
        <v>244</v>
      </c>
      <c r="E332" t="s">
        <v>506</v>
      </c>
      <c r="F332" t="s">
        <v>804</v>
      </c>
      <c r="G332" t="s">
        <v>1052</v>
      </c>
      <c r="H332" t="s">
        <v>1119</v>
      </c>
      <c r="I332" t="s">
        <v>1234</v>
      </c>
      <c r="J332">
        <v>10032</v>
      </c>
      <c r="K332" t="s">
        <v>1237</v>
      </c>
      <c r="L332" t="s">
        <v>1237</v>
      </c>
      <c r="M332" t="s">
        <v>1239</v>
      </c>
      <c r="N332" t="s">
        <v>1258</v>
      </c>
      <c r="O332" t="s">
        <v>244</v>
      </c>
      <c r="P332">
        <v>178.54</v>
      </c>
      <c r="T332">
        <v>13.7</v>
      </c>
    </row>
    <row r="333" spans="1:20">
      <c r="A333" s="1">
        <f>HYPERLINK("https://cms.ls-nyc.org/matter/dynamic-profile/view/1893228","19-1893228")</f>
        <v>0</v>
      </c>
      <c r="B333" t="s">
        <v>24</v>
      </c>
      <c r="C333" t="s">
        <v>43</v>
      </c>
      <c r="D333" t="s">
        <v>83</v>
      </c>
      <c r="E333" t="s">
        <v>507</v>
      </c>
      <c r="F333" t="s">
        <v>805</v>
      </c>
      <c r="G333" t="s">
        <v>1053</v>
      </c>
      <c r="H333" t="s">
        <v>1207</v>
      </c>
      <c r="I333" t="s">
        <v>1234</v>
      </c>
      <c r="J333">
        <v>10033</v>
      </c>
      <c r="K333" t="s">
        <v>1237</v>
      </c>
      <c r="L333" t="s">
        <v>1237</v>
      </c>
      <c r="N333" t="s">
        <v>1261</v>
      </c>
      <c r="O333" t="s">
        <v>83</v>
      </c>
      <c r="P333">
        <v>178.99</v>
      </c>
      <c r="T333">
        <v>2.8</v>
      </c>
    </row>
    <row r="334" spans="1:20">
      <c r="A334" s="1">
        <f>HYPERLINK("https://cms.ls-nyc.org/matter/dynamic-profile/view/1901019","19-1901019")</f>
        <v>0</v>
      </c>
      <c r="B334" t="s">
        <v>25</v>
      </c>
      <c r="C334" t="s">
        <v>43</v>
      </c>
      <c r="D334" t="s">
        <v>147</v>
      </c>
      <c r="E334" t="s">
        <v>508</v>
      </c>
      <c r="F334" t="s">
        <v>665</v>
      </c>
      <c r="G334" t="s">
        <v>938</v>
      </c>
      <c r="H334" t="s">
        <v>1126</v>
      </c>
      <c r="I334" t="s">
        <v>1234</v>
      </c>
      <c r="J334">
        <v>10034</v>
      </c>
      <c r="K334" t="s">
        <v>1237</v>
      </c>
      <c r="L334" t="s">
        <v>1236</v>
      </c>
      <c r="N334" t="s">
        <v>1259</v>
      </c>
      <c r="O334" t="s">
        <v>147</v>
      </c>
      <c r="P334">
        <v>179.18</v>
      </c>
      <c r="T334">
        <v>0</v>
      </c>
    </row>
    <row r="335" spans="1:20">
      <c r="A335" s="1">
        <f>HYPERLINK("https://cms.ls-nyc.org/matter/dynamic-profile/view/1882564","18-1882564")</f>
        <v>0</v>
      </c>
      <c r="B335" t="s">
        <v>21</v>
      </c>
      <c r="C335" t="s">
        <v>43</v>
      </c>
      <c r="D335" t="s">
        <v>245</v>
      </c>
      <c r="E335" t="s">
        <v>509</v>
      </c>
      <c r="F335" t="s">
        <v>599</v>
      </c>
      <c r="G335" t="s">
        <v>917</v>
      </c>
      <c r="H335">
        <v>52</v>
      </c>
      <c r="I335" t="s">
        <v>1234</v>
      </c>
      <c r="J335">
        <v>10034</v>
      </c>
      <c r="K335" t="s">
        <v>1237</v>
      </c>
      <c r="L335" t="s">
        <v>1237</v>
      </c>
      <c r="M335" t="s">
        <v>1242</v>
      </c>
      <c r="N335" t="s">
        <v>1258</v>
      </c>
      <c r="O335" t="s">
        <v>1296</v>
      </c>
      <c r="P335">
        <v>179.4</v>
      </c>
      <c r="T335">
        <v>118.45</v>
      </c>
    </row>
    <row r="336" spans="1:20">
      <c r="A336" s="1">
        <f>HYPERLINK("https://cms.ls-nyc.org/matter/dynamic-profile/view/1841452","17-1841452")</f>
        <v>0</v>
      </c>
      <c r="B336" t="s">
        <v>22</v>
      </c>
      <c r="C336" t="s">
        <v>43</v>
      </c>
      <c r="D336" t="s">
        <v>135</v>
      </c>
      <c r="E336" t="s">
        <v>505</v>
      </c>
      <c r="F336" t="s">
        <v>803</v>
      </c>
      <c r="G336" t="s">
        <v>1016</v>
      </c>
      <c r="H336" t="s">
        <v>1203</v>
      </c>
      <c r="I336" t="s">
        <v>1234</v>
      </c>
      <c r="J336">
        <v>10034</v>
      </c>
      <c r="K336" t="s">
        <v>1237</v>
      </c>
      <c r="L336" t="s">
        <v>1236</v>
      </c>
      <c r="M336" t="s">
        <v>1242</v>
      </c>
      <c r="N336" t="s">
        <v>1258</v>
      </c>
      <c r="O336" t="s">
        <v>135</v>
      </c>
      <c r="P336">
        <v>179.51</v>
      </c>
      <c r="T336">
        <v>24.05</v>
      </c>
    </row>
    <row r="337" spans="1:20">
      <c r="A337" s="1">
        <f>HYPERLINK("https://cms.ls-nyc.org/matter/dynamic-profile/view/1880681","18-1880681")</f>
        <v>0</v>
      </c>
      <c r="B337" t="s">
        <v>22</v>
      </c>
      <c r="C337" t="s">
        <v>43</v>
      </c>
      <c r="D337" t="s">
        <v>246</v>
      </c>
      <c r="E337" t="s">
        <v>510</v>
      </c>
      <c r="F337" t="s">
        <v>806</v>
      </c>
      <c r="G337" t="s">
        <v>1054</v>
      </c>
      <c r="H337" t="s">
        <v>1104</v>
      </c>
      <c r="I337" t="s">
        <v>1234</v>
      </c>
      <c r="J337">
        <v>10034</v>
      </c>
      <c r="K337" t="s">
        <v>1237</v>
      </c>
      <c r="L337" t="s">
        <v>1237</v>
      </c>
      <c r="M337" t="s">
        <v>1242</v>
      </c>
      <c r="N337" t="s">
        <v>1258</v>
      </c>
      <c r="O337" t="s">
        <v>69</v>
      </c>
      <c r="P337">
        <v>179.7</v>
      </c>
      <c r="T337">
        <v>13.2</v>
      </c>
    </row>
    <row r="338" spans="1:20">
      <c r="A338" s="1">
        <f>HYPERLINK("https://cms.ls-nyc.org/matter/dynamic-profile/view/1901181","19-1901181")</f>
        <v>0</v>
      </c>
      <c r="B338" t="s">
        <v>38</v>
      </c>
      <c r="C338" t="s">
        <v>43</v>
      </c>
      <c r="D338" t="s">
        <v>152</v>
      </c>
      <c r="E338" t="s">
        <v>310</v>
      </c>
      <c r="F338" t="s">
        <v>728</v>
      </c>
      <c r="G338" t="s">
        <v>1055</v>
      </c>
      <c r="H338" t="s">
        <v>1145</v>
      </c>
      <c r="I338" t="s">
        <v>1234</v>
      </c>
      <c r="J338">
        <v>10033</v>
      </c>
      <c r="K338" t="s">
        <v>1237</v>
      </c>
      <c r="L338" t="s">
        <v>1236</v>
      </c>
      <c r="M338" t="s">
        <v>1239</v>
      </c>
      <c r="N338" t="s">
        <v>1262</v>
      </c>
      <c r="O338" t="s">
        <v>152</v>
      </c>
      <c r="P338">
        <v>180.7</v>
      </c>
      <c r="T338">
        <v>2.7</v>
      </c>
    </row>
    <row r="339" spans="1:20">
      <c r="A339" s="1">
        <f>HYPERLINK("https://cms.ls-nyc.org/matter/dynamic-profile/view/1898805","19-1898805")</f>
        <v>0</v>
      </c>
      <c r="B339" t="s">
        <v>24</v>
      </c>
      <c r="C339" t="s">
        <v>43</v>
      </c>
      <c r="D339" t="s">
        <v>81</v>
      </c>
      <c r="E339" t="s">
        <v>388</v>
      </c>
      <c r="F339" t="s">
        <v>659</v>
      </c>
      <c r="G339" t="s">
        <v>1014</v>
      </c>
      <c r="H339" t="s">
        <v>1178</v>
      </c>
      <c r="I339" t="s">
        <v>1234</v>
      </c>
      <c r="J339">
        <v>10034</v>
      </c>
      <c r="K339" t="s">
        <v>1237</v>
      </c>
      <c r="L339" t="s">
        <v>1237</v>
      </c>
      <c r="M339" t="s">
        <v>1242</v>
      </c>
      <c r="N339" t="s">
        <v>1261</v>
      </c>
      <c r="O339" t="s">
        <v>81</v>
      </c>
      <c r="P339">
        <v>180.84</v>
      </c>
      <c r="T339">
        <v>2.8</v>
      </c>
    </row>
    <row r="340" spans="1:20">
      <c r="A340" s="1">
        <f>HYPERLINK("https://cms.ls-nyc.org/matter/dynamic-profile/view/1900422","19-1900422")</f>
        <v>0</v>
      </c>
      <c r="B340" t="s">
        <v>39</v>
      </c>
      <c r="C340" t="s">
        <v>43</v>
      </c>
      <c r="D340" t="s">
        <v>151</v>
      </c>
      <c r="E340" t="s">
        <v>371</v>
      </c>
      <c r="F340" t="s">
        <v>807</v>
      </c>
      <c r="G340" t="s">
        <v>1056</v>
      </c>
      <c r="I340" t="s">
        <v>1234</v>
      </c>
      <c r="J340">
        <v>10031</v>
      </c>
      <c r="K340" t="s">
        <v>1236</v>
      </c>
      <c r="L340" t="s">
        <v>1236</v>
      </c>
      <c r="M340" t="s">
        <v>1242</v>
      </c>
      <c r="N340" t="s">
        <v>1258</v>
      </c>
      <c r="P340">
        <v>181.68</v>
      </c>
      <c r="T340">
        <v>0.9</v>
      </c>
    </row>
    <row r="341" spans="1:20">
      <c r="A341" s="1">
        <f>HYPERLINK("https://cms.ls-nyc.org/matter/dynamic-profile/view/0830904","17-0830904")</f>
        <v>0</v>
      </c>
      <c r="B341" t="s">
        <v>28</v>
      </c>
      <c r="C341" t="s">
        <v>43</v>
      </c>
      <c r="D341" t="s">
        <v>73</v>
      </c>
      <c r="E341" t="s">
        <v>511</v>
      </c>
      <c r="F341" t="s">
        <v>622</v>
      </c>
      <c r="G341" t="s">
        <v>1057</v>
      </c>
      <c r="H341">
        <v>33</v>
      </c>
      <c r="I341" t="s">
        <v>1234</v>
      </c>
      <c r="J341">
        <v>10032</v>
      </c>
      <c r="K341" t="s">
        <v>1236</v>
      </c>
      <c r="L341" t="s">
        <v>1236</v>
      </c>
      <c r="M341" t="s">
        <v>1241</v>
      </c>
      <c r="N341" t="s">
        <v>1258</v>
      </c>
      <c r="O341" t="s">
        <v>105</v>
      </c>
      <c r="P341">
        <v>181.99</v>
      </c>
      <c r="Q341" t="s">
        <v>1302</v>
      </c>
      <c r="T341">
        <v>0.75</v>
      </c>
    </row>
    <row r="342" spans="1:20">
      <c r="A342" s="1">
        <f>HYPERLINK("https://cms.ls-nyc.org/matter/dynamic-profile/view/1897061","19-1897061")</f>
        <v>0</v>
      </c>
      <c r="B342" t="s">
        <v>28</v>
      </c>
      <c r="C342" t="s">
        <v>43</v>
      </c>
      <c r="D342" t="s">
        <v>75</v>
      </c>
      <c r="E342" t="s">
        <v>512</v>
      </c>
      <c r="F342" t="s">
        <v>682</v>
      </c>
      <c r="G342" t="s">
        <v>950</v>
      </c>
      <c r="H342">
        <v>1</v>
      </c>
      <c r="I342" t="s">
        <v>1234</v>
      </c>
      <c r="J342">
        <v>10034</v>
      </c>
      <c r="K342" t="s">
        <v>1237</v>
      </c>
      <c r="L342" t="s">
        <v>1237</v>
      </c>
      <c r="M342" t="s">
        <v>1240</v>
      </c>
      <c r="N342" t="s">
        <v>1261</v>
      </c>
      <c r="O342" t="s">
        <v>75</v>
      </c>
      <c r="P342">
        <v>182.55</v>
      </c>
      <c r="T342">
        <v>9.800000000000001</v>
      </c>
    </row>
    <row r="343" spans="1:20">
      <c r="A343" s="1">
        <f>HYPERLINK("https://cms.ls-nyc.org/matter/dynamic-profile/view/1843111","17-1843111")</f>
        <v>0</v>
      </c>
      <c r="B343" t="s">
        <v>23</v>
      </c>
      <c r="C343" t="s">
        <v>43</v>
      </c>
      <c r="D343" t="s">
        <v>247</v>
      </c>
      <c r="E343" t="s">
        <v>513</v>
      </c>
      <c r="F343" t="s">
        <v>808</v>
      </c>
      <c r="G343" t="s">
        <v>1058</v>
      </c>
      <c r="H343" t="s">
        <v>1122</v>
      </c>
      <c r="I343" t="s">
        <v>1234</v>
      </c>
      <c r="J343">
        <v>10033</v>
      </c>
      <c r="K343" t="s">
        <v>1237</v>
      </c>
      <c r="L343" t="s">
        <v>1237</v>
      </c>
      <c r="N343" t="s">
        <v>1258</v>
      </c>
      <c r="O343" t="s">
        <v>247</v>
      </c>
      <c r="P343">
        <v>182.59</v>
      </c>
      <c r="T343">
        <v>86.95</v>
      </c>
    </row>
    <row r="344" spans="1:20">
      <c r="A344" s="1">
        <f>HYPERLINK("https://cms.ls-nyc.org/matter/dynamic-profile/view/1888399","19-1888399")</f>
        <v>0</v>
      </c>
      <c r="B344" t="s">
        <v>22</v>
      </c>
      <c r="C344" t="s">
        <v>43</v>
      </c>
      <c r="D344" t="s">
        <v>153</v>
      </c>
      <c r="E344" t="s">
        <v>310</v>
      </c>
      <c r="F344" t="s">
        <v>768</v>
      </c>
      <c r="G344" t="s">
        <v>917</v>
      </c>
      <c r="H344">
        <v>55</v>
      </c>
      <c r="I344" t="s">
        <v>1234</v>
      </c>
      <c r="J344">
        <v>10034</v>
      </c>
      <c r="K344" t="s">
        <v>1237</v>
      </c>
      <c r="L344" t="s">
        <v>1237</v>
      </c>
      <c r="M344" t="s">
        <v>1240</v>
      </c>
      <c r="N344" t="s">
        <v>1258</v>
      </c>
      <c r="O344" t="s">
        <v>153</v>
      </c>
      <c r="P344">
        <v>183.32</v>
      </c>
      <c r="T344">
        <v>1.42</v>
      </c>
    </row>
    <row r="345" spans="1:20">
      <c r="A345" s="1">
        <f>HYPERLINK("https://cms.ls-nyc.org/matter/dynamic-profile/view/1894678","19-1894678")</f>
        <v>0</v>
      </c>
      <c r="B345" t="s">
        <v>36</v>
      </c>
      <c r="C345" t="s">
        <v>43</v>
      </c>
      <c r="D345" t="s">
        <v>53</v>
      </c>
      <c r="E345" t="s">
        <v>424</v>
      </c>
      <c r="F345" t="s">
        <v>809</v>
      </c>
      <c r="G345" t="s">
        <v>1059</v>
      </c>
      <c r="H345">
        <v>45</v>
      </c>
      <c r="I345" t="s">
        <v>1234</v>
      </c>
      <c r="J345">
        <v>10032</v>
      </c>
      <c r="K345" t="s">
        <v>1237</v>
      </c>
      <c r="L345" t="s">
        <v>1237</v>
      </c>
      <c r="M345" t="s">
        <v>1242</v>
      </c>
      <c r="N345" t="s">
        <v>1260</v>
      </c>
      <c r="O345" t="s">
        <v>53</v>
      </c>
      <c r="P345">
        <v>185.02</v>
      </c>
      <c r="T345">
        <v>0.5</v>
      </c>
    </row>
    <row r="346" spans="1:20">
      <c r="A346" s="1">
        <f>HYPERLINK("https://cms.ls-nyc.org/matter/dynamic-profile/view/0827330","17-0827330")</f>
        <v>0</v>
      </c>
      <c r="B346" t="s">
        <v>25</v>
      </c>
      <c r="C346" t="s">
        <v>43</v>
      </c>
      <c r="D346" t="s">
        <v>150</v>
      </c>
      <c r="E346" t="s">
        <v>508</v>
      </c>
      <c r="F346" t="s">
        <v>665</v>
      </c>
      <c r="G346" t="s">
        <v>938</v>
      </c>
      <c r="H346" t="s">
        <v>1126</v>
      </c>
      <c r="I346" t="s">
        <v>1234</v>
      </c>
      <c r="J346">
        <v>10034</v>
      </c>
      <c r="K346" t="s">
        <v>1237</v>
      </c>
      <c r="L346" t="s">
        <v>1236</v>
      </c>
      <c r="M346" t="s">
        <v>1240</v>
      </c>
      <c r="N346" t="s">
        <v>1258</v>
      </c>
      <c r="O346" t="s">
        <v>1279</v>
      </c>
      <c r="P346">
        <v>185.57</v>
      </c>
      <c r="T346">
        <v>29.8</v>
      </c>
    </row>
    <row r="347" spans="1:20">
      <c r="A347" s="1">
        <f>HYPERLINK("https://cms.ls-nyc.org/matter/dynamic-profile/view/1847570","17-1847570")</f>
        <v>0</v>
      </c>
      <c r="B347" t="s">
        <v>29</v>
      </c>
      <c r="C347" t="s">
        <v>43</v>
      </c>
      <c r="D347" t="s">
        <v>248</v>
      </c>
      <c r="E347" t="s">
        <v>514</v>
      </c>
      <c r="F347" t="s">
        <v>810</v>
      </c>
      <c r="G347" t="s">
        <v>1060</v>
      </c>
      <c r="H347" t="s">
        <v>1208</v>
      </c>
      <c r="I347" t="s">
        <v>1234</v>
      </c>
      <c r="J347">
        <v>10034</v>
      </c>
      <c r="K347" t="s">
        <v>1237</v>
      </c>
      <c r="L347" t="s">
        <v>1236</v>
      </c>
      <c r="M347" t="s">
        <v>1241</v>
      </c>
      <c r="N347" t="s">
        <v>1259</v>
      </c>
      <c r="O347" t="s">
        <v>1297</v>
      </c>
      <c r="P347">
        <v>190.71</v>
      </c>
      <c r="T347">
        <v>61.7</v>
      </c>
    </row>
    <row r="348" spans="1:20">
      <c r="A348" s="1">
        <f>HYPERLINK("https://cms.ls-nyc.org/matter/dynamic-profile/view/1890827","19-1890827")</f>
        <v>0</v>
      </c>
      <c r="B348" t="s">
        <v>26</v>
      </c>
      <c r="C348" t="s">
        <v>43</v>
      </c>
      <c r="D348" t="s">
        <v>222</v>
      </c>
      <c r="E348" t="s">
        <v>317</v>
      </c>
      <c r="F348" t="s">
        <v>811</v>
      </c>
      <c r="G348" t="s">
        <v>943</v>
      </c>
      <c r="H348" t="s">
        <v>1115</v>
      </c>
      <c r="I348" t="s">
        <v>1234</v>
      </c>
      <c r="J348">
        <v>10032</v>
      </c>
      <c r="K348" t="s">
        <v>1237</v>
      </c>
      <c r="L348" t="s">
        <v>1237</v>
      </c>
      <c r="N348" t="s">
        <v>1261</v>
      </c>
      <c r="O348" t="s">
        <v>222</v>
      </c>
      <c r="P348">
        <v>190.71</v>
      </c>
      <c r="T348">
        <v>0</v>
      </c>
    </row>
    <row r="349" spans="1:20">
      <c r="A349" s="1">
        <f>HYPERLINK("https://cms.ls-nyc.org/matter/dynamic-profile/view/1872357","18-1872357")</f>
        <v>0</v>
      </c>
      <c r="B349" t="s">
        <v>23</v>
      </c>
      <c r="C349" t="s">
        <v>43</v>
      </c>
      <c r="D349" t="s">
        <v>205</v>
      </c>
      <c r="E349" t="s">
        <v>515</v>
      </c>
      <c r="F349" t="s">
        <v>812</v>
      </c>
      <c r="G349" t="s">
        <v>1061</v>
      </c>
      <c r="H349" t="s">
        <v>1116</v>
      </c>
      <c r="I349" t="s">
        <v>1234</v>
      </c>
      <c r="J349">
        <v>10032</v>
      </c>
      <c r="K349" t="s">
        <v>1237</v>
      </c>
      <c r="L349" t="s">
        <v>1237</v>
      </c>
      <c r="M349" t="s">
        <v>1240</v>
      </c>
      <c r="N349" t="s">
        <v>1260</v>
      </c>
      <c r="O349" t="s">
        <v>205</v>
      </c>
      <c r="P349">
        <v>192.49</v>
      </c>
      <c r="T349">
        <v>61.3</v>
      </c>
    </row>
    <row r="350" spans="1:20">
      <c r="A350" s="1">
        <f>HYPERLINK("https://cms.ls-nyc.org/matter/dynamic-profile/view/1842878","17-1842878")</f>
        <v>0</v>
      </c>
      <c r="B350" t="s">
        <v>29</v>
      </c>
      <c r="C350" t="s">
        <v>43</v>
      </c>
      <c r="D350" t="s">
        <v>249</v>
      </c>
      <c r="E350" t="s">
        <v>516</v>
      </c>
      <c r="F350" t="s">
        <v>813</v>
      </c>
      <c r="G350" t="s">
        <v>1062</v>
      </c>
      <c r="H350" t="s">
        <v>1130</v>
      </c>
      <c r="I350" t="s">
        <v>1234</v>
      </c>
      <c r="J350">
        <v>10033</v>
      </c>
      <c r="K350" t="s">
        <v>1237</v>
      </c>
      <c r="L350" t="s">
        <v>1236</v>
      </c>
      <c r="M350" t="s">
        <v>1252</v>
      </c>
      <c r="N350" t="s">
        <v>1263</v>
      </c>
      <c r="O350" t="s">
        <v>179</v>
      </c>
      <c r="P350">
        <v>192.55</v>
      </c>
      <c r="Q350" t="s">
        <v>235</v>
      </c>
      <c r="T350">
        <v>5.5</v>
      </c>
    </row>
    <row r="351" spans="1:20">
      <c r="A351" s="1">
        <f>HYPERLINK("https://cms.ls-nyc.org/matter/dynamic-profile/view/0822647","16-0822647")</f>
        <v>0</v>
      </c>
      <c r="B351" t="s">
        <v>25</v>
      </c>
      <c r="C351" t="s">
        <v>43</v>
      </c>
      <c r="D351" t="s">
        <v>199</v>
      </c>
      <c r="E351" t="s">
        <v>424</v>
      </c>
      <c r="F351" t="s">
        <v>680</v>
      </c>
      <c r="G351" t="s">
        <v>995</v>
      </c>
      <c r="H351" t="s">
        <v>1182</v>
      </c>
      <c r="I351" t="s">
        <v>1234</v>
      </c>
      <c r="J351">
        <v>10034</v>
      </c>
      <c r="K351" t="s">
        <v>1237</v>
      </c>
      <c r="L351" t="s">
        <v>1236</v>
      </c>
      <c r="M351" t="s">
        <v>1252</v>
      </c>
      <c r="N351" t="s">
        <v>1263</v>
      </c>
      <c r="O351" t="s">
        <v>195</v>
      </c>
      <c r="P351">
        <v>193.45</v>
      </c>
      <c r="T351">
        <v>0</v>
      </c>
    </row>
    <row r="352" spans="1:20">
      <c r="A352" s="1">
        <f>HYPERLINK("https://cms.ls-nyc.org/matter/dynamic-profile/view/1866445","18-1866445")</f>
        <v>0</v>
      </c>
      <c r="B352" t="s">
        <v>29</v>
      </c>
      <c r="C352" t="s">
        <v>43</v>
      </c>
      <c r="D352" t="s">
        <v>92</v>
      </c>
      <c r="E352" t="s">
        <v>517</v>
      </c>
      <c r="F352" t="s">
        <v>682</v>
      </c>
      <c r="G352" t="s">
        <v>918</v>
      </c>
      <c r="H352" t="s">
        <v>1115</v>
      </c>
      <c r="I352" t="s">
        <v>1234</v>
      </c>
      <c r="J352">
        <v>10031</v>
      </c>
      <c r="K352" t="s">
        <v>1237</v>
      </c>
      <c r="L352" t="s">
        <v>1237</v>
      </c>
      <c r="M352" t="s">
        <v>1240</v>
      </c>
      <c r="N352" t="s">
        <v>1260</v>
      </c>
      <c r="O352" t="s">
        <v>92</v>
      </c>
      <c r="P352">
        <v>194.28</v>
      </c>
      <c r="T352">
        <v>0.75</v>
      </c>
    </row>
    <row r="353" spans="1:20">
      <c r="A353" s="1">
        <f>HYPERLINK("https://cms.ls-nyc.org/matter/dynamic-profile/view/0818184","16-0818184")</f>
        <v>0</v>
      </c>
      <c r="B353" t="s">
        <v>24</v>
      </c>
      <c r="C353" t="s">
        <v>43</v>
      </c>
      <c r="D353" t="s">
        <v>250</v>
      </c>
      <c r="E353" t="s">
        <v>381</v>
      </c>
      <c r="F353" t="s">
        <v>703</v>
      </c>
      <c r="G353" t="s">
        <v>1000</v>
      </c>
      <c r="H353" t="s">
        <v>1175</v>
      </c>
      <c r="I353" t="s">
        <v>1234</v>
      </c>
      <c r="J353">
        <v>10034</v>
      </c>
      <c r="K353" t="s">
        <v>1237</v>
      </c>
      <c r="L353" t="s">
        <v>1236</v>
      </c>
      <c r="M353" t="s">
        <v>1241</v>
      </c>
      <c r="N353" t="s">
        <v>1259</v>
      </c>
      <c r="O353" t="s">
        <v>137</v>
      </c>
      <c r="P353">
        <v>194.76</v>
      </c>
      <c r="T353">
        <v>41.3</v>
      </c>
    </row>
    <row r="354" spans="1:20">
      <c r="A354" s="1">
        <f>HYPERLINK("https://cms.ls-nyc.org/matter/dynamic-profile/view/1890003","19-1890003")</f>
        <v>0</v>
      </c>
      <c r="B354" t="s">
        <v>25</v>
      </c>
      <c r="C354" t="s">
        <v>43</v>
      </c>
      <c r="D354" t="s">
        <v>183</v>
      </c>
      <c r="E354" t="s">
        <v>518</v>
      </c>
      <c r="F354" t="s">
        <v>814</v>
      </c>
      <c r="G354" t="s">
        <v>1063</v>
      </c>
      <c r="H354">
        <v>53</v>
      </c>
      <c r="I354" t="s">
        <v>1234</v>
      </c>
      <c r="J354">
        <v>10034</v>
      </c>
      <c r="K354" t="s">
        <v>1237</v>
      </c>
      <c r="L354" t="s">
        <v>1237</v>
      </c>
      <c r="M354" t="s">
        <v>1242</v>
      </c>
      <c r="N354" t="s">
        <v>1261</v>
      </c>
      <c r="O354" t="s">
        <v>183</v>
      </c>
      <c r="P354">
        <v>198.59</v>
      </c>
      <c r="T354">
        <v>0.1</v>
      </c>
    </row>
    <row r="355" spans="1:20">
      <c r="A355" s="1">
        <f>HYPERLINK("https://cms.ls-nyc.org/matter/dynamic-profile/view/1847730","17-1847730")</f>
        <v>0</v>
      </c>
      <c r="B355" t="s">
        <v>29</v>
      </c>
      <c r="C355" t="s">
        <v>43</v>
      </c>
      <c r="D355" t="s">
        <v>251</v>
      </c>
      <c r="E355" t="s">
        <v>424</v>
      </c>
      <c r="F355" t="s">
        <v>815</v>
      </c>
      <c r="G355" t="s">
        <v>951</v>
      </c>
      <c r="H355" t="s">
        <v>1166</v>
      </c>
      <c r="I355" t="s">
        <v>1234</v>
      </c>
      <c r="J355">
        <v>10034</v>
      </c>
      <c r="K355" t="s">
        <v>1237</v>
      </c>
      <c r="L355" t="s">
        <v>1236</v>
      </c>
      <c r="M355" t="s">
        <v>1242</v>
      </c>
      <c r="N355" t="s">
        <v>1258</v>
      </c>
      <c r="O355" t="s">
        <v>1293</v>
      </c>
      <c r="P355">
        <v>198.67</v>
      </c>
      <c r="T355">
        <v>60.4</v>
      </c>
    </row>
    <row r="356" spans="1:20">
      <c r="A356" s="1">
        <f>HYPERLINK("https://cms.ls-nyc.org/matter/dynamic-profile/view/1897727","19-1897727")</f>
        <v>0</v>
      </c>
      <c r="B356" t="s">
        <v>25</v>
      </c>
      <c r="C356" t="s">
        <v>43</v>
      </c>
      <c r="D356" t="s">
        <v>57</v>
      </c>
      <c r="E356" t="s">
        <v>519</v>
      </c>
      <c r="F356" t="s">
        <v>686</v>
      </c>
      <c r="G356" t="s">
        <v>1064</v>
      </c>
      <c r="H356" t="s">
        <v>1209</v>
      </c>
      <c r="I356" t="s">
        <v>1234</v>
      </c>
      <c r="J356">
        <v>10034</v>
      </c>
      <c r="K356" t="s">
        <v>1237</v>
      </c>
      <c r="L356" t="s">
        <v>1236</v>
      </c>
      <c r="M356" t="s">
        <v>1241</v>
      </c>
      <c r="N356" t="s">
        <v>1261</v>
      </c>
      <c r="O356" t="s">
        <v>1298</v>
      </c>
      <c r="P356">
        <v>199.01</v>
      </c>
      <c r="T356">
        <v>0.6</v>
      </c>
    </row>
    <row r="357" spans="1:20">
      <c r="A357" s="1">
        <f>HYPERLINK("https://cms.ls-nyc.org/matter/dynamic-profile/view/1888152","19-1888152")</f>
        <v>0</v>
      </c>
      <c r="B357" t="s">
        <v>25</v>
      </c>
      <c r="C357" t="s">
        <v>43</v>
      </c>
      <c r="D357" t="s">
        <v>149</v>
      </c>
      <c r="E357" t="s">
        <v>315</v>
      </c>
      <c r="F357" t="s">
        <v>641</v>
      </c>
      <c r="G357" t="s">
        <v>1041</v>
      </c>
      <c r="H357">
        <v>45</v>
      </c>
      <c r="I357" t="s">
        <v>1234</v>
      </c>
      <c r="J357">
        <v>10034</v>
      </c>
      <c r="K357" t="s">
        <v>1237</v>
      </c>
      <c r="L357" t="s">
        <v>1237</v>
      </c>
      <c r="N357" t="s">
        <v>1262</v>
      </c>
      <c r="O357" t="s">
        <v>149</v>
      </c>
      <c r="P357">
        <v>199.2</v>
      </c>
      <c r="T357">
        <v>1.3</v>
      </c>
    </row>
    <row r="358" spans="1:20">
      <c r="A358" s="1">
        <f>HYPERLINK("https://cms.ls-nyc.org/matter/dynamic-profile/view/1840475","17-1840475")</f>
        <v>0</v>
      </c>
      <c r="B358" t="s">
        <v>25</v>
      </c>
      <c r="C358" t="s">
        <v>43</v>
      </c>
      <c r="D358" t="s">
        <v>94</v>
      </c>
      <c r="E358" t="s">
        <v>520</v>
      </c>
      <c r="F358" t="s">
        <v>651</v>
      </c>
      <c r="G358" t="s">
        <v>945</v>
      </c>
      <c r="H358" t="s">
        <v>1138</v>
      </c>
      <c r="I358" t="s">
        <v>1234</v>
      </c>
      <c r="J358">
        <v>10034</v>
      </c>
      <c r="K358" t="s">
        <v>1237</v>
      </c>
      <c r="L358" t="s">
        <v>1236</v>
      </c>
      <c r="M358" t="s">
        <v>1239</v>
      </c>
      <c r="N358" t="s">
        <v>1258</v>
      </c>
      <c r="O358" t="s">
        <v>179</v>
      </c>
      <c r="P358">
        <v>200.76</v>
      </c>
      <c r="T358">
        <v>193.05</v>
      </c>
    </row>
    <row r="359" spans="1:20">
      <c r="A359" s="1">
        <f>HYPERLINK("https://cms.ls-nyc.org/matter/dynamic-profile/view/1835830","17-1835830")</f>
        <v>0</v>
      </c>
      <c r="B359" t="s">
        <v>29</v>
      </c>
      <c r="C359" t="s">
        <v>43</v>
      </c>
      <c r="D359" t="s">
        <v>252</v>
      </c>
      <c r="E359" t="s">
        <v>420</v>
      </c>
      <c r="F359" t="s">
        <v>816</v>
      </c>
      <c r="G359" t="s">
        <v>1065</v>
      </c>
      <c r="H359" t="s">
        <v>1182</v>
      </c>
      <c r="I359" t="s">
        <v>1234</v>
      </c>
      <c r="J359">
        <v>10034</v>
      </c>
      <c r="K359" t="s">
        <v>1237</v>
      </c>
      <c r="L359" t="s">
        <v>1236</v>
      </c>
      <c r="M359" t="s">
        <v>1252</v>
      </c>
      <c r="N359" t="s">
        <v>1263</v>
      </c>
      <c r="O359" t="s">
        <v>179</v>
      </c>
      <c r="P359">
        <v>203.25</v>
      </c>
      <c r="Q359" t="s">
        <v>1305</v>
      </c>
      <c r="T359">
        <v>0</v>
      </c>
    </row>
    <row r="360" spans="1:20">
      <c r="A360" s="1">
        <f>HYPERLINK("https://cms.ls-nyc.org/matter/dynamic-profile/view/1861611","18-1861611")</f>
        <v>0</v>
      </c>
      <c r="B360" t="s">
        <v>24</v>
      </c>
      <c r="C360" t="s">
        <v>43</v>
      </c>
      <c r="D360" t="s">
        <v>62</v>
      </c>
      <c r="E360" t="s">
        <v>317</v>
      </c>
      <c r="F360" t="s">
        <v>817</v>
      </c>
      <c r="G360" t="s">
        <v>921</v>
      </c>
      <c r="H360" t="s">
        <v>1210</v>
      </c>
      <c r="I360" t="s">
        <v>1234</v>
      </c>
      <c r="J360">
        <v>10034</v>
      </c>
      <c r="K360" t="s">
        <v>1236</v>
      </c>
      <c r="L360" t="s">
        <v>1236</v>
      </c>
      <c r="M360" t="s">
        <v>1242</v>
      </c>
      <c r="N360" t="s">
        <v>1262</v>
      </c>
      <c r="P360">
        <v>206.45</v>
      </c>
      <c r="T360">
        <v>54.3</v>
      </c>
    </row>
    <row r="361" spans="1:20">
      <c r="A361" s="1">
        <f>HYPERLINK("https://cms.ls-nyc.org/matter/dynamic-profile/view/1856450","18-1856450")</f>
        <v>0</v>
      </c>
      <c r="B361" t="s">
        <v>28</v>
      </c>
      <c r="C361" t="s">
        <v>43</v>
      </c>
      <c r="D361" t="s">
        <v>253</v>
      </c>
      <c r="E361" t="s">
        <v>521</v>
      </c>
      <c r="F361" t="s">
        <v>818</v>
      </c>
      <c r="G361" t="s">
        <v>940</v>
      </c>
      <c r="H361" t="s">
        <v>1211</v>
      </c>
      <c r="I361" t="s">
        <v>1234</v>
      </c>
      <c r="J361">
        <v>10034</v>
      </c>
      <c r="K361" t="s">
        <v>1237</v>
      </c>
      <c r="L361" t="s">
        <v>1236</v>
      </c>
      <c r="M361" t="s">
        <v>1240</v>
      </c>
      <c r="N361" t="s">
        <v>1258</v>
      </c>
      <c r="O361" t="s">
        <v>253</v>
      </c>
      <c r="P361">
        <v>207.32</v>
      </c>
      <c r="T361">
        <v>0.9</v>
      </c>
    </row>
    <row r="362" spans="1:20">
      <c r="A362" s="1">
        <f>HYPERLINK("https://cms.ls-nyc.org/matter/dynamic-profile/view/1872874","18-1872874")</f>
        <v>0</v>
      </c>
      <c r="B362" t="s">
        <v>40</v>
      </c>
      <c r="C362" t="s">
        <v>43</v>
      </c>
      <c r="D362" t="s">
        <v>254</v>
      </c>
      <c r="E362" t="s">
        <v>522</v>
      </c>
      <c r="F362" t="s">
        <v>819</v>
      </c>
      <c r="G362" t="s">
        <v>1066</v>
      </c>
      <c r="H362" t="s">
        <v>1125</v>
      </c>
      <c r="I362" t="s">
        <v>1234</v>
      </c>
      <c r="J362">
        <v>10031</v>
      </c>
      <c r="K362" t="s">
        <v>1237</v>
      </c>
      <c r="L362" t="s">
        <v>1237</v>
      </c>
      <c r="M362" t="s">
        <v>1239</v>
      </c>
      <c r="N362" t="s">
        <v>1258</v>
      </c>
      <c r="O362" t="s">
        <v>254</v>
      </c>
      <c r="P362">
        <v>207.87</v>
      </c>
      <c r="T362">
        <v>94.15000000000001</v>
      </c>
    </row>
    <row r="363" spans="1:20">
      <c r="A363" s="1">
        <f>HYPERLINK("https://cms.ls-nyc.org/matter/dynamic-profile/view/0829559","17-0829559")</f>
        <v>0</v>
      </c>
      <c r="B363" t="s">
        <v>29</v>
      </c>
      <c r="C363" t="s">
        <v>43</v>
      </c>
      <c r="D363" t="s">
        <v>255</v>
      </c>
      <c r="E363" t="s">
        <v>424</v>
      </c>
      <c r="F363" t="s">
        <v>820</v>
      </c>
      <c r="G363" t="s">
        <v>922</v>
      </c>
      <c r="H363">
        <v>38</v>
      </c>
      <c r="I363" t="s">
        <v>1234</v>
      </c>
      <c r="J363">
        <v>10034</v>
      </c>
      <c r="K363" t="s">
        <v>1237</v>
      </c>
      <c r="L363" t="s">
        <v>1236</v>
      </c>
      <c r="M363" t="s">
        <v>1245</v>
      </c>
      <c r="N363" t="s">
        <v>1260</v>
      </c>
      <c r="O363" t="s">
        <v>112</v>
      </c>
      <c r="P363">
        <v>211.39</v>
      </c>
      <c r="Q363" t="s">
        <v>1305</v>
      </c>
      <c r="T363">
        <v>1.4</v>
      </c>
    </row>
    <row r="364" spans="1:20">
      <c r="A364" s="1">
        <f>HYPERLINK("https://cms.ls-nyc.org/matter/dynamic-profile/view/1881586","18-1881586")</f>
        <v>0</v>
      </c>
      <c r="B364" t="s">
        <v>41</v>
      </c>
      <c r="C364" t="s">
        <v>43</v>
      </c>
      <c r="D364" t="s">
        <v>256</v>
      </c>
      <c r="E364" t="s">
        <v>523</v>
      </c>
      <c r="F364" t="s">
        <v>747</v>
      </c>
      <c r="G364" t="s">
        <v>1067</v>
      </c>
      <c r="H364">
        <v>54</v>
      </c>
      <c r="I364" t="s">
        <v>1234</v>
      </c>
      <c r="J364">
        <v>10031</v>
      </c>
      <c r="K364" t="s">
        <v>1237</v>
      </c>
      <c r="L364" t="s">
        <v>1237</v>
      </c>
      <c r="M364" t="s">
        <v>1242</v>
      </c>
      <c r="N364" t="s">
        <v>1261</v>
      </c>
      <c r="O364" t="s">
        <v>82</v>
      </c>
      <c r="P364">
        <v>214.17</v>
      </c>
      <c r="T364">
        <v>0.6</v>
      </c>
    </row>
    <row r="365" spans="1:20">
      <c r="A365" s="1">
        <f>HYPERLINK("https://cms.ls-nyc.org/matter/dynamic-profile/view/1891226","19-1891226")</f>
        <v>0</v>
      </c>
      <c r="B365" t="s">
        <v>25</v>
      </c>
      <c r="C365" t="s">
        <v>43</v>
      </c>
      <c r="D365" t="s">
        <v>257</v>
      </c>
      <c r="E365" t="s">
        <v>524</v>
      </c>
      <c r="F365" t="s">
        <v>821</v>
      </c>
      <c r="G365" t="s">
        <v>1068</v>
      </c>
      <c r="H365" t="s">
        <v>1130</v>
      </c>
      <c r="I365" t="s">
        <v>1234</v>
      </c>
      <c r="J365">
        <v>10034</v>
      </c>
      <c r="K365" t="s">
        <v>1237</v>
      </c>
      <c r="L365" t="s">
        <v>1237</v>
      </c>
      <c r="N365" t="s">
        <v>1261</v>
      </c>
      <c r="O365" t="s">
        <v>257</v>
      </c>
      <c r="P365">
        <v>215.45</v>
      </c>
      <c r="T365">
        <v>0.1</v>
      </c>
    </row>
    <row r="366" spans="1:20">
      <c r="A366" s="1">
        <f>HYPERLINK("https://cms.ls-nyc.org/matter/dynamic-profile/view/1865297","18-1865297")</f>
        <v>0</v>
      </c>
      <c r="B366" t="s">
        <v>36</v>
      </c>
      <c r="C366" t="s">
        <v>43</v>
      </c>
      <c r="D366" t="s">
        <v>258</v>
      </c>
      <c r="E366" t="s">
        <v>525</v>
      </c>
      <c r="F366" t="s">
        <v>603</v>
      </c>
      <c r="G366" t="s">
        <v>1069</v>
      </c>
      <c r="H366" t="s">
        <v>1212</v>
      </c>
      <c r="I366" t="s">
        <v>1234</v>
      </c>
      <c r="J366">
        <v>10033</v>
      </c>
      <c r="K366" t="s">
        <v>1237</v>
      </c>
      <c r="L366" t="s">
        <v>1236</v>
      </c>
      <c r="M366" t="s">
        <v>1242</v>
      </c>
      <c r="N366" t="s">
        <v>1259</v>
      </c>
      <c r="O366" t="s">
        <v>258</v>
      </c>
      <c r="P366">
        <v>217.4</v>
      </c>
      <c r="T366">
        <v>36.8</v>
      </c>
    </row>
    <row r="367" spans="1:20">
      <c r="A367" s="1">
        <f>HYPERLINK("https://cms.ls-nyc.org/matter/dynamic-profile/view/1871560","18-1871560")</f>
        <v>0</v>
      </c>
      <c r="B367" t="s">
        <v>22</v>
      </c>
      <c r="C367" t="s">
        <v>43</v>
      </c>
      <c r="D367" t="s">
        <v>46</v>
      </c>
      <c r="E367" t="s">
        <v>433</v>
      </c>
      <c r="F367" t="s">
        <v>822</v>
      </c>
      <c r="G367" t="s">
        <v>896</v>
      </c>
      <c r="H367" t="s">
        <v>1165</v>
      </c>
      <c r="I367" t="s">
        <v>1234</v>
      </c>
      <c r="J367">
        <v>10034</v>
      </c>
      <c r="K367" t="s">
        <v>1237</v>
      </c>
      <c r="L367" t="s">
        <v>1237</v>
      </c>
      <c r="M367" t="s">
        <v>1240</v>
      </c>
      <c r="N367" t="s">
        <v>1258</v>
      </c>
      <c r="O367" t="s">
        <v>46</v>
      </c>
      <c r="P367">
        <v>217.65</v>
      </c>
      <c r="T367">
        <v>0.4</v>
      </c>
    </row>
    <row r="368" spans="1:20">
      <c r="A368" s="1">
        <f>HYPERLINK("https://cms.ls-nyc.org/matter/dynamic-profile/view/1845669","17-1845669")</f>
        <v>0</v>
      </c>
      <c r="B368" t="s">
        <v>22</v>
      </c>
      <c r="C368" t="s">
        <v>43</v>
      </c>
      <c r="D368" t="s">
        <v>193</v>
      </c>
      <c r="E368" t="s">
        <v>526</v>
      </c>
      <c r="F368" t="s">
        <v>823</v>
      </c>
      <c r="G368" t="s">
        <v>914</v>
      </c>
      <c r="H368">
        <v>52</v>
      </c>
      <c r="I368" t="s">
        <v>1234</v>
      </c>
      <c r="J368">
        <v>10034</v>
      </c>
      <c r="K368" t="s">
        <v>1237</v>
      </c>
      <c r="L368" t="s">
        <v>1236</v>
      </c>
      <c r="M368" t="s">
        <v>1242</v>
      </c>
      <c r="N368" t="s">
        <v>1260</v>
      </c>
      <c r="O368" t="s">
        <v>88</v>
      </c>
      <c r="P368">
        <v>218.91</v>
      </c>
      <c r="Q368" t="s">
        <v>1305</v>
      </c>
      <c r="T368">
        <v>13.8</v>
      </c>
    </row>
    <row r="369" spans="1:20">
      <c r="A369" s="1">
        <f>HYPERLINK("https://cms.ls-nyc.org/matter/dynamic-profile/view/1897707","19-1897707")</f>
        <v>0</v>
      </c>
      <c r="B369" t="s">
        <v>26</v>
      </c>
      <c r="C369" t="s">
        <v>43</v>
      </c>
      <c r="D369" t="s">
        <v>57</v>
      </c>
      <c r="E369" t="s">
        <v>482</v>
      </c>
      <c r="F369" t="s">
        <v>824</v>
      </c>
      <c r="G369" t="s">
        <v>1070</v>
      </c>
      <c r="H369">
        <v>54</v>
      </c>
      <c r="I369" t="s">
        <v>1234</v>
      </c>
      <c r="J369">
        <v>10034</v>
      </c>
      <c r="K369" t="s">
        <v>1237</v>
      </c>
      <c r="L369" t="s">
        <v>1237</v>
      </c>
      <c r="M369" t="s">
        <v>1244</v>
      </c>
      <c r="N369" t="s">
        <v>1261</v>
      </c>
      <c r="O369" t="s">
        <v>57</v>
      </c>
      <c r="P369">
        <v>224.72</v>
      </c>
      <c r="T369">
        <v>1.8</v>
      </c>
    </row>
    <row r="370" spans="1:20">
      <c r="A370" s="1">
        <f>HYPERLINK("https://cms.ls-nyc.org/matter/dynamic-profile/view/1898102","19-1898102")</f>
        <v>0</v>
      </c>
      <c r="B370" t="s">
        <v>23</v>
      </c>
      <c r="C370" t="s">
        <v>43</v>
      </c>
      <c r="D370" t="s">
        <v>259</v>
      </c>
      <c r="E370" t="s">
        <v>527</v>
      </c>
      <c r="F370" t="s">
        <v>650</v>
      </c>
      <c r="G370" t="s">
        <v>1071</v>
      </c>
      <c r="H370" t="s">
        <v>1130</v>
      </c>
      <c r="I370" t="s">
        <v>1234</v>
      </c>
      <c r="J370">
        <v>10033</v>
      </c>
      <c r="K370" t="s">
        <v>1237</v>
      </c>
      <c r="L370" t="s">
        <v>1237</v>
      </c>
      <c r="M370" t="s">
        <v>1239</v>
      </c>
      <c r="N370" t="s">
        <v>1261</v>
      </c>
      <c r="O370" t="s">
        <v>259</v>
      </c>
      <c r="P370">
        <v>225.04</v>
      </c>
      <c r="T370">
        <v>3.7</v>
      </c>
    </row>
    <row r="371" spans="1:20">
      <c r="A371" s="1">
        <f>HYPERLINK("https://cms.ls-nyc.org/matter/dynamic-profile/view/0806867","16-0806867")</f>
        <v>0</v>
      </c>
      <c r="B371" t="s">
        <v>25</v>
      </c>
      <c r="C371" t="s">
        <v>43</v>
      </c>
      <c r="D371" t="s">
        <v>93</v>
      </c>
      <c r="E371" t="s">
        <v>527</v>
      </c>
      <c r="F371" t="s">
        <v>825</v>
      </c>
      <c r="G371" t="s">
        <v>938</v>
      </c>
      <c r="H371" t="s">
        <v>1136</v>
      </c>
      <c r="I371" t="s">
        <v>1234</v>
      </c>
      <c r="J371">
        <v>10034</v>
      </c>
      <c r="K371" t="s">
        <v>1238</v>
      </c>
      <c r="L371" t="s">
        <v>1236</v>
      </c>
      <c r="M371" t="s">
        <v>1240</v>
      </c>
      <c r="N371" t="s">
        <v>1258</v>
      </c>
      <c r="O371" t="s">
        <v>1275</v>
      </c>
      <c r="P371">
        <v>226.88</v>
      </c>
      <c r="T371">
        <v>50.44</v>
      </c>
    </row>
    <row r="372" spans="1:20">
      <c r="A372" s="1">
        <f>HYPERLINK("https://cms.ls-nyc.org/matter/dynamic-profile/view/1902040","19-1902040")</f>
        <v>0</v>
      </c>
      <c r="B372" t="s">
        <v>23</v>
      </c>
      <c r="C372" t="s">
        <v>43</v>
      </c>
      <c r="D372" t="s">
        <v>48</v>
      </c>
      <c r="E372" t="s">
        <v>317</v>
      </c>
      <c r="F372" t="s">
        <v>826</v>
      </c>
      <c r="G372" t="s">
        <v>1042</v>
      </c>
      <c r="H372" t="s">
        <v>1122</v>
      </c>
      <c r="I372" t="s">
        <v>1234</v>
      </c>
      <c r="J372">
        <v>10034</v>
      </c>
      <c r="K372" t="s">
        <v>1237</v>
      </c>
      <c r="L372" t="s">
        <v>1236</v>
      </c>
      <c r="N372" t="s">
        <v>1260</v>
      </c>
      <c r="O372" t="s">
        <v>48</v>
      </c>
      <c r="P372">
        <v>227.85</v>
      </c>
      <c r="T372">
        <v>1</v>
      </c>
    </row>
    <row r="373" spans="1:20">
      <c r="A373" s="1">
        <f>HYPERLINK("https://cms.ls-nyc.org/matter/dynamic-profile/view/1839463","17-1839463")</f>
        <v>0</v>
      </c>
      <c r="B373" t="s">
        <v>20</v>
      </c>
      <c r="C373" t="s">
        <v>43</v>
      </c>
      <c r="D373" t="s">
        <v>260</v>
      </c>
      <c r="E373" t="s">
        <v>501</v>
      </c>
      <c r="F373" t="s">
        <v>636</v>
      </c>
      <c r="G373" t="s">
        <v>1072</v>
      </c>
      <c r="H373" t="s">
        <v>1125</v>
      </c>
      <c r="I373" t="s">
        <v>1234</v>
      </c>
      <c r="J373">
        <v>10034</v>
      </c>
      <c r="K373" t="s">
        <v>1236</v>
      </c>
      <c r="L373" t="s">
        <v>1236</v>
      </c>
      <c r="M373" t="s">
        <v>1239</v>
      </c>
      <c r="O373" t="s">
        <v>260</v>
      </c>
      <c r="P373">
        <v>229.19</v>
      </c>
      <c r="T373">
        <v>0.5</v>
      </c>
    </row>
    <row r="374" spans="1:20">
      <c r="A374" s="1">
        <f>HYPERLINK("https://cms.ls-nyc.org/matter/dynamic-profile/view/1848461","17-1848461")</f>
        <v>0</v>
      </c>
      <c r="B374" t="s">
        <v>28</v>
      </c>
      <c r="C374" t="s">
        <v>43</v>
      </c>
      <c r="D374" t="s">
        <v>261</v>
      </c>
      <c r="E374" t="s">
        <v>528</v>
      </c>
      <c r="F374" t="s">
        <v>827</v>
      </c>
      <c r="G374" t="s">
        <v>940</v>
      </c>
      <c r="H374" t="s">
        <v>1213</v>
      </c>
      <c r="I374" t="s">
        <v>1234</v>
      </c>
      <c r="J374">
        <v>10034</v>
      </c>
      <c r="K374" t="s">
        <v>1237</v>
      </c>
      <c r="L374" t="s">
        <v>1236</v>
      </c>
      <c r="M374" t="s">
        <v>1240</v>
      </c>
      <c r="N374" t="s">
        <v>1258</v>
      </c>
      <c r="O374" t="s">
        <v>261</v>
      </c>
      <c r="P374">
        <v>230.54</v>
      </c>
      <c r="T374">
        <v>0.35</v>
      </c>
    </row>
    <row r="375" spans="1:20">
      <c r="A375" s="1">
        <f>HYPERLINK("https://cms.ls-nyc.org/matter/dynamic-profile/view/1862232","18-1862232")</f>
        <v>0</v>
      </c>
      <c r="B375" t="s">
        <v>29</v>
      </c>
      <c r="C375" t="s">
        <v>43</v>
      </c>
      <c r="D375" t="s">
        <v>131</v>
      </c>
      <c r="E375" t="s">
        <v>529</v>
      </c>
      <c r="F375" t="s">
        <v>828</v>
      </c>
      <c r="G375" t="s">
        <v>895</v>
      </c>
      <c r="H375" t="s">
        <v>1118</v>
      </c>
      <c r="I375" t="s">
        <v>1234</v>
      </c>
      <c r="J375">
        <v>10034</v>
      </c>
      <c r="K375" t="s">
        <v>1237</v>
      </c>
      <c r="L375" t="s">
        <v>1236</v>
      </c>
      <c r="M375" t="s">
        <v>1240</v>
      </c>
      <c r="N375" t="s">
        <v>1258</v>
      </c>
      <c r="O375" t="s">
        <v>131</v>
      </c>
      <c r="P375">
        <v>231.19</v>
      </c>
      <c r="T375">
        <v>0</v>
      </c>
    </row>
    <row r="376" spans="1:20">
      <c r="A376" s="1">
        <f>HYPERLINK("https://cms.ls-nyc.org/matter/dynamic-profile/view/1841513","17-1841513")</f>
        <v>0</v>
      </c>
      <c r="B376" t="s">
        <v>24</v>
      </c>
      <c r="C376" t="s">
        <v>43</v>
      </c>
      <c r="D376" t="s">
        <v>262</v>
      </c>
      <c r="E376" t="s">
        <v>530</v>
      </c>
      <c r="F376" t="s">
        <v>829</v>
      </c>
      <c r="G376" t="s">
        <v>1001</v>
      </c>
      <c r="H376" t="s">
        <v>1122</v>
      </c>
      <c r="I376" t="s">
        <v>1234</v>
      </c>
      <c r="J376">
        <v>10034</v>
      </c>
      <c r="K376" t="s">
        <v>1237</v>
      </c>
      <c r="L376" t="s">
        <v>1236</v>
      </c>
      <c r="M376" t="s">
        <v>1240</v>
      </c>
      <c r="N376" t="s">
        <v>1263</v>
      </c>
      <c r="O376" t="s">
        <v>179</v>
      </c>
      <c r="P376">
        <v>232.17</v>
      </c>
      <c r="Q376" t="s">
        <v>1305</v>
      </c>
      <c r="T376">
        <v>39.35</v>
      </c>
    </row>
    <row r="377" spans="1:20">
      <c r="A377" s="1">
        <f>HYPERLINK("https://cms.ls-nyc.org/matter/dynamic-profile/view/1847622","17-1847622")</f>
        <v>0</v>
      </c>
      <c r="B377" t="s">
        <v>28</v>
      </c>
      <c r="C377" t="s">
        <v>43</v>
      </c>
      <c r="D377" t="s">
        <v>88</v>
      </c>
      <c r="E377" t="s">
        <v>531</v>
      </c>
      <c r="F377" t="s">
        <v>655</v>
      </c>
      <c r="G377" t="s">
        <v>934</v>
      </c>
      <c r="H377" t="s">
        <v>1198</v>
      </c>
      <c r="I377" t="s">
        <v>1234</v>
      </c>
      <c r="J377">
        <v>10034</v>
      </c>
      <c r="K377" t="s">
        <v>1237</v>
      </c>
      <c r="L377" t="s">
        <v>1236</v>
      </c>
      <c r="M377" t="s">
        <v>1240</v>
      </c>
      <c r="N377" t="s">
        <v>1258</v>
      </c>
      <c r="O377" t="s">
        <v>248</v>
      </c>
      <c r="P377">
        <v>232.17</v>
      </c>
      <c r="Q377" t="s">
        <v>1305</v>
      </c>
      <c r="T377">
        <v>2.25</v>
      </c>
    </row>
    <row r="378" spans="1:20">
      <c r="A378" s="1">
        <f>HYPERLINK("https://cms.ls-nyc.org/matter/dynamic-profile/view/1836934","17-1836934")</f>
        <v>0</v>
      </c>
      <c r="B378" t="s">
        <v>22</v>
      </c>
      <c r="C378" t="s">
        <v>43</v>
      </c>
      <c r="D378" t="s">
        <v>263</v>
      </c>
      <c r="E378" t="s">
        <v>532</v>
      </c>
      <c r="F378" t="s">
        <v>830</v>
      </c>
      <c r="G378" t="s">
        <v>1073</v>
      </c>
      <c r="H378" t="s">
        <v>1127</v>
      </c>
      <c r="I378" t="s">
        <v>1234</v>
      </c>
      <c r="J378">
        <v>10034</v>
      </c>
      <c r="K378" t="s">
        <v>1237</v>
      </c>
      <c r="L378" t="s">
        <v>1236</v>
      </c>
      <c r="M378" t="s">
        <v>1252</v>
      </c>
      <c r="N378" t="s">
        <v>1263</v>
      </c>
      <c r="O378" t="s">
        <v>179</v>
      </c>
      <c r="P378">
        <v>233.99</v>
      </c>
      <c r="Q378" t="s">
        <v>189</v>
      </c>
      <c r="T378">
        <v>56.9</v>
      </c>
    </row>
    <row r="379" spans="1:20">
      <c r="A379" s="1">
        <f>HYPERLINK("https://cms.ls-nyc.org/matter/dynamic-profile/view/1837984","17-1837984")</f>
        <v>0</v>
      </c>
      <c r="B379" t="s">
        <v>22</v>
      </c>
      <c r="C379" t="s">
        <v>43</v>
      </c>
      <c r="D379" t="s">
        <v>217</v>
      </c>
      <c r="E379" t="s">
        <v>532</v>
      </c>
      <c r="F379" t="s">
        <v>830</v>
      </c>
      <c r="G379" t="s">
        <v>1073</v>
      </c>
      <c r="H379" t="s">
        <v>1127</v>
      </c>
      <c r="I379" t="s">
        <v>1234</v>
      </c>
      <c r="J379">
        <v>10034</v>
      </c>
      <c r="K379" t="s">
        <v>1237</v>
      </c>
      <c r="L379" t="s">
        <v>1236</v>
      </c>
      <c r="M379" t="s">
        <v>1239</v>
      </c>
      <c r="N379" t="s">
        <v>1258</v>
      </c>
      <c r="O379" t="s">
        <v>1290</v>
      </c>
      <c r="P379">
        <v>233.99</v>
      </c>
      <c r="Q379" t="s">
        <v>189</v>
      </c>
      <c r="T379">
        <v>126.35</v>
      </c>
    </row>
    <row r="380" spans="1:20">
      <c r="A380" s="1">
        <f>HYPERLINK("https://cms.ls-nyc.org/matter/dynamic-profile/view/1834332","17-1834332")</f>
        <v>0</v>
      </c>
      <c r="B380" t="s">
        <v>20</v>
      </c>
      <c r="C380" t="s">
        <v>43</v>
      </c>
      <c r="D380" t="s">
        <v>207</v>
      </c>
      <c r="E380" t="s">
        <v>533</v>
      </c>
      <c r="F380" t="s">
        <v>636</v>
      </c>
      <c r="G380" t="s">
        <v>986</v>
      </c>
      <c r="H380" t="s">
        <v>1214</v>
      </c>
      <c r="I380" t="s">
        <v>1234</v>
      </c>
      <c r="J380">
        <v>10034</v>
      </c>
      <c r="K380" t="s">
        <v>1237</v>
      </c>
      <c r="L380" t="s">
        <v>1236</v>
      </c>
      <c r="M380" t="s">
        <v>1241</v>
      </c>
      <c r="N380" t="s">
        <v>1262</v>
      </c>
      <c r="O380" t="s">
        <v>1273</v>
      </c>
      <c r="P380">
        <v>237.5</v>
      </c>
      <c r="Q380" t="s">
        <v>1305</v>
      </c>
      <c r="T380">
        <v>1</v>
      </c>
    </row>
    <row r="381" spans="1:20">
      <c r="A381" s="1">
        <f>HYPERLINK("https://cms.ls-nyc.org/matter/dynamic-profile/view/1892379","19-1892379")</f>
        <v>0</v>
      </c>
      <c r="B381" t="s">
        <v>23</v>
      </c>
      <c r="C381" t="s">
        <v>43</v>
      </c>
      <c r="D381" t="s">
        <v>160</v>
      </c>
      <c r="E381" t="s">
        <v>534</v>
      </c>
      <c r="F381" t="s">
        <v>831</v>
      </c>
      <c r="G381" t="s">
        <v>1074</v>
      </c>
      <c r="H381" t="s">
        <v>1165</v>
      </c>
      <c r="I381" t="s">
        <v>1234</v>
      </c>
      <c r="J381">
        <v>10034</v>
      </c>
      <c r="K381" t="s">
        <v>1237</v>
      </c>
      <c r="L381" t="s">
        <v>1237</v>
      </c>
      <c r="N381" t="s">
        <v>1261</v>
      </c>
      <c r="O381" t="s">
        <v>160</v>
      </c>
      <c r="P381">
        <v>240.19</v>
      </c>
      <c r="T381">
        <v>0.3</v>
      </c>
    </row>
    <row r="382" spans="1:20">
      <c r="A382" s="1">
        <f>HYPERLINK("https://cms.ls-nyc.org/matter/dynamic-profile/view/1893591","19-1893591")</f>
        <v>0</v>
      </c>
      <c r="B382" t="s">
        <v>26</v>
      </c>
      <c r="C382" t="s">
        <v>43</v>
      </c>
      <c r="D382" t="s">
        <v>264</v>
      </c>
      <c r="E382" t="s">
        <v>535</v>
      </c>
      <c r="F382" t="s">
        <v>832</v>
      </c>
      <c r="G382" t="s">
        <v>1075</v>
      </c>
      <c r="H382" t="s">
        <v>1215</v>
      </c>
      <c r="I382" t="s">
        <v>1234</v>
      </c>
      <c r="J382">
        <v>10033</v>
      </c>
      <c r="K382" t="s">
        <v>1237</v>
      </c>
      <c r="L382" t="s">
        <v>1237</v>
      </c>
      <c r="M382" t="s">
        <v>1241</v>
      </c>
      <c r="N382" t="s">
        <v>1261</v>
      </c>
      <c r="O382" t="s">
        <v>264</v>
      </c>
      <c r="P382">
        <v>240.19</v>
      </c>
      <c r="T382">
        <v>2</v>
      </c>
    </row>
    <row r="383" spans="1:20">
      <c r="A383" s="1">
        <f>HYPERLINK("https://cms.ls-nyc.org/matter/dynamic-profile/view/1901322","19-1901322")</f>
        <v>0</v>
      </c>
      <c r="B383" t="s">
        <v>42</v>
      </c>
      <c r="C383" t="s">
        <v>43</v>
      </c>
      <c r="D383" t="s">
        <v>129</v>
      </c>
      <c r="E383" t="s">
        <v>536</v>
      </c>
      <c r="F383" t="s">
        <v>833</v>
      </c>
      <c r="G383" t="s">
        <v>1076</v>
      </c>
      <c r="H383">
        <v>53</v>
      </c>
      <c r="I383" t="s">
        <v>1234</v>
      </c>
      <c r="J383">
        <v>10033</v>
      </c>
      <c r="K383" t="s">
        <v>1237</v>
      </c>
      <c r="L383" t="s">
        <v>1236</v>
      </c>
      <c r="M383" t="s">
        <v>1244</v>
      </c>
      <c r="N383" t="s">
        <v>1260</v>
      </c>
      <c r="O383" t="s">
        <v>129</v>
      </c>
      <c r="P383">
        <v>240.19</v>
      </c>
      <c r="T383">
        <v>0</v>
      </c>
    </row>
    <row r="384" spans="1:20">
      <c r="A384" s="1">
        <f>HYPERLINK("https://cms.ls-nyc.org/matter/dynamic-profile/view/1888002","19-1888002")</f>
        <v>0</v>
      </c>
      <c r="B384" t="s">
        <v>22</v>
      </c>
      <c r="C384" t="s">
        <v>43</v>
      </c>
      <c r="D384" t="s">
        <v>146</v>
      </c>
      <c r="E384" t="s">
        <v>357</v>
      </c>
      <c r="F384" t="s">
        <v>834</v>
      </c>
      <c r="G384" t="s">
        <v>917</v>
      </c>
      <c r="H384">
        <v>1</v>
      </c>
      <c r="I384" t="s">
        <v>1234</v>
      </c>
      <c r="J384">
        <v>10034</v>
      </c>
      <c r="K384" t="s">
        <v>1237</v>
      </c>
      <c r="L384" t="s">
        <v>1237</v>
      </c>
      <c r="M384" t="s">
        <v>1240</v>
      </c>
      <c r="N384" t="s">
        <v>1258</v>
      </c>
      <c r="O384" t="s">
        <v>146</v>
      </c>
      <c r="P384">
        <v>240.62</v>
      </c>
      <c r="T384">
        <v>0.6</v>
      </c>
    </row>
    <row r="385" spans="1:20">
      <c r="A385" s="1">
        <f>HYPERLINK("https://cms.ls-nyc.org/matter/dynamic-profile/view/1873837","18-1873837")</f>
        <v>0</v>
      </c>
      <c r="B385" t="s">
        <v>23</v>
      </c>
      <c r="C385" t="s">
        <v>43</v>
      </c>
      <c r="D385" t="s">
        <v>91</v>
      </c>
      <c r="E385" t="s">
        <v>537</v>
      </c>
      <c r="F385" t="s">
        <v>640</v>
      </c>
      <c r="G385" t="s">
        <v>903</v>
      </c>
      <c r="H385" t="s">
        <v>1216</v>
      </c>
      <c r="I385" t="s">
        <v>1234</v>
      </c>
      <c r="J385">
        <v>10033</v>
      </c>
      <c r="K385" t="s">
        <v>1237</v>
      </c>
      <c r="L385" t="s">
        <v>1237</v>
      </c>
      <c r="M385" t="s">
        <v>1240</v>
      </c>
      <c r="N385" t="s">
        <v>1260</v>
      </c>
      <c r="O385" t="s">
        <v>91</v>
      </c>
      <c r="P385">
        <v>241.1</v>
      </c>
      <c r="T385">
        <v>28.3</v>
      </c>
    </row>
    <row r="386" spans="1:20">
      <c r="A386" s="1">
        <f>HYPERLINK("https://cms.ls-nyc.org/matter/dynamic-profile/view/1869879","18-1869879")</f>
        <v>0</v>
      </c>
      <c r="B386" t="s">
        <v>24</v>
      </c>
      <c r="C386" t="s">
        <v>43</v>
      </c>
      <c r="D386" t="s">
        <v>220</v>
      </c>
      <c r="E386" t="s">
        <v>538</v>
      </c>
      <c r="F386" t="s">
        <v>729</v>
      </c>
      <c r="G386" t="s">
        <v>900</v>
      </c>
      <c r="H386" t="s">
        <v>1217</v>
      </c>
      <c r="I386" t="s">
        <v>1234</v>
      </c>
      <c r="J386">
        <v>10034</v>
      </c>
      <c r="K386" t="s">
        <v>1237</v>
      </c>
      <c r="L386" t="s">
        <v>1236</v>
      </c>
      <c r="M386" t="s">
        <v>1243</v>
      </c>
      <c r="N386" t="s">
        <v>1259</v>
      </c>
      <c r="O386" t="s">
        <v>220</v>
      </c>
      <c r="P386">
        <v>243.01</v>
      </c>
      <c r="T386">
        <v>3.55</v>
      </c>
    </row>
    <row r="387" spans="1:20">
      <c r="A387" s="1">
        <f>HYPERLINK("https://cms.ls-nyc.org/matter/dynamic-profile/view/1887945","19-1887945")</f>
        <v>0</v>
      </c>
      <c r="B387" t="s">
        <v>22</v>
      </c>
      <c r="C387" t="s">
        <v>43</v>
      </c>
      <c r="D387" t="s">
        <v>146</v>
      </c>
      <c r="E387" t="s">
        <v>539</v>
      </c>
      <c r="F387" t="s">
        <v>791</v>
      </c>
      <c r="G387" t="s">
        <v>917</v>
      </c>
      <c r="H387">
        <v>3</v>
      </c>
      <c r="I387" t="s">
        <v>1234</v>
      </c>
      <c r="J387">
        <v>10034</v>
      </c>
      <c r="K387" t="s">
        <v>1237</v>
      </c>
      <c r="L387" t="s">
        <v>1237</v>
      </c>
      <c r="M387" t="s">
        <v>1240</v>
      </c>
      <c r="N387" t="s">
        <v>1258</v>
      </c>
      <c r="O387" t="s">
        <v>146</v>
      </c>
      <c r="P387">
        <v>243.01</v>
      </c>
      <c r="T387">
        <v>0</v>
      </c>
    </row>
    <row r="388" spans="1:20">
      <c r="A388" s="1">
        <f>HYPERLINK("https://cms.ls-nyc.org/matter/dynamic-profile/view/1876353","18-1876353")</f>
        <v>0</v>
      </c>
      <c r="B388" t="s">
        <v>23</v>
      </c>
      <c r="C388" t="s">
        <v>43</v>
      </c>
      <c r="D388" t="s">
        <v>173</v>
      </c>
      <c r="E388" t="s">
        <v>540</v>
      </c>
      <c r="F388" t="s">
        <v>835</v>
      </c>
      <c r="G388" t="s">
        <v>903</v>
      </c>
      <c r="H388" t="s">
        <v>1218</v>
      </c>
      <c r="I388" t="s">
        <v>1234</v>
      </c>
      <c r="J388">
        <v>10033</v>
      </c>
      <c r="K388" t="s">
        <v>1237</v>
      </c>
      <c r="L388" t="s">
        <v>1237</v>
      </c>
      <c r="M388" t="s">
        <v>1240</v>
      </c>
      <c r="N388" t="s">
        <v>1260</v>
      </c>
      <c r="O388" t="s">
        <v>173</v>
      </c>
      <c r="P388">
        <v>243.01</v>
      </c>
      <c r="T388">
        <v>1.1</v>
      </c>
    </row>
    <row r="389" spans="1:20">
      <c r="A389" s="1">
        <f>HYPERLINK("https://cms.ls-nyc.org/matter/dynamic-profile/view/1868952","18-1868952")</f>
        <v>0</v>
      </c>
      <c r="B389" t="s">
        <v>32</v>
      </c>
      <c r="C389" t="s">
        <v>43</v>
      </c>
      <c r="D389" t="s">
        <v>237</v>
      </c>
      <c r="E389" t="s">
        <v>541</v>
      </c>
      <c r="F389" t="s">
        <v>836</v>
      </c>
      <c r="G389" t="s">
        <v>1043</v>
      </c>
      <c r="H389" t="s">
        <v>1178</v>
      </c>
      <c r="I389" t="s">
        <v>1234</v>
      </c>
      <c r="J389">
        <v>10034</v>
      </c>
      <c r="K389" t="s">
        <v>1237</v>
      </c>
      <c r="L389" t="s">
        <v>1236</v>
      </c>
      <c r="M389" t="s">
        <v>1252</v>
      </c>
      <c r="N389" t="s">
        <v>1263</v>
      </c>
      <c r="O389" t="s">
        <v>237</v>
      </c>
      <c r="P389">
        <v>245.43</v>
      </c>
      <c r="T389">
        <v>0</v>
      </c>
    </row>
    <row r="390" spans="1:20">
      <c r="A390" s="1">
        <f>HYPERLINK("https://cms.ls-nyc.org/matter/dynamic-profile/view/1868956","18-1868956")</f>
        <v>0</v>
      </c>
      <c r="B390" t="s">
        <v>32</v>
      </c>
      <c r="C390" t="s">
        <v>43</v>
      </c>
      <c r="D390" t="s">
        <v>237</v>
      </c>
      <c r="E390" t="s">
        <v>541</v>
      </c>
      <c r="F390" t="s">
        <v>836</v>
      </c>
      <c r="G390" t="s">
        <v>1043</v>
      </c>
      <c r="H390" t="s">
        <v>1178</v>
      </c>
      <c r="I390" t="s">
        <v>1234</v>
      </c>
      <c r="J390">
        <v>10034</v>
      </c>
      <c r="K390" t="s">
        <v>1237</v>
      </c>
      <c r="L390" t="s">
        <v>1236</v>
      </c>
      <c r="M390" t="s">
        <v>1252</v>
      </c>
      <c r="N390" t="s">
        <v>1263</v>
      </c>
      <c r="O390" t="s">
        <v>237</v>
      </c>
      <c r="P390">
        <v>245.43</v>
      </c>
      <c r="T390">
        <v>0</v>
      </c>
    </row>
    <row r="391" spans="1:20">
      <c r="A391" s="1">
        <f>HYPERLINK("https://cms.ls-nyc.org/matter/dynamic-profile/view/1897191","19-1897191")</f>
        <v>0</v>
      </c>
      <c r="B391" t="s">
        <v>28</v>
      </c>
      <c r="C391" t="s">
        <v>43</v>
      </c>
      <c r="D391" t="s">
        <v>106</v>
      </c>
      <c r="E391" t="s">
        <v>542</v>
      </c>
      <c r="F391" t="s">
        <v>837</v>
      </c>
      <c r="G391" t="s">
        <v>1077</v>
      </c>
      <c r="H391" t="s">
        <v>1193</v>
      </c>
      <c r="I391" t="s">
        <v>1234</v>
      </c>
      <c r="J391">
        <v>10034</v>
      </c>
      <c r="K391" t="s">
        <v>1237</v>
      </c>
      <c r="L391" t="s">
        <v>1237</v>
      </c>
      <c r="M391" t="s">
        <v>1240</v>
      </c>
      <c r="N391" t="s">
        <v>1261</v>
      </c>
      <c r="O391" t="s">
        <v>106</v>
      </c>
      <c r="P391">
        <v>247.22</v>
      </c>
      <c r="T391">
        <v>0</v>
      </c>
    </row>
    <row r="392" spans="1:20">
      <c r="A392" s="1">
        <f>HYPERLINK("https://cms.ls-nyc.org/matter/dynamic-profile/view/1865480","18-1865480")</f>
        <v>0</v>
      </c>
      <c r="B392" t="s">
        <v>23</v>
      </c>
      <c r="C392" t="s">
        <v>43</v>
      </c>
      <c r="D392" t="s">
        <v>265</v>
      </c>
      <c r="E392" t="s">
        <v>543</v>
      </c>
      <c r="F392" t="s">
        <v>699</v>
      </c>
      <c r="G392" t="s">
        <v>1078</v>
      </c>
      <c r="H392">
        <v>15</v>
      </c>
      <c r="I392" t="s">
        <v>1234</v>
      </c>
      <c r="J392">
        <v>10034</v>
      </c>
      <c r="K392" t="s">
        <v>1237</v>
      </c>
      <c r="L392" t="s">
        <v>1236</v>
      </c>
      <c r="M392" t="s">
        <v>1242</v>
      </c>
      <c r="N392" t="s">
        <v>1258</v>
      </c>
      <c r="O392" t="s">
        <v>265</v>
      </c>
      <c r="P392">
        <v>248.61</v>
      </c>
      <c r="Q392" t="s">
        <v>1305</v>
      </c>
      <c r="T392">
        <v>241.45</v>
      </c>
    </row>
    <row r="393" spans="1:20">
      <c r="A393" s="1">
        <f>HYPERLINK("https://cms.ls-nyc.org/matter/dynamic-profile/view/1882922","18-1882922")</f>
        <v>0</v>
      </c>
      <c r="B393" t="s">
        <v>22</v>
      </c>
      <c r="C393" t="s">
        <v>43</v>
      </c>
      <c r="D393" t="s">
        <v>234</v>
      </c>
      <c r="E393" t="s">
        <v>544</v>
      </c>
      <c r="F393" t="s">
        <v>749</v>
      </c>
      <c r="G393" t="s">
        <v>967</v>
      </c>
      <c r="H393">
        <v>34</v>
      </c>
      <c r="I393" t="s">
        <v>1234</v>
      </c>
      <c r="J393">
        <v>10034</v>
      </c>
      <c r="K393" t="s">
        <v>1237</v>
      </c>
      <c r="L393" t="s">
        <v>1237</v>
      </c>
      <c r="M393" t="s">
        <v>1248</v>
      </c>
      <c r="N393" t="s">
        <v>1259</v>
      </c>
      <c r="O393" t="s">
        <v>234</v>
      </c>
      <c r="P393">
        <v>249.59</v>
      </c>
      <c r="Q393" t="s">
        <v>1306</v>
      </c>
      <c r="T393">
        <v>10.2</v>
      </c>
    </row>
    <row r="394" spans="1:20">
      <c r="A394" s="1">
        <f>HYPERLINK("https://cms.ls-nyc.org/matter/dynamic-profile/view/1866427","18-1866427")</f>
        <v>0</v>
      </c>
      <c r="B394" t="s">
        <v>29</v>
      </c>
      <c r="C394" t="s">
        <v>43</v>
      </c>
      <c r="D394" t="s">
        <v>92</v>
      </c>
      <c r="E394" t="s">
        <v>545</v>
      </c>
      <c r="F394" t="s">
        <v>729</v>
      </c>
      <c r="G394" t="s">
        <v>918</v>
      </c>
      <c r="H394" t="s">
        <v>1203</v>
      </c>
      <c r="I394" t="s">
        <v>1234</v>
      </c>
      <c r="J394">
        <v>10031</v>
      </c>
      <c r="K394" t="s">
        <v>1237</v>
      </c>
      <c r="L394" t="s">
        <v>1237</v>
      </c>
      <c r="M394" t="s">
        <v>1240</v>
      </c>
      <c r="N394" t="s">
        <v>1260</v>
      </c>
      <c r="O394" t="s">
        <v>92</v>
      </c>
      <c r="P394">
        <v>255.05</v>
      </c>
      <c r="Q394" t="s">
        <v>1305</v>
      </c>
      <c r="T394">
        <v>0.75</v>
      </c>
    </row>
    <row r="395" spans="1:20">
      <c r="A395" s="1">
        <f>HYPERLINK("https://cms.ls-nyc.org/matter/dynamic-profile/view/1837782","17-1837782")</f>
        <v>0</v>
      </c>
      <c r="B395" t="s">
        <v>23</v>
      </c>
      <c r="C395" t="s">
        <v>43</v>
      </c>
      <c r="D395" t="s">
        <v>266</v>
      </c>
      <c r="E395" t="s">
        <v>546</v>
      </c>
      <c r="F395" t="s">
        <v>838</v>
      </c>
      <c r="G395" t="s">
        <v>1079</v>
      </c>
      <c r="H395" t="s">
        <v>1166</v>
      </c>
      <c r="I395" t="s">
        <v>1234</v>
      </c>
      <c r="J395">
        <v>10034</v>
      </c>
      <c r="K395" t="s">
        <v>1238</v>
      </c>
      <c r="L395" t="s">
        <v>1236</v>
      </c>
      <c r="M395" t="s">
        <v>1241</v>
      </c>
      <c r="N395" t="s">
        <v>1259</v>
      </c>
      <c r="O395" t="s">
        <v>266</v>
      </c>
      <c r="P395">
        <v>258.62</v>
      </c>
      <c r="T395">
        <v>25.95</v>
      </c>
    </row>
    <row r="396" spans="1:20">
      <c r="A396" s="1">
        <f>HYPERLINK("https://cms.ls-nyc.org/matter/dynamic-profile/view/1833181","17-1833181")</f>
        <v>0</v>
      </c>
      <c r="B396" t="s">
        <v>25</v>
      </c>
      <c r="C396" t="s">
        <v>43</v>
      </c>
      <c r="D396" t="s">
        <v>267</v>
      </c>
      <c r="E396" t="s">
        <v>547</v>
      </c>
      <c r="F396" t="s">
        <v>839</v>
      </c>
      <c r="G396" t="s">
        <v>1080</v>
      </c>
      <c r="H396" t="s">
        <v>1219</v>
      </c>
      <c r="I396" t="s">
        <v>1234</v>
      </c>
      <c r="J396">
        <v>10034</v>
      </c>
      <c r="K396" t="s">
        <v>1237</v>
      </c>
      <c r="L396" t="s">
        <v>1236</v>
      </c>
      <c r="M396" t="s">
        <v>1244</v>
      </c>
      <c r="N396" t="s">
        <v>1258</v>
      </c>
      <c r="O396" t="s">
        <v>201</v>
      </c>
      <c r="P396">
        <v>258.71</v>
      </c>
      <c r="Q396" t="s">
        <v>1305</v>
      </c>
      <c r="T396">
        <v>168.57</v>
      </c>
    </row>
    <row r="397" spans="1:20">
      <c r="A397" s="1">
        <f>HYPERLINK("https://cms.ls-nyc.org/matter/dynamic-profile/view/1855025","18-1855025")</f>
        <v>0</v>
      </c>
      <c r="B397" t="s">
        <v>24</v>
      </c>
      <c r="C397" t="s">
        <v>43</v>
      </c>
      <c r="D397" t="s">
        <v>221</v>
      </c>
      <c r="E397" t="s">
        <v>548</v>
      </c>
      <c r="F397" t="s">
        <v>840</v>
      </c>
      <c r="G397" t="s">
        <v>1081</v>
      </c>
      <c r="H397" t="s">
        <v>1155</v>
      </c>
      <c r="I397" t="s">
        <v>1234</v>
      </c>
      <c r="J397">
        <v>10034</v>
      </c>
      <c r="K397" t="s">
        <v>1237</v>
      </c>
      <c r="L397" t="s">
        <v>1236</v>
      </c>
      <c r="M397" t="s">
        <v>1239</v>
      </c>
      <c r="N397" t="s">
        <v>1258</v>
      </c>
      <c r="O397" t="s">
        <v>221</v>
      </c>
      <c r="P397">
        <v>259.55</v>
      </c>
      <c r="Q397" t="s">
        <v>189</v>
      </c>
      <c r="T397">
        <v>28.6</v>
      </c>
    </row>
    <row r="398" spans="1:20">
      <c r="A398" s="1">
        <f>HYPERLINK("https://cms.ls-nyc.org/matter/dynamic-profile/view/1873585","18-1873585")</f>
        <v>0</v>
      </c>
      <c r="B398" t="s">
        <v>23</v>
      </c>
      <c r="C398" t="s">
        <v>43</v>
      </c>
      <c r="D398" t="s">
        <v>268</v>
      </c>
      <c r="E398" t="s">
        <v>459</v>
      </c>
      <c r="F398" t="s">
        <v>798</v>
      </c>
      <c r="G398" t="s">
        <v>903</v>
      </c>
      <c r="H398" t="s">
        <v>1220</v>
      </c>
      <c r="I398" t="s">
        <v>1234</v>
      </c>
      <c r="J398">
        <v>10033</v>
      </c>
      <c r="K398" t="s">
        <v>1237</v>
      </c>
      <c r="L398" t="s">
        <v>1237</v>
      </c>
      <c r="M398" t="s">
        <v>1240</v>
      </c>
      <c r="N398" t="s">
        <v>1261</v>
      </c>
      <c r="O398" t="s">
        <v>268</v>
      </c>
      <c r="P398">
        <v>260.47</v>
      </c>
      <c r="T398">
        <v>0.7</v>
      </c>
    </row>
    <row r="399" spans="1:20">
      <c r="A399" s="1">
        <f>HYPERLINK("https://cms.ls-nyc.org/matter/dynamic-profile/view/0826261","17-0826261")</f>
        <v>0</v>
      </c>
      <c r="B399" t="s">
        <v>25</v>
      </c>
      <c r="C399" t="s">
        <v>43</v>
      </c>
      <c r="D399" t="s">
        <v>181</v>
      </c>
      <c r="E399" t="s">
        <v>401</v>
      </c>
      <c r="F399" t="s">
        <v>841</v>
      </c>
      <c r="G399" t="s">
        <v>938</v>
      </c>
      <c r="H399" t="s">
        <v>1130</v>
      </c>
      <c r="I399" t="s">
        <v>1234</v>
      </c>
      <c r="J399">
        <v>10034</v>
      </c>
      <c r="K399" t="s">
        <v>1237</v>
      </c>
      <c r="L399" t="s">
        <v>1236</v>
      </c>
      <c r="M399" t="s">
        <v>1240</v>
      </c>
      <c r="N399" t="s">
        <v>1258</v>
      </c>
      <c r="O399" t="s">
        <v>1275</v>
      </c>
      <c r="P399">
        <v>269.33</v>
      </c>
      <c r="Q399" t="s">
        <v>1305</v>
      </c>
      <c r="T399">
        <v>0.1</v>
      </c>
    </row>
    <row r="400" spans="1:20">
      <c r="A400" s="1">
        <f>HYPERLINK("https://cms.ls-nyc.org/matter/dynamic-profile/view/1896439","19-1896439")</f>
        <v>0</v>
      </c>
      <c r="B400" t="s">
        <v>32</v>
      </c>
      <c r="C400" t="s">
        <v>43</v>
      </c>
      <c r="D400" t="s">
        <v>113</v>
      </c>
      <c r="E400" t="s">
        <v>433</v>
      </c>
      <c r="F400" t="s">
        <v>842</v>
      </c>
      <c r="G400" t="s">
        <v>950</v>
      </c>
      <c r="H400">
        <v>33</v>
      </c>
      <c r="I400" t="s">
        <v>1234</v>
      </c>
      <c r="J400">
        <v>10034</v>
      </c>
      <c r="K400" t="s">
        <v>1237</v>
      </c>
      <c r="L400" t="s">
        <v>1237</v>
      </c>
      <c r="N400" t="s">
        <v>1261</v>
      </c>
      <c r="O400" t="s">
        <v>75</v>
      </c>
      <c r="P400">
        <v>270.04</v>
      </c>
      <c r="Q400" t="s">
        <v>1300</v>
      </c>
      <c r="T400">
        <v>0</v>
      </c>
    </row>
    <row r="401" spans="1:20">
      <c r="A401" s="1">
        <f>HYPERLINK("https://cms.ls-nyc.org/matter/dynamic-profile/view/1897696","19-1897696")</f>
        <v>0</v>
      </c>
      <c r="B401" t="s">
        <v>23</v>
      </c>
      <c r="C401" t="s">
        <v>43</v>
      </c>
      <c r="D401" t="s">
        <v>57</v>
      </c>
      <c r="E401" t="s">
        <v>549</v>
      </c>
      <c r="F401" t="s">
        <v>843</v>
      </c>
      <c r="G401" t="s">
        <v>1082</v>
      </c>
      <c r="H401">
        <v>402</v>
      </c>
      <c r="I401" t="s">
        <v>1234</v>
      </c>
      <c r="J401">
        <v>10033</v>
      </c>
      <c r="K401" t="s">
        <v>1237</v>
      </c>
      <c r="L401" t="s">
        <v>1237</v>
      </c>
      <c r="M401" t="s">
        <v>1244</v>
      </c>
      <c r="N401" t="s">
        <v>1261</v>
      </c>
      <c r="O401" t="s">
        <v>57</v>
      </c>
      <c r="P401">
        <v>271.75</v>
      </c>
      <c r="T401">
        <v>4.4</v>
      </c>
    </row>
    <row r="402" spans="1:20">
      <c r="A402" s="1">
        <f>HYPERLINK("https://cms.ls-nyc.org/matter/dynamic-profile/view/1889297","19-1889297")</f>
        <v>0</v>
      </c>
      <c r="B402" t="s">
        <v>22</v>
      </c>
      <c r="C402" t="s">
        <v>43</v>
      </c>
      <c r="D402" t="s">
        <v>59</v>
      </c>
      <c r="E402" t="s">
        <v>310</v>
      </c>
      <c r="F402" t="s">
        <v>844</v>
      </c>
      <c r="G402" t="s">
        <v>917</v>
      </c>
      <c r="H402">
        <v>34</v>
      </c>
      <c r="I402" t="s">
        <v>1234</v>
      </c>
      <c r="J402">
        <v>10034</v>
      </c>
      <c r="K402" t="s">
        <v>1237</v>
      </c>
      <c r="L402" t="s">
        <v>1237</v>
      </c>
      <c r="M402" t="s">
        <v>1240</v>
      </c>
      <c r="N402" t="s">
        <v>1258</v>
      </c>
      <c r="O402" t="s">
        <v>59</v>
      </c>
      <c r="P402">
        <v>271.8</v>
      </c>
      <c r="T402">
        <v>0</v>
      </c>
    </row>
    <row r="403" spans="1:20">
      <c r="A403" s="1">
        <f>HYPERLINK("https://cms.ls-nyc.org/matter/dynamic-profile/view/1898606","19-1898606")</f>
        <v>0</v>
      </c>
      <c r="B403" t="s">
        <v>21</v>
      </c>
      <c r="C403" t="s">
        <v>43</v>
      </c>
      <c r="D403" t="s">
        <v>269</v>
      </c>
      <c r="E403" t="s">
        <v>356</v>
      </c>
      <c r="F403" t="s">
        <v>845</v>
      </c>
      <c r="G403" t="s">
        <v>1007</v>
      </c>
      <c r="H403" t="s">
        <v>1126</v>
      </c>
      <c r="I403" t="s">
        <v>1234</v>
      </c>
      <c r="J403">
        <v>10034</v>
      </c>
      <c r="K403" t="s">
        <v>1237</v>
      </c>
      <c r="L403" t="s">
        <v>1237</v>
      </c>
      <c r="N403" t="s">
        <v>1261</v>
      </c>
      <c r="O403" t="s">
        <v>269</v>
      </c>
      <c r="P403">
        <v>271.84</v>
      </c>
      <c r="T403">
        <v>2.65</v>
      </c>
    </row>
    <row r="404" spans="1:20">
      <c r="A404" s="1">
        <f>HYPERLINK("https://cms.ls-nyc.org/matter/dynamic-profile/view/1901171","19-1901171")</f>
        <v>0</v>
      </c>
      <c r="B404" t="s">
        <v>25</v>
      </c>
      <c r="C404" t="s">
        <v>43</v>
      </c>
      <c r="D404" t="s">
        <v>270</v>
      </c>
      <c r="E404" t="s">
        <v>550</v>
      </c>
      <c r="F404" t="s">
        <v>846</v>
      </c>
      <c r="G404" t="s">
        <v>1083</v>
      </c>
      <c r="H404" t="s">
        <v>1111</v>
      </c>
      <c r="I404" t="s">
        <v>1234</v>
      </c>
      <c r="J404">
        <v>10033</v>
      </c>
      <c r="K404" t="s">
        <v>1237</v>
      </c>
      <c r="L404" t="s">
        <v>1236</v>
      </c>
      <c r="M404" t="s">
        <v>1243</v>
      </c>
      <c r="N404" t="s">
        <v>1261</v>
      </c>
      <c r="O404" t="s">
        <v>270</v>
      </c>
      <c r="P404">
        <v>272.22</v>
      </c>
      <c r="T404">
        <v>0</v>
      </c>
    </row>
    <row r="405" spans="1:20">
      <c r="A405" s="1">
        <f>HYPERLINK("https://cms.ls-nyc.org/matter/dynamic-profile/view/0830813","17-0830813")</f>
        <v>0</v>
      </c>
      <c r="B405" t="s">
        <v>28</v>
      </c>
      <c r="C405" t="s">
        <v>43</v>
      </c>
      <c r="D405" t="s">
        <v>73</v>
      </c>
      <c r="E405" t="s">
        <v>349</v>
      </c>
      <c r="F405" t="s">
        <v>638</v>
      </c>
      <c r="G405" t="s">
        <v>910</v>
      </c>
      <c r="H405">
        <v>25</v>
      </c>
      <c r="I405" t="s">
        <v>1234</v>
      </c>
      <c r="J405">
        <v>10032</v>
      </c>
      <c r="K405" t="s">
        <v>1236</v>
      </c>
      <c r="L405" t="s">
        <v>1236</v>
      </c>
      <c r="M405" t="s">
        <v>1240</v>
      </c>
      <c r="N405" t="s">
        <v>1258</v>
      </c>
      <c r="O405" t="s">
        <v>1283</v>
      </c>
      <c r="P405">
        <v>274.8</v>
      </c>
      <c r="Q405" t="s">
        <v>1302</v>
      </c>
      <c r="T405">
        <v>3.85</v>
      </c>
    </row>
    <row r="406" spans="1:20">
      <c r="A406" s="1">
        <f>HYPERLINK("https://cms.ls-nyc.org/matter/dynamic-profile/view/1884394","18-1884394")</f>
        <v>0</v>
      </c>
      <c r="B406" t="s">
        <v>25</v>
      </c>
      <c r="C406" t="s">
        <v>43</v>
      </c>
      <c r="D406" t="s">
        <v>271</v>
      </c>
      <c r="E406" t="s">
        <v>424</v>
      </c>
      <c r="F406" t="s">
        <v>689</v>
      </c>
      <c r="G406" t="s">
        <v>917</v>
      </c>
      <c r="H406">
        <v>53</v>
      </c>
      <c r="I406" t="s">
        <v>1234</v>
      </c>
      <c r="J406">
        <v>10034</v>
      </c>
      <c r="K406" t="s">
        <v>1237</v>
      </c>
      <c r="L406" t="s">
        <v>1237</v>
      </c>
      <c r="M406" t="s">
        <v>1241</v>
      </c>
      <c r="N406" t="s">
        <v>1259</v>
      </c>
      <c r="P406">
        <v>275.54</v>
      </c>
      <c r="T406">
        <v>1.2</v>
      </c>
    </row>
    <row r="407" spans="1:20">
      <c r="A407" s="1">
        <f>HYPERLINK("https://cms.ls-nyc.org/matter/dynamic-profile/view/1850100","17-1850100")</f>
        <v>0</v>
      </c>
      <c r="B407" t="s">
        <v>22</v>
      </c>
      <c r="C407" t="s">
        <v>43</v>
      </c>
      <c r="D407" t="s">
        <v>224</v>
      </c>
      <c r="E407" t="s">
        <v>551</v>
      </c>
      <c r="F407" t="s">
        <v>847</v>
      </c>
      <c r="G407" t="s">
        <v>1084</v>
      </c>
      <c r="H407" t="s">
        <v>1221</v>
      </c>
      <c r="I407" t="s">
        <v>1234</v>
      </c>
      <c r="J407">
        <v>10034</v>
      </c>
      <c r="K407" t="s">
        <v>1237</v>
      </c>
      <c r="L407" t="s">
        <v>1236</v>
      </c>
      <c r="M407" t="s">
        <v>1239</v>
      </c>
      <c r="N407" t="s">
        <v>1260</v>
      </c>
      <c r="O407" t="s">
        <v>134</v>
      </c>
      <c r="P407">
        <v>279.6</v>
      </c>
      <c r="Q407" t="s">
        <v>189</v>
      </c>
      <c r="T407">
        <v>14.7</v>
      </c>
    </row>
    <row r="408" spans="1:20">
      <c r="A408" s="1">
        <f>HYPERLINK("https://cms.ls-nyc.org/matter/dynamic-profile/view/1864170","18-1864170")</f>
        <v>0</v>
      </c>
      <c r="B408" t="s">
        <v>23</v>
      </c>
      <c r="C408" t="s">
        <v>43</v>
      </c>
      <c r="D408" t="s">
        <v>124</v>
      </c>
      <c r="E408" t="s">
        <v>552</v>
      </c>
      <c r="F408" t="s">
        <v>848</v>
      </c>
      <c r="G408" t="s">
        <v>900</v>
      </c>
      <c r="H408" t="s">
        <v>1222</v>
      </c>
      <c r="I408" t="s">
        <v>1234</v>
      </c>
      <c r="J408">
        <v>10034</v>
      </c>
      <c r="K408" t="s">
        <v>1237</v>
      </c>
      <c r="L408" t="s">
        <v>1236</v>
      </c>
      <c r="M408" t="s">
        <v>1240</v>
      </c>
      <c r="N408" t="s">
        <v>1260</v>
      </c>
      <c r="O408" t="s">
        <v>124</v>
      </c>
      <c r="P408">
        <v>288.3</v>
      </c>
      <c r="Q408" t="s">
        <v>1305</v>
      </c>
      <c r="T408">
        <v>12</v>
      </c>
    </row>
    <row r="409" spans="1:20">
      <c r="A409" s="1">
        <f>HYPERLINK("https://cms.ls-nyc.org/matter/dynamic-profile/view/1890018","19-1890018")</f>
        <v>0</v>
      </c>
      <c r="B409" t="s">
        <v>25</v>
      </c>
      <c r="C409" t="s">
        <v>43</v>
      </c>
      <c r="D409" t="s">
        <v>183</v>
      </c>
      <c r="E409" t="s">
        <v>553</v>
      </c>
      <c r="F409" t="s">
        <v>684</v>
      </c>
      <c r="G409" t="s">
        <v>1085</v>
      </c>
      <c r="H409" t="s">
        <v>1136</v>
      </c>
      <c r="I409" t="s">
        <v>1234</v>
      </c>
      <c r="J409">
        <v>10032</v>
      </c>
      <c r="K409" t="s">
        <v>1237</v>
      </c>
      <c r="L409" t="s">
        <v>1237</v>
      </c>
      <c r="M409" t="s">
        <v>1239</v>
      </c>
      <c r="N409" t="s">
        <v>1261</v>
      </c>
      <c r="O409" t="s">
        <v>183</v>
      </c>
      <c r="P409">
        <v>290.67</v>
      </c>
      <c r="T409">
        <v>0.45</v>
      </c>
    </row>
    <row r="410" spans="1:20">
      <c r="A410" s="1">
        <f>HYPERLINK("https://cms.ls-nyc.org/matter/dynamic-profile/view/1901228","19-1901228")</f>
        <v>0</v>
      </c>
      <c r="B410" t="s">
        <v>42</v>
      </c>
      <c r="C410" t="s">
        <v>43</v>
      </c>
      <c r="D410" t="s">
        <v>152</v>
      </c>
      <c r="E410" t="s">
        <v>554</v>
      </c>
      <c r="F410" t="s">
        <v>849</v>
      </c>
      <c r="G410" t="s">
        <v>1086</v>
      </c>
      <c r="H410">
        <v>2014</v>
      </c>
      <c r="I410" t="s">
        <v>1234</v>
      </c>
      <c r="J410">
        <v>10033</v>
      </c>
      <c r="K410" t="s">
        <v>1237</v>
      </c>
      <c r="L410" t="s">
        <v>1236</v>
      </c>
      <c r="M410" t="s">
        <v>1244</v>
      </c>
      <c r="N410" t="s">
        <v>1260</v>
      </c>
      <c r="O410" t="s">
        <v>152</v>
      </c>
      <c r="P410">
        <v>292.36</v>
      </c>
      <c r="T410">
        <v>0.75</v>
      </c>
    </row>
    <row r="411" spans="1:20">
      <c r="A411" s="1">
        <f>HYPERLINK("https://cms.ls-nyc.org/matter/dynamic-profile/view/1888294","19-1888294")</f>
        <v>0</v>
      </c>
      <c r="B411" t="s">
        <v>24</v>
      </c>
      <c r="C411" t="s">
        <v>43</v>
      </c>
      <c r="D411" t="s">
        <v>272</v>
      </c>
      <c r="E411" t="s">
        <v>555</v>
      </c>
      <c r="F411" t="s">
        <v>850</v>
      </c>
      <c r="G411" t="s">
        <v>1052</v>
      </c>
      <c r="H411" t="s">
        <v>1111</v>
      </c>
      <c r="I411" t="s">
        <v>1234</v>
      </c>
      <c r="J411">
        <v>10032</v>
      </c>
      <c r="K411" t="s">
        <v>1237</v>
      </c>
      <c r="L411" t="s">
        <v>1237</v>
      </c>
      <c r="M411" t="s">
        <v>1242</v>
      </c>
      <c r="N411" t="s">
        <v>1258</v>
      </c>
      <c r="O411" t="s">
        <v>149</v>
      </c>
      <c r="P411">
        <v>294.82</v>
      </c>
      <c r="Q411" t="s">
        <v>1307</v>
      </c>
      <c r="T411">
        <v>62.1</v>
      </c>
    </row>
    <row r="412" spans="1:20">
      <c r="A412" s="1">
        <f>HYPERLINK("https://cms.ls-nyc.org/matter/dynamic-profile/view/1891010","19-1891010")</f>
        <v>0</v>
      </c>
      <c r="B412" t="s">
        <v>28</v>
      </c>
      <c r="C412" t="s">
        <v>43</v>
      </c>
      <c r="D412" t="s">
        <v>100</v>
      </c>
      <c r="E412" t="s">
        <v>326</v>
      </c>
      <c r="F412" t="s">
        <v>655</v>
      </c>
      <c r="G412" t="s">
        <v>1087</v>
      </c>
      <c r="H412" t="s">
        <v>1188</v>
      </c>
      <c r="I412" t="s">
        <v>1234</v>
      </c>
      <c r="J412">
        <v>10034</v>
      </c>
      <c r="K412" t="s">
        <v>1237</v>
      </c>
      <c r="L412" t="s">
        <v>1237</v>
      </c>
      <c r="M412" t="s">
        <v>1250</v>
      </c>
      <c r="N412" t="s">
        <v>1258</v>
      </c>
      <c r="O412" t="s">
        <v>274</v>
      </c>
      <c r="P412">
        <v>295.68</v>
      </c>
      <c r="T412">
        <v>18.17</v>
      </c>
    </row>
    <row r="413" spans="1:20">
      <c r="A413" s="1">
        <f>HYPERLINK("https://cms.ls-nyc.org/matter/dynamic-profile/view/1899738","19-1899738")</f>
        <v>0</v>
      </c>
      <c r="B413" t="s">
        <v>26</v>
      </c>
      <c r="C413" t="s">
        <v>43</v>
      </c>
      <c r="D413" t="s">
        <v>89</v>
      </c>
      <c r="E413" t="s">
        <v>556</v>
      </c>
      <c r="F413" t="s">
        <v>851</v>
      </c>
      <c r="G413" t="s">
        <v>1088</v>
      </c>
      <c r="H413" t="s">
        <v>1140</v>
      </c>
      <c r="I413" t="s">
        <v>1234</v>
      </c>
      <c r="J413">
        <v>10034</v>
      </c>
      <c r="K413" t="s">
        <v>1237</v>
      </c>
      <c r="L413" t="s">
        <v>1236</v>
      </c>
      <c r="M413" t="s">
        <v>1242</v>
      </c>
      <c r="N413" t="s">
        <v>1261</v>
      </c>
      <c r="O413" t="s">
        <v>89</v>
      </c>
      <c r="P413">
        <v>295.68</v>
      </c>
      <c r="T413">
        <v>0.5</v>
      </c>
    </row>
    <row r="414" spans="1:20">
      <c r="A414" s="1">
        <f>HYPERLINK("https://cms.ls-nyc.org/matter/dynamic-profile/view/0832237","17-0832237")</f>
        <v>0</v>
      </c>
      <c r="B414" t="s">
        <v>20</v>
      </c>
      <c r="C414" t="s">
        <v>43</v>
      </c>
      <c r="D414" t="s">
        <v>273</v>
      </c>
      <c r="E414" t="s">
        <v>317</v>
      </c>
      <c r="F414" t="s">
        <v>852</v>
      </c>
      <c r="G414" t="s">
        <v>1089</v>
      </c>
      <c r="H414">
        <v>1</v>
      </c>
      <c r="I414" t="s">
        <v>1234</v>
      </c>
      <c r="J414">
        <v>10032</v>
      </c>
      <c r="K414" t="s">
        <v>1237</v>
      </c>
      <c r="L414" t="s">
        <v>1236</v>
      </c>
      <c r="M414" t="s">
        <v>1239</v>
      </c>
      <c r="N414" t="s">
        <v>1258</v>
      </c>
      <c r="O414" t="s">
        <v>84</v>
      </c>
      <c r="P414">
        <v>300.49</v>
      </c>
      <c r="Q414" t="s">
        <v>1305</v>
      </c>
      <c r="T414">
        <v>11.1</v>
      </c>
    </row>
    <row r="415" spans="1:20">
      <c r="A415" s="1">
        <f>HYPERLINK("https://cms.ls-nyc.org/matter/dynamic-profile/view/1896355","19-1896355")</f>
        <v>0</v>
      </c>
      <c r="B415" t="s">
        <v>21</v>
      </c>
      <c r="C415" t="s">
        <v>43</v>
      </c>
      <c r="D415" t="s">
        <v>113</v>
      </c>
      <c r="E415" t="s">
        <v>557</v>
      </c>
      <c r="F415" t="s">
        <v>853</v>
      </c>
      <c r="G415" t="s">
        <v>1090</v>
      </c>
      <c r="H415" t="s">
        <v>1155</v>
      </c>
      <c r="I415" t="s">
        <v>1234</v>
      </c>
      <c r="J415">
        <v>10034</v>
      </c>
      <c r="K415" t="s">
        <v>1236</v>
      </c>
      <c r="L415" t="s">
        <v>1236</v>
      </c>
      <c r="M415" t="s">
        <v>1242</v>
      </c>
      <c r="P415">
        <v>306.45</v>
      </c>
      <c r="T415">
        <v>1</v>
      </c>
    </row>
    <row r="416" spans="1:20">
      <c r="A416" s="1">
        <f>HYPERLINK("https://cms.ls-nyc.org/matter/dynamic-profile/view/0826190","17-0826190")</f>
        <v>0</v>
      </c>
      <c r="B416" t="s">
        <v>29</v>
      </c>
      <c r="C416" t="s">
        <v>43</v>
      </c>
      <c r="D416" t="s">
        <v>181</v>
      </c>
      <c r="E416" t="s">
        <v>558</v>
      </c>
      <c r="F416" t="s">
        <v>854</v>
      </c>
      <c r="G416" t="s">
        <v>995</v>
      </c>
      <c r="H416" t="s">
        <v>1165</v>
      </c>
      <c r="I416" t="s">
        <v>1234</v>
      </c>
      <c r="J416">
        <v>10034</v>
      </c>
      <c r="K416" t="s">
        <v>1237</v>
      </c>
      <c r="L416" t="s">
        <v>1236</v>
      </c>
      <c r="M416" t="s">
        <v>1252</v>
      </c>
      <c r="N416" t="s">
        <v>1263</v>
      </c>
      <c r="O416" t="s">
        <v>1281</v>
      </c>
      <c r="P416">
        <v>306.97</v>
      </c>
      <c r="Q416" t="s">
        <v>1305</v>
      </c>
      <c r="T416">
        <v>1</v>
      </c>
    </row>
    <row r="417" spans="1:20">
      <c r="A417" s="1">
        <f>HYPERLINK("https://cms.ls-nyc.org/matter/dynamic-profile/view/1849799","17-1849799")</f>
        <v>0</v>
      </c>
      <c r="B417" t="s">
        <v>28</v>
      </c>
      <c r="C417" t="s">
        <v>43</v>
      </c>
      <c r="D417" t="s">
        <v>274</v>
      </c>
      <c r="E417" t="s">
        <v>326</v>
      </c>
      <c r="F417" t="s">
        <v>655</v>
      </c>
      <c r="G417" t="s">
        <v>1087</v>
      </c>
      <c r="H417" t="s">
        <v>1188</v>
      </c>
      <c r="I417" t="s">
        <v>1234</v>
      </c>
      <c r="J417">
        <v>10034</v>
      </c>
      <c r="K417" t="s">
        <v>1237</v>
      </c>
      <c r="L417" t="s">
        <v>1236</v>
      </c>
      <c r="M417" t="s">
        <v>1240</v>
      </c>
      <c r="N417" t="s">
        <v>1258</v>
      </c>
      <c r="O417" t="s">
        <v>274</v>
      </c>
      <c r="P417">
        <v>307.88</v>
      </c>
      <c r="T417">
        <v>12.5</v>
      </c>
    </row>
    <row r="418" spans="1:20">
      <c r="A418" s="1">
        <f>HYPERLINK("https://cms.ls-nyc.org/matter/dynamic-profile/view/1895540","19-1895540")</f>
        <v>0</v>
      </c>
      <c r="B418" t="s">
        <v>22</v>
      </c>
      <c r="C418" t="s">
        <v>43</v>
      </c>
      <c r="D418" t="s">
        <v>107</v>
      </c>
      <c r="E418" t="s">
        <v>559</v>
      </c>
      <c r="F418" t="s">
        <v>855</v>
      </c>
      <c r="G418" t="s">
        <v>917</v>
      </c>
      <c r="H418">
        <v>23</v>
      </c>
      <c r="I418" t="s">
        <v>1234</v>
      </c>
      <c r="J418">
        <v>10034</v>
      </c>
      <c r="K418" t="s">
        <v>1237</v>
      </c>
      <c r="L418" t="s">
        <v>1237</v>
      </c>
      <c r="M418" t="s">
        <v>1240</v>
      </c>
      <c r="N418" t="s">
        <v>1258</v>
      </c>
      <c r="O418" t="s">
        <v>107</v>
      </c>
      <c r="P418">
        <v>320.26</v>
      </c>
      <c r="T418">
        <v>3.4</v>
      </c>
    </row>
    <row r="419" spans="1:20">
      <c r="A419" s="1">
        <f>HYPERLINK("https://cms.ls-nyc.org/matter/dynamic-profile/view/1877920","18-1877920")</f>
        <v>0</v>
      </c>
      <c r="B419" t="s">
        <v>22</v>
      </c>
      <c r="C419" t="s">
        <v>43</v>
      </c>
      <c r="D419" t="s">
        <v>275</v>
      </c>
      <c r="E419" t="s">
        <v>560</v>
      </c>
      <c r="F419" t="s">
        <v>856</v>
      </c>
      <c r="G419" t="s">
        <v>1091</v>
      </c>
      <c r="H419" t="s">
        <v>1223</v>
      </c>
      <c r="I419" t="s">
        <v>1234</v>
      </c>
      <c r="J419">
        <v>10033</v>
      </c>
      <c r="K419" t="s">
        <v>1237</v>
      </c>
      <c r="L419" t="s">
        <v>1237</v>
      </c>
      <c r="M419" t="s">
        <v>1257</v>
      </c>
      <c r="N419" t="s">
        <v>1260</v>
      </c>
      <c r="O419" t="s">
        <v>275</v>
      </c>
      <c r="P419">
        <v>323.39</v>
      </c>
      <c r="Q419" t="s">
        <v>219</v>
      </c>
      <c r="T419">
        <v>3.4</v>
      </c>
    </row>
    <row r="420" spans="1:20">
      <c r="A420" s="1">
        <f>HYPERLINK("https://cms.ls-nyc.org/matter/dynamic-profile/view/1897759","19-1897759")</f>
        <v>0</v>
      </c>
      <c r="B420" t="s">
        <v>26</v>
      </c>
      <c r="C420" t="s">
        <v>43</v>
      </c>
      <c r="D420" t="s">
        <v>57</v>
      </c>
      <c r="E420" t="s">
        <v>561</v>
      </c>
      <c r="F420" t="s">
        <v>857</v>
      </c>
      <c r="G420" t="s">
        <v>943</v>
      </c>
      <c r="H420" t="s">
        <v>1197</v>
      </c>
      <c r="I420" t="s">
        <v>1234</v>
      </c>
      <c r="J420">
        <v>10032</v>
      </c>
      <c r="K420" t="s">
        <v>1237</v>
      </c>
      <c r="L420" t="s">
        <v>1237</v>
      </c>
      <c r="M420" t="s">
        <v>1244</v>
      </c>
      <c r="N420" t="s">
        <v>1261</v>
      </c>
      <c r="O420" t="s">
        <v>57</v>
      </c>
      <c r="P420">
        <v>326.15</v>
      </c>
      <c r="T420">
        <v>3.55</v>
      </c>
    </row>
    <row r="421" spans="1:20">
      <c r="A421" s="1">
        <f>HYPERLINK("https://cms.ls-nyc.org/matter/dynamic-profile/view/1850555","17-1850555")</f>
        <v>0</v>
      </c>
      <c r="B421" t="s">
        <v>22</v>
      </c>
      <c r="C421" t="s">
        <v>43</v>
      </c>
      <c r="D421" t="s">
        <v>164</v>
      </c>
      <c r="E421" t="s">
        <v>562</v>
      </c>
      <c r="F421" t="s">
        <v>858</v>
      </c>
      <c r="G421" t="s">
        <v>1009</v>
      </c>
      <c r="H421">
        <v>55</v>
      </c>
      <c r="I421" t="s">
        <v>1234</v>
      </c>
      <c r="J421">
        <v>10034</v>
      </c>
      <c r="K421" t="s">
        <v>1237</v>
      </c>
      <c r="L421" t="s">
        <v>1236</v>
      </c>
      <c r="M421" t="s">
        <v>1239</v>
      </c>
      <c r="N421" t="s">
        <v>1258</v>
      </c>
      <c r="O421" t="s">
        <v>134</v>
      </c>
      <c r="P421">
        <v>327.36</v>
      </c>
      <c r="Q421" t="s">
        <v>1305</v>
      </c>
      <c r="T421">
        <v>23.4</v>
      </c>
    </row>
    <row r="422" spans="1:20">
      <c r="A422" s="1">
        <f>HYPERLINK("https://cms.ls-nyc.org/matter/dynamic-profile/view/1833138","17-1833138")</f>
        <v>0</v>
      </c>
      <c r="B422" t="s">
        <v>22</v>
      </c>
      <c r="C422" t="s">
        <v>43</v>
      </c>
      <c r="D422" t="s">
        <v>267</v>
      </c>
      <c r="E422" t="s">
        <v>562</v>
      </c>
      <c r="F422" t="s">
        <v>858</v>
      </c>
      <c r="G422" t="s">
        <v>1009</v>
      </c>
      <c r="H422">
        <v>55</v>
      </c>
      <c r="I422" t="s">
        <v>1234</v>
      </c>
      <c r="J422">
        <v>10034</v>
      </c>
      <c r="K422" t="s">
        <v>1237</v>
      </c>
      <c r="L422" t="s">
        <v>1237</v>
      </c>
      <c r="M422" t="s">
        <v>1241</v>
      </c>
      <c r="N422" t="s">
        <v>1259</v>
      </c>
      <c r="O422" t="s">
        <v>1273</v>
      </c>
      <c r="P422">
        <v>327.36</v>
      </c>
      <c r="Q422" t="s">
        <v>1305</v>
      </c>
      <c r="T422">
        <v>24.3</v>
      </c>
    </row>
    <row r="423" spans="1:20">
      <c r="A423" s="1">
        <f>HYPERLINK("https://cms.ls-nyc.org/matter/dynamic-profile/view/1901214","19-1901214")</f>
        <v>0</v>
      </c>
      <c r="B423" t="s">
        <v>22</v>
      </c>
      <c r="C423" t="s">
        <v>43</v>
      </c>
      <c r="D423" t="s">
        <v>152</v>
      </c>
      <c r="E423" t="s">
        <v>563</v>
      </c>
      <c r="F423" t="s">
        <v>859</v>
      </c>
      <c r="G423" t="s">
        <v>1092</v>
      </c>
      <c r="H423" t="s">
        <v>1104</v>
      </c>
      <c r="I423" t="s">
        <v>1234</v>
      </c>
      <c r="J423">
        <v>10032</v>
      </c>
      <c r="K423" t="s">
        <v>1237</v>
      </c>
      <c r="L423" t="s">
        <v>1236</v>
      </c>
      <c r="M423" t="s">
        <v>1244</v>
      </c>
      <c r="N423" t="s">
        <v>1261</v>
      </c>
      <c r="O423" t="s">
        <v>152</v>
      </c>
      <c r="P423">
        <v>330.1</v>
      </c>
      <c r="T423">
        <v>1</v>
      </c>
    </row>
    <row r="424" spans="1:20">
      <c r="A424" s="1">
        <f>HYPERLINK("https://cms.ls-nyc.org/matter/dynamic-profile/view/1893003","19-1893003")</f>
        <v>0</v>
      </c>
      <c r="B424" t="s">
        <v>26</v>
      </c>
      <c r="C424" t="s">
        <v>43</v>
      </c>
      <c r="D424" t="s">
        <v>276</v>
      </c>
      <c r="E424" t="s">
        <v>564</v>
      </c>
      <c r="F424" t="s">
        <v>860</v>
      </c>
      <c r="G424" t="s">
        <v>914</v>
      </c>
      <c r="H424">
        <v>34</v>
      </c>
      <c r="I424" t="s">
        <v>1234</v>
      </c>
      <c r="J424">
        <v>10034</v>
      </c>
      <c r="K424" t="s">
        <v>1237</v>
      </c>
      <c r="L424" t="s">
        <v>1237</v>
      </c>
      <c r="M424" t="s">
        <v>1242</v>
      </c>
      <c r="N424" t="s">
        <v>1261</v>
      </c>
      <c r="O424" t="s">
        <v>120</v>
      </c>
      <c r="P424">
        <v>333.07</v>
      </c>
      <c r="T424">
        <v>15.3</v>
      </c>
    </row>
    <row r="425" spans="1:20">
      <c r="A425" s="1">
        <f>HYPERLINK("https://cms.ls-nyc.org/matter/dynamic-profile/view/1901175","19-1901175")</f>
        <v>0</v>
      </c>
      <c r="B425" t="s">
        <v>22</v>
      </c>
      <c r="C425" t="s">
        <v>43</v>
      </c>
      <c r="D425" t="s">
        <v>270</v>
      </c>
      <c r="E425" t="s">
        <v>565</v>
      </c>
      <c r="F425" t="s">
        <v>861</v>
      </c>
      <c r="G425" t="s">
        <v>1093</v>
      </c>
      <c r="H425" t="s">
        <v>1204</v>
      </c>
      <c r="I425" t="s">
        <v>1234</v>
      </c>
      <c r="J425">
        <v>10033</v>
      </c>
      <c r="K425" t="s">
        <v>1237</v>
      </c>
      <c r="L425" t="s">
        <v>1236</v>
      </c>
      <c r="M425" t="s">
        <v>1244</v>
      </c>
      <c r="N425" t="s">
        <v>1261</v>
      </c>
      <c r="O425" t="s">
        <v>270</v>
      </c>
      <c r="P425">
        <v>334.23</v>
      </c>
      <c r="T425">
        <v>1</v>
      </c>
    </row>
    <row r="426" spans="1:20">
      <c r="A426" s="1">
        <f>HYPERLINK("https://cms.ls-nyc.org/matter/dynamic-profile/view/0831584","17-0831584")</f>
        <v>0</v>
      </c>
      <c r="B426" t="s">
        <v>29</v>
      </c>
      <c r="C426" t="s">
        <v>43</v>
      </c>
      <c r="D426" t="s">
        <v>277</v>
      </c>
      <c r="E426" t="s">
        <v>566</v>
      </c>
      <c r="F426" t="s">
        <v>740</v>
      </c>
      <c r="G426" t="s">
        <v>1046</v>
      </c>
      <c r="H426" t="s">
        <v>1115</v>
      </c>
      <c r="I426" t="s">
        <v>1234</v>
      </c>
      <c r="J426">
        <v>10034</v>
      </c>
      <c r="K426" t="s">
        <v>1236</v>
      </c>
      <c r="L426" t="s">
        <v>1236</v>
      </c>
      <c r="M426" t="s">
        <v>1241</v>
      </c>
      <c r="N426" t="s">
        <v>1261</v>
      </c>
      <c r="O426" t="s">
        <v>277</v>
      </c>
      <c r="P426">
        <v>339</v>
      </c>
      <c r="T426">
        <v>0.8</v>
      </c>
    </row>
    <row r="427" spans="1:20">
      <c r="A427" s="1">
        <f>HYPERLINK("https://cms.ls-nyc.org/matter/dynamic-profile/view/1890850","19-1890850")</f>
        <v>0</v>
      </c>
      <c r="B427" t="s">
        <v>28</v>
      </c>
      <c r="C427" t="s">
        <v>43</v>
      </c>
      <c r="D427" t="s">
        <v>222</v>
      </c>
      <c r="E427" t="s">
        <v>567</v>
      </c>
      <c r="F427" t="s">
        <v>862</v>
      </c>
      <c r="G427" t="s">
        <v>1094</v>
      </c>
      <c r="H427" t="s">
        <v>1224</v>
      </c>
      <c r="I427" t="s">
        <v>1234</v>
      </c>
      <c r="J427">
        <v>10033</v>
      </c>
      <c r="K427" t="s">
        <v>1237</v>
      </c>
      <c r="L427" t="s">
        <v>1237</v>
      </c>
      <c r="N427" t="s">
        <v>1261</v>
      </c>
      <c r="O427" t="s">
        <v>222</v>
      </c>
      <c r="P427">
        <v>359.22</v>
      </c>
      <c r="Q427" t="s">
        <v>1308</v>
      </c>
      <c r="T427">
        <v>3.05</v>
      </c>
    </row>
    <row r="428" spans="1:20">
      <c r="A428" s="1">
        <f>HYPERLINK("https://cms.ls-nyc.org/matter/dynamic-profile/view/1890842","19-1890842")</f>
        <v>0</v>
      </c>
      <c r="B428" t="s">
        <v>28</v>
      </c>
      <c r="C428" t="s">
        <v>43</v>
      </c>
      <c r="D428" t="s">
        <v>222</v>
      </c>
      <c r="E428" t="s">
        <v>568</v>
      </c>
      <c r="F428" t="s">
        <v>863</v>
      </c>
      <c r="G428" t="s">
        <v>1094</v>
      </c>
      <c r="H428" t="s">
        <v>1225</v>
      </c>
      <c r="I428" t="s">
        <v>1234</v>
      </c>
      <c r="J428">
        <v>10033</v>
      </c>
      <c r="K428" t="s">
        <v>1237</v>
      </c>
      <c r="L428" t="s">
        <v>1237</v>
      </c>
      <c r="N428" t="s">
        <v>1261</v>
      </c>
      <c r="O428" t="s">
        <v>222</v>
      </c>
      <c r="P428">
        <v>360.29</v>
      </c>
      <c r="Q428" t="s">
        <v>1308</v>
      </c>
      <c r="T428">
        <v>0</v>
      </c>
    </row>
    <row r="429" spans="1:20">
      <c r="A429" s="1">
        <f>HYPERLINK("https://cms.ls-nyc.org/matter/dynamic-profile/view/1897601","19-1897601")</f>
        <v>0</v>
      </c>
      <c r="B429" t="s">
        <v>28</v>
      </c>
      <c r="C429" t="s">
        <v>43</v>
      </c>
      <c r="D429" t="s">
        <v>79</v>
      </c>
      <c r="E429" t="s">
        <v>390</v>
      </c>
      <c r="F429" t="s">
        <v>864</v>
      </c>
      <c r="G429" t="s">
        <v>950</v>
      </c>
      <c r="H429">
        <v>54</v>
      </c>
      <c r="I429" t="s">
        <v>1234</v>
      </c>
      <c r="J429">
        <v>10034</v>
      </c>
      <c r="K429" t="s">
        <v>1237</v>
      </c>
      <c r="L429" t="s">
        <v>1237</v>
      </c>
      <c r="M429" t="s">
        <v>1240</v>
      </c>
      <c r="N429" t="s">
        <v>1261</v>
      </c>
      <c r="O429" t="s">
        <v>79</v>
      </c>
      <c r="P429">
        <v>372.56</v>
      </c>
      <c r="T429">
        <v>0</v>
      </c>
    </row>
    <row r="430" spans="1:20">
      <c r="A430" s="1">
        <f>HYPERLINK("https://cms.ls-nyc.org/matter/dynamic-profile/view/1833145","17-1833145")</f>
        <v>0</v>
      </c>
      <c r="B430" t="s">
        <v>29</v>
      </c>
      <c r="C430" t="s">
        <v>43</v>
      </c>
      <c r="D430" t="s">
        <v>267</v>
      </c>
      <c r="E430" t="s">
        <v>569</v>
      </c>
      <c r="F430" t="s">
        <v>784</v>
      </c>
      <c r="G430" t="s">
        <v>1008</v>
      </c>
      <c r="H430" t="s">
        <v>1175</v>
      </c>
      <c r="I430" t="s">
        <v>1234</v>
      </c>
      <c r="J430">
        <v>10034</v>
      </c>
      <c r="K430" t="s">
        <v>1237</v>
      </c>
      <c r="L430" t="s">
        <v>1237</v>
      </c>
      <c r="M430" t="s">
        <v>1242</v>
      </c>
      <c r="N430" t="s">
        <v>1258</v>
      </c>
      <c r="O430" t="s">
        <v>267</v>
      </c>
      <c r="P430">
        <v>381.43</v>
      </c>
      <c r="Q430" t="s">
        <v>1305</v>
      </c>
      <c r="T430">
        <v>77.68000000000001</v>
      </c>
    </row>
    <row r="431" spans="1:20">
      <c r="A431" s="1">
        <f>HYPERLINK("https://cms.ls-nyc.org/matter/dynamic-profile/view/1871571","18-1871571")</f>
        <v>0</v>
      </c>
      <c r="B431" t="s">
        <v>22</v>
      </c>
      <c r="C431" t="s">
        <v>43</v>
      </c>
      <c r="D431" t="s">
        <v>46</v>
      </c>
      <c r="E431" t="s">
        <v>570</v>
      </c>
      <c r="F431" t="s">
        <v>865</v>
      </c>
      <c r="G431" t="s">
        <v>896</v>
      </c>
      <c r="H431" t="s">
        <v>1116</v>
      </c>
      <c r="I431" t="s">
        <v>1234</v>
      </c>
      <c r="J431">
        <v>10034</v>
      </c>
      <c r="K431" t="s">
        <v>1237</v>
      </c>
      <c r="L431" t="s">
        <v>1237</v>
      </c>
      <c r="M431" t="s">
        <v>1240</v>
      </c>
      <c r="N431" t="s">
        <v>1258</v>
      </c>
      <c r="O431" t="s">
        <v>46</v>
      </c>
      <c r="P431">
        <v>387.15</v>
      </c>
      <c r="T431">
        <v>1.3</v>
      </c>
    </row>
    <row r="432" spans="1:20">
      <c r="A432" s="1">
        <f>HYPERLINK("https://cms.ls-nyc.org/matter/dynamic-profile/view/0815733","16-0815733")</f>
        <v>0</v>
      </c>
      <c r="B432" t="s">
        <v>40</v>
      </c>
      <c r="C432" t="s">
        <v>43</v>
      </c>
      <c r="D432" t="s">
        <v>278</v>
      </c>
      <c r="E432" t="s">
        <v>571</v>
      </c>
      <c r="F432" t="s">
        <v>847</v>
      </c>
      <c r="G432" t="s">
        <v>1095</v>
      </c>
      <c r="H432" t="s">
        <v>1226</v>
      </c>
      <c r="I432" t="s">
        <v>1234</v>
      </c>
      <c r="J432">
        <v>10031</v>
      </c>
      <c r="K432" t="s">
        <v>1237</v>
      </c>
      <c r="L432" t="s">
        <v>1236</v>
      </c>
      <c r="N432" t="s">
        <v>1258</v>
      </c>
      <c r="O432" t="s">
        <v>1299</v>
      </c>
      <c r="P432">
        <v>392.03</v>
      </c>
      <c r="T432">
        <v>43.05</v>
      </c>
    </row>
    <row r="433" spans="1:20">
      <c r="A433" s="1">
        <f>HYPERLINK("https://cms.ls-nyc.org/matter/dynamic-profile/view/1876326","18-1876326")</f>
        <v>0</v>
      </c>
      <c r="B433" t="s">
        <v>23</v>
      </c>
      <c r="C433" t="s">
        <v>43</v>
      </c>
      <c r="D433" t="s">
        <v>173</v>
      </c>
      <c r="E433" t="s">
        <v>335</v>
      </c>
      <c r="F433" t="s">
        <v>866</v>
      </c>
      <c r="G433" t="s">
        <v>903</v>
      </c>
      <c r="H433" t="s">
        <v>1227</v>
      </c>
      <c r="I433" t="s">
        <v>1234</v>
      </c>
      <c r="J433">
        <v>10033</v>
      </c>
      <c r="K433" t="s">
        <v>1237</v>
      </c>
      <c r="L433" t="s">
        <v>1237</v>
      </c>
      <c r="M433" t="s">
        <v>1240</v>
      </c>
      <c r="N433" t="s">
        <v>1260</v>
      </c>
      <c r="O433" t="s">
        <v>173</v>
      </c>
      <c r="P433">
        <v>397.5</v>
      </c>
      <c r="T433">
        <v>10</v>
      </c>
    </row>
    <row r="434" spans="1:20">
      <c r="A434" s="1">
        <f>HYPERLINK("https://cms.ls-nyc.org/matter/dynamic-profile/view/1901179","19-1901179")</f>
        <v>0</v>
      </c>
      <c r="B434" t="s">
        <v>25</v>
      </c>
      <c r="C434" t="s">
        <v>43</v>
      </c>
      <c r="D434" t="s">
        <v>270</v>
      </c>
      <c r="E434" t="s">
        <v>488</v>
      </c>
      <c r="F434" t="s">
        <v>788</v>
      </c>
      <c r="G434" t="s">
        <v>1096</v>
      </c>
      <c r="H434">
        <v>68</v>
      </c>
      <c r="I434" t="s">
        <v>1234</v>
      </c>
      <c r="J434">
        <v>10033</v>
      </c>
      <c r="K434" t="s">
        <v>1237</v>
      </c>
      <c r="L434" t="s">
        <v>1236</v>
      </c>
      <c r="M434" t="s">
        <v>1244</v>
      </c>
      <c r="N434" t="s">
        <v>1261</v>
      </c>
      <c r="O434" t="s">
        <v>270</v>
      </c>
      <c r="P434">
        <v>397.75</v>
      </c>
      <c r="T434">
        <v>0</v>
      </c>
    </row>
    <row r="435" spans="1:20">
      <c r="A435" s="1">
        <f>HYPERLINK("https://cms.ls-nyc.org/matter/dynamic-profile/view/1856067","18-1856067")</f>
        <v>0</v>
      </c>
      <c r="B435" t="s">
        <v>28</v>
      </c>
      <c r="C435" t="s">
        <v>43</v>
      </c>
      <c r="D435" t="s">
        <v>166</v>
      </c>
      <c r="E435" t="s">
        <v>572</v>
      </c>
      <c r="F435" t="s">
        <v>677</v>
      </c>
      <c r="G435" t="s">
        <v>940</v>
      </c>
      <c r="H435" t="s">
        <v>1228</v>
      </c>
      <c r="I435" t="s">
        <v>1234</v>
      </c>
      <c r="J435">
        <v>10034</v>
      </c>
      <c r="K435" t="s">
        <v>1237</v>
      </c>
      <c r="L435" t="s">
        <v>1236</v>
      </c>
      <c r="M435" t="s">
        <v>1240</v>
      </c>
      <c r="N435" t="s">
        <v>1258</v>
      </c>
      <c r="O435" t="s">
        <v>166</v>
      </c>
      <c r="P435">
        <v>401.92</v>
      </c>
      <c r="T435">
        <v>0.2</v>
      </c>
    </row>
    <row r="436" spans="1:20">
      <c r="A436" s="1">
        <f>HYPERLINK("https://cms.ls-nyc.org/matter/dynamic-profile/view/1868368","18-1868368")</f>
        <v>0</v>
      </c>
      <c r="B436" t="s">
        <v>28</v>
      </c>
      <c r="C436" t="s">
        <v>43</v>
      </c>
      <c r="D436" t="s">
        <v>85</v>
      </c>
      <c r="E436" t="s">
        <v>424</v>
      </c>
      <c r="F436" t="s">
        <v>680</v>
      </c>
      <c r="G436" t="s">
        <v>944</v>
      </c>
      <c r="H436">
        <v>22</v>
      </c>
      <c r="I436" t="s">
        <v>1234</v>
      </c>
      <c r="J436">
        <v>10034</v>
      </c>
      <c r="K436" t="s">
        <v>1237</v>
      </c>
      <c r="L436" t="s">
        <v>1236</v>
      </c>
      <c r="M436" t="s">
        <v>1244</v>
      </c>
      <c r="N436" t="s">
        <v>1258</v>
      </c>
      <c r="O436" t="s">
        <v>85</v>
      </c>
      <c r="P436">
        <v>411.86</v>
      </c>
      <c r="T436">
        <v>20.85</v>
      </c>
    </row>
    <row r="437" spans="1:20">
      <c r="A437" s="1">
        <f>HYPERLINK("https://cms.ls-nyc.org/matter/dynamic-profile/view/1891044","19-1891044")</f>
        <v>0</v>
      </c>
      <c r="B437" t="s">
        <v>28</v>
      </c>
      <c r="C437" t="s">
        <v>43</v>
      </c>
      <c r="D437" t="s">
        <v>100</v>
      </c>
      <c r="E437" t="s">
        <v>573</v>
      </c>
      <c r="F437" t="s">
        <v>867</v>
      </c>
      <c r="G437" t="s">
        <v>1094</v>
      </c>
      <c r="H437" t="s">
        <v>1157</v>
      </c>
      <c r="I437" t="s">
        <v>1234</v>
      </c>
      <c r="J437">
        <v>10033</v>
      </c>
      <c r="K437" t="s">
        <v>1237</v>
      </c>
      <c r="L437" t="s">
        <v>1237</v>
      </c>
      <c r="N437" t="s">
        <v>1261</v>
      </c>
      <c r="O437" t="s">
        <v>100</v>
      </c>
      <c r="P437">
        <v>416.33</v>
      </c>
      <c r="Q437" t="s">
        <v>1308</v>
      </c>
      <c r="T437">
        <v>0</v>
      </c>
    </row>
    <row r="438" spans="1:20">
      <c r="A438" s="1">
        <f>HYPERLINK("https://cms.ls-nyc.org/matter/dynamic-profile/view/0822324","16-0822324")</f>
        <v>0</v>
      </c>
      <c r="B438" t="s">
        <v>25</v>
      </c>
      <c r="C438" t="s">
        <v>43</v>
      </c>
      <c r="D438" t="s">
        <v>218</v>
      </c>
      <c r="E438" t="s">
        <v>574</v>
      </c>
      <c r="F438" t="s">
        <v>868</v>
      </c>
      <c r="G438" t="s">
        <v>995</v>
      </c>
      <c r="H438" t="s">
        <v>1122</v>
      </c>
      <c r="I438" t="s">
        <v>1234</v>
      </c>
      <c r="J438">
        <v>10034</v>
      </c>
      <c r="K438" t="s">
        <v>1237</v>
      </c>
      <c r="L438" t="s">
        <v>1236</v>
      </c>
      <c r="M438" t="s">
        <v>1252</v>
      </c>
      <c r="N438" t="s">
        <v>1263</v>
      </c>
      <c r="O438" t="s">
        <v>1292</v>
      </c>
      <c r="P438">
        <v>423.02</v>
      </c>
      <c r="T438">
        <v>0</v>
      </c>
    </row>
    <row r="439" spans="1:20">
      <c r="A439" s="1">
        <f>HYPERLINK("https://cms.ls-nyc.org/matter/dynamic-profile/view/0822327","16-0822327")</f>
        <v>0</v>
      </c>
      <c r="B439" t="s">
        <v>29</v>
      </c>
      <c r="C439" t="s">
        <v>43</v>
      </c>
      <c r="D439" t="s">
        <v>279</v>
      </c>
      <c r="E439" t="s">
        <v>574</v>
      </c>
      <c r="F439" t="s">
        <v>868</v>
      </c>
      <c r="G439" t="s">
        <v>995</v>
      </c>
      <c r="H439" t="s">
        <v>1122</v>
      </c>
      <c r="I439" t="s">
        <v>1234</v>
      </c>
      <c r="J439">
        <v>10034</v>
      </c>
      <c r="K439" t="s">
        <v>1237</v>
      </c>
      <c r="L439" t="s">
        <v>1236</v>
      </c>
      <c r="M439" t="s">
        <v>1252</v>
      </c>
      <c r="N439" t="s">
        <v>1260</v>
      </c>
      <c r="O439" t="s">
        <v>279</v>
      </c>
      <c r="P439">
        <v>423.02</v>
      </c>
      <c r="T439">
        <v>0.1</v>
      </c>
    </row>
    <row r="440" spans="1:20">
      <c r="A440" s="1">
        <f>HYPERLINK("https://cms.ls-nyc.org/matter/dynamic-profile/view/1892828","19-1892828")</f>
        <v>0</v>
      </c>
      <c r="B440" t="s">
        <v>28</v>
      </c>
      <c r="C440" t="s">
        <v>43</v>
      </c>
      <c r="D440" t="s">
        <v>122</v>
      </c>
      <c r="E440" t="s">
        <v>383</v>
      </c>
      <c r="F440" t="s">
        <v>869</v>
      </c>
      <c r="G440" t="s">
        <v>1094</v>
      </c>
      <c r="H440" t="s">
        <v>1113</v>
      </c>
      <c r="I440" t="s">
        <v>1234</v>
      </c>
      <c r="J440">
        <v>10033</v>
      </c>
      <c r="K440" t="s">
        <v>1237</v>
      </c>
      <c r="L440" t="s">
        <v>1237</v>
      </c>
      <c r="N440" t="s">
        <v>1261</v>
      </c>
      <c r="O440" t="s">
        <v>122</v>
      </c>
      <c r="P440">
        <v>431.7</v>
      </c>
      <c r="Q440" t="s">
        <v>1308</v>
      </c>
      <c r="T440">
        <v>0</v>
      </c>
    </row>
    <row r="441" spans="1:20">
      <c r="A441" s="1">
        <f>HYPERLINK("https://cms.ls-nyc.org/matter/dynamic-profile/view/1899127","19-1899127")</f>
        <v>0</v>
      </c>
      <c r="B441" t="s">
        <v>26</v>
      </c>
      <c r="C441" t="s">
        <v>43</v>
      </c>
      <c r="D441" t="s">
        <v>280</v>
      </c>
      <c r="E441" t="s">
        <v>575</v>
      </c>
      <c r="F441" t="s">
        <v>870</v>
      </c>
      <c r="G441" t="s">
        <v>976</v>
      </c>
      <c r="H441" t="s">
        <v>1174</v>
      </c>
      <c r="I441" t="s">
        <v>1234</v>
      </c>
      <c r="J441">
        <v>10034</v>
      </c>
      <c r="K441" t="s">
        <v>1237</v>
      </c>
      <c r="L441" t="s">
        <v>1236</v>
      </c>
      <c r="M441" t="s">
        <v>1241</v>
      </c>
      <c r="N441" t="s">
        <v>1261</v>
      </c>
      <c r="O441" t="s">
        <v>280</v>
      </c>
      <c r="P441">
        <v>440.35</v>
      </c>
      <c r="T441">
        <v>1.3</v>
      </c>
    </row>
    <row r="442" spans="1:20">
      <c r="A442" s="1">
        <f>HYPERLINK("https://cms.ls-nyc.org/matter/dynamic-profile/view/1838642","17-1838642")</f>
        <v>0</v>
      </c>
      <c r="B442" t="s">
        <v>28</v>
      </c>
      <c r="C442" t="s">
        <v>43</v>
      </c>
      <c r="D442" t="s">
        <v>127</v>
      </c>
      <c r="E442" t="s">
        <v>473</v>
      </c>
      <c r="F442" t="s">
        <v>871</v>
      </c>
      <c r="G442" t="s">
        <v>1097</v>
      </c>
      <c r="H442" t="s">
        <v>1155</v>
      </c>
      <c r="I442" t="s">
        <v>1234</v>
      </c>
      <c r="J442">
        <v>10034</v>
      </c>
      <c r="K442" t="s">
        <v>1237</v>
      </c>
      <c r="L442" t="s">
        <v>1236</v>
      </c>
      <c r="M442" t="s">
        <v>1240</v>
      </c>
      <c r="N442" t="s">
        <v>1258</v>
      </c>
      <c r="O442" t="s">
        <v>127</v>
      </c>
      <c r="P442">
        <v>447.15</v>
      </c>
      <c r="T442">
        <v>0.45</v>
      </c>
    </row>
    <row r="443" spans="1:20">
      <c r="A443" s="1">
        <f>HYPERLINK("https://cms.ls-nyc.org/matter/dynamic-profile/view/1864874","18-1864874")</f>
        <v>0</v>
      </c>
      <c r="B443" t="s">
        <v>29</v>
      </c>
      <c r="C443" t="s">
        <v>43</v>
      </c>
      <c r="D443" t="s">
        <v>281</v>
      </c>
      <c r="E443" t="s">
        <v>576</v>
      </c>
      <c r="F443" t="s">
        <v>872</v>
      </c>
      <c r="G443" t="s">
        <v>937</v>
      </c>
      <c r="H443" t="s">
        <v>1204</v>
      </c>
      <c r="I443" t="s">
        <v>1234</v>
      </c>
      <c r="J443">
        <v>10031</v>
      </c>
      <c r="K443" t="s">
        <v>1237</v>
      </c>
      <c r="L443" t="s">
        <v>1236</v>
      </c>
      <c r="M443" t="s">
        <v>1241</v>
      </c>
      <c r="N443" t="s">
        <v>1260</v>
      </c>
      <c r="O443" t="s">
        <v>281</v>
      </c>
      <c r="P443">
        <v>453.05</v>
      </c>
      <c r="T443">
        <v>2.75</v>
      </c>
    </row>
    <row r="444" spans="1:20">
      <c r="A444" s="1">
        <f>HYPERLINK("https://cms.ls-nyc.org/matter/dynamic-profile/view/1901226","19-1901226")</f>
        <v>0</v>
      </c>
      <c r="B444" t="s">
        <v>25</v>
      </c>
      <c r="C444" t="s">
        <v>43</v>
      </c>
      <c r="D444" t="s">
        <v>152</v>
      </c>
      <c r="E444" t="s">
        <v>285</v>
      </c>
      <c r="F444" t="s">
        <v>873</v>
      </c>
      <c r="G444" t="s">
        <v>1098</v>
      </c>
      <c r="H444" t="s">
        <v>1125</v>
      </c>
      <c r="I444" t="s">
        <v>1234</v>
      </c>
      <c r="J444">
        <v>10032</v>
      </c>
      <c r="K444" t="s">
        <v>1237</v>
      </c>
      <c r="L444" t="s">
        <v>1236</v>
      </c>
      <c r="M444" t="s">
        <v>1244</v>
      </c>
      <c r="N444" t="s">
        <v>1260</v>
      </c>
      <c r="O444" t="s">
        <v>152</v>
      </c>
      <c r="P444">
        <v>456.37</v>
      </c>
      <c r="T444">
        <v>0</v>
      </c>
    </row>
    <row r="445" spans="1:20">
      <c r="A445" s="1">
        <f>HYPERLINK("https://cms.ls-nyc.org/matter/dynamic-profile/view/1856063","18-1856063")</f>
        <v>0</v>
      </c>
      <c r="B445" t="s">
        <v>28</v>
      </c>
      <c r="C445" t="s">
        <v>43</v>
      </c>
      <c r="D445" t="s">
        <v>166</v>
      </c>
      <c r="E445" t="s">
        <v>370</v>
      </c>
      <c r="F445" t="s">
        <v>680</v>
      </c>
      <c r="G445" t="s">
        <v>940</v>
      </c>
      <c r="I445" t="s">
        <v>1234</v>
      </c>
      <c r="J445">
        <v>10034</v>
      </c>
      <c r="K445" t="s">
        <v>1237</v>
      </c>
      <c r="L445" t="s">
        <v>1236</v>
      </c>
      <c r="M445" t="s">
        <v>1240</v>
      </c>
      <c r="N445" t="s">
        <v>1258</v>
      </c>
      <c r="O445" t="s">
        <v>166</v>
      </c>
      <c r="P445">
        <v>486.45</v>
      </c>
      <c r="T445">
        <v>3.15</v>
      </c>
    </row>
    <row r="446" spans="1:20">
      <c r="A446" s="1">
        <f>HYPERLINK("https://cms.ls-nyc.org/matter/dynamic-profile/view/1902191","19-1902191")</f>
        <v>0</v>
      </c>
      <c r="B446" t="s">
        <v>26</v>
      </c>
      <c r="C446" t="s">
        <v>43</v>
      </c>
      <c r="D446" t="s">
        <v>167</v>
      </c>
      <c r="E446" t="s">
        <v>577</v>
      </c>
      <c r="F446" t="s">
        <v>874</v>
      </c>
      <c r="G446" t="s">
        <v>1075</v>
      </c>
      <c r="H446" t="s">
        <v>1229</v>
      </c>
      <c r="I446" t="s">
        <v>1234</v>
      </c>
      <c r="J446">
        <v>10033</v>
      </c>
      <c r="K446" t="s">
        <v>1237</v>
      </c>
      <c r="L446" t="s">
        <v>1236</v>
      </c>
      <c r="N446" t="s">
        <v>1262</v>
      </c>
      <c r="O446" t="s">
        <v>167</v>
      </c>
      <c r="P446">
        <v>498.83</v>
      </c>
      <c r="T446">
        <v>0</v>
      </c>
    </row>
    <row r="447" spans="1:20">
      <c r="A447" s="1">
        <f>HYPERLINK("https://cms.ls-nyc.org/matter/dynamic-profile/view/1890836","19-1890836")</f>
        <v>0</v>
      </c>
      <c r="B447" t="s">
        <v>28</v>
      </c>
      <c r="C447" t="s">
        <v>43</v>
      </c>
      <c r="D447" t="s">
        <v>222</v>
      </c>
      <c r="E447" t="s">
        <v>578</v>
      </c>
      <c r="F447" t="s">
        <v>875</v>
      </c>
      <c r="G447" t="s">
        <v>1094</v>
      </c>
      <c r="H447" t="s">
        <v>1230</v>
      </c>
      <c r="I447" t="s">
        <v>1234</v>
      </c>
      <c r="J447">
        <v>10033</v>
      </c>
      <c r="K447" t="s">
        <v>1237</v>
      </c>
      <c r="L447" t="s">
        <v>1237</v>
      </c>
      <c r="N447" t="s">
        <v>1261</v>
      </c>
      <c r="O447" t="s">
        <v>222</v>
      </c>
      <c r="P447">
        <v>520.42</v>
      </c>
      <c r="T447">
        <v>0</v>
      </c>
    </row>
    <row r="448" spans="1:20">
      <c r="A448" s="1">
        <f>HYPERLINK("https://cms.ls-nyc.org/matter/dynamic-profile/view/1874199","18-1874199")</f>
        <v>0</v>
      </c>
      <c r="B448" t="s">
        <v>23</v>
      </c>
      <c r="C448" t="s">
        <v>43</v>
      </c>
      <c r="D448" t="s">
        <v>65</v>
      </c>
      <c r="E448" t="s">
        <v>579</v>
      </c>
      <c r="F448" t="s">
        <v>876</v>
      </c>
      <c r="G448" t="s">
        <v>903</v>
      </c>
      <c r="H448" t="s">
        <v>1231</v>
      </c>
      <c r="I448" t="s">
        <v>1234</v>
      </c>
      <c r="J448">
        <v>10033</v>
      </c>
      <c r="K448" t="s">
        <v>1237</v>
      </c>
      <c r="L448" t="s">
        <v>1237</v>
      </c>
      <c r="M448" t="s">
        <v>1240</v>
      </c>
      <c r="N448" t="s">
        <v>1258</v>
      </c>
      <c r="O448" t="s">
        <v>65</v>
      </c>
      <c r="P448">
        <v>535.42</v>
      </c>
      <c r="T448">
        <v>0.1</v>
      </c>
    </row>
    <row r="449" spans="1:20">
      <c r="A449" s="1">
        <f>HYPERLINK("https://cms.ls-nyc.org/matter/dynamic-profile/view/1894881","19-1894881")</f>
        <v>0</v>
      </c>
      <c r="B449" t="s">
        <v>28</v>
      </c>
      <c r="C449" t="s">
        <v>43</v>
      </c>
      <c r="D449" t="s">
        <v>211</v>
      </c>
      <c r="E449" t="s">
        <v>580</v>
      </c>
      <c r="F449" t="s">
        <v>877</v>
      </c>
      <c r="G449" t="s">
        <v>950</v>
      </c>
      <c r="H449">
        <v>53</v>
      </c>
      <c r="I449" t="s">
        <v>1234</v>
      </c>
      <c r="J449">
        <v>10034</v>
      </c>
      <c r="K449" t="s">
        <v>1237</v>
      </c>
      <c r="L449" t="s">
        <v>1237</v>
      </c>
      <c r="M449" t="s">
        <v>1240</v>
      </c>
      <c r="N449" t="s">
        <v>1261</v>
      </c>
      <c r="O449" t="s">
        <v>106</v>
      </c>
      <c r="P449">
        <v>565.4</v>
      </c>
      <c r="T449">
        <v>0</v>
      </c>
    </row>
    <row r="450" spans="1:20">
      <c r="A450" s="1">
        <f>HYPERLINK("https://cms.ls-nyc.org/matter/dynamic-profile/view/1890830","19-1890830")</f>
        <v>0</v>
      </c>
      <c r="B450" t="s">
        <v>28</v>
      </c>
      <c r="C450" t="s">
        <v>43</v>
      </c>
      <c r="D450" t="s">
        <v>222</v>
      </c>
      <c r="E450" t="s">
        <v>581</v>
      </c>
      <c r="F450" t="s">
        <v>878</v>
      </c>
      <c r="G450" t="s">
        <v>1094</v>
      </c>
      <c r="H450" t="s">
        <v>1119</v>
      </c>
      <c r="I450" t="s">
        <v>1234</v>
      </c>
      <c r="J450">
        <v>10033</v>
      </c>
      <c r="K450" t="s">
        <v>1237</v>
      </c>
      <c r="L450" t="s">
        <v>1237</v>
      </c>
      <c r="N450" t="s">
        <v>1261</v>
      </c>
      <c r="O450" t="s">
        <v>222</v>
      </c>
      <c r="P450">
        <v>576.65</v>
      </c>
      <c r="T450">
        <v>0</v>
      </c>
    </row>
    <row r="451" spans="1:20">
      <c r="A451" s="1">
        <f>HYPERLINK("https://cms.ls-nyc.org/matter/dynamic-profile/view/1871583","18-1871583")</f>
        <v>0</v>
      </c>
      <c r="B451" t="s">
        <v>22</v>
      </c>
      <c r="C451" t="s">
        <v>43</v>
      </c>
      <c r="D451" t="s">
        <v>46</v>
      </c>
      <c r="E451" t="s">
        <v>582</v>
      </c>
      <c r="F451" t="s">
        <v>879</v>
      </c>
      <c r="G451" t="s">
        <v>896</v>
      </c>
      <c r="H451" t="s">
        <v>1123</v>
      </c>
      <c r="I451" t="s">
        <v>1234</v>
      </c>
      <c r="J451">
        <v>10034</v>
      </c>
      <c r="K451" t="s">
        <v>1237</v>
      </c>
      <c r="L451" t="s">
        <v>1237</v>
      </c>
      <c r="M451" t="s">
        <v>1240</v>
      </c>
      <c r="N451" t="s">
        <v>1258</v>
      </c>
      <c r="O451" t="s">
        <v>46</v>
      </c>
      <c r="P451">
        <v>589.36</v>
      </c>
      <c r="T451">
        <v>0.2</v>
      </c>
    </row>
    <row r="452" spans="1:20">
      <c r="A452" s="1">
        <f>HYPERLINK("https://cms.ls-nyc.org/matter/dynamic-profile/view/1867785","18-1867785")</f>
        <v>0</v>
      </c>
      <c r="B452" t="s">
        <v>23</v>
      </c>
      <c r="C452" t="s">
        <v>43</v>
      </c>
      <c r="D452" t="s">
        <v>282</v>
      </c>
      <c r="E452" t="s">
        <v>386</v>
      </c>
      <c r="F452" t="s">
        <v>828</v>
      </c>
      <c r="G452" t="s">
        <v>1099</v>
      </c>
      <c r="H452" t="s">
        <v>1125</v>
      </c>
      <c r="I452" t="s">
        <v>1234</v>
      </c>
      <c r="J452">
        <v>10032</v>
      </c>
      <c r="K452" t="s">
        <v>1237</v>
      </c>
      <c r="L452" t="s">
        <v>1236</v>
      </c>
      <c r="N452" t="s">
        <v>1258</v>
      </c>
      <c r="O452" t="s">
        <v>282</v>
      </c>
      <c r="P452">
        <v>593.08</v>
      </c>
      <c r="T452">
        <v>116</v>
      </c>
    </row>
    <row r="453" spans="1:20">
      <c r="A453" s="1">
        <f>HYPERLINK("https://cms.ls-nyc.org/matter/dynamic-profile/view/1887967","19-1887967")</f>
        <v>0</v>
      </c>
      <c r="B453" t="s">
        <v>22</v>
      </c>
      <c r="C453" t="s">
        <v>43</v>
      </c>
      <c r="D453" t="s">
        <v>146</v>
      </c>
      <c r="E453" t="s">
        <v>583</v>
      </c>
      <c r="F453" t="s">
        <v>880</v>
      </c>
      <c r="G453" t="s">
        <v>1100</v>
      </c>
      <c r="H453">
        <v>4</v>
      </c>
      <c r="I453" t="s">
        <v>1234</v>
      </c>
      <c r="J453">
        <v>10034</v>
      </c>
      <c r="K453" t="s">
        <v>1237</v>
      </c>
      <c r="L453" t="s">
        <v>1237</v>
      </c>
      <c r="M453" t="s">
        <v>1240</v>
      </c>
      <c r="N453" t="s">
        <v>1258</v>
      </c>
      <c r="O453" t="s">
        <v>146</v>
      </c>
      <c r="P453">
        <v>594.3200000000001</v>
      </c>
      <c r="T453">
        <v>0</v>
      </c>
    </row>
    <row r="454" spans="1:20">
      <c r="A454" s="1">
        <f>HYPERLINK("https://cms.ls-nyc.org/matter/dynamic-profile/view/1869099","18-1869099")</f>
        <v>0</v>
      </c>
      <c r="B454" t="s">
        <v>32</v>
      </c>
      <c r="C454" t="s">
        <v>43</v>
      </c>
      <c r="D454" t="s">
        <v>283</v>
      </c>
      <c r="E454" t="s">
        <v>584</v>
      </c>
      <c r="F454" t="s">
        <v>881</v>
      </c>
      <c r="G454" t="s">
        <v>1043</v>
      </c>
      <c r="H454" t="s">
        <v>1109</v>
      </c>
      <c r="I454" t="s">
        <v>1234</v>
      </c>
      <c r="J454">
        <v>10034</v>
      </c>
      <c r="K454" t="s">
        <v>1237</v>
      </c>
      <c r="L454" t="s">
        <v>1236</v>
      </c>
      <c r="M454" t="s">
        <v>1252</v>
      </c>
      <c r="N454" t="s">
        <v>1263</v>
      </c>
      <c r="O454" t="s">
        <v>283</v>
      </c>
      <c r="P454">
        <v>631.83</v>
      </c>
      <c r="T454">
        <v>1</v>
      </c>
    </row>
    <row r="455" spans="1:20">
      <c r="A455" s="1">
        <f>HYPERLINK("https://cms.ls-nyc.org/matter/dynamic-profile/view/1869102","18-1869102")</f>
        <v>0</v>
      </c>
      <c r="B455" t="s">
        <v>32</v>
      </c>
      <c r="C455" t="s">
        <v>43</v>
      </c>
      <c r="D455" t="s">
        <v>283</v>
      </c>
      <c r="E455" t="s">
        <v>584</v>
      </c>
      <c r="F455" t="s">
        <v>881</v>
      </c>
      <c r="G455" t="s">
        <v>1043</v>
      </c>
      <c r="H455" t="s">
        <v>1109</v>
      </c>
      <c r="I455" t="s">
        <v>1234</v>
      </c>
      <c r="J455">
        <v>10034</v>
      </c>
      <c r="K455" t="s">
        <v>1237</v>
      </c>
      <c r="L455" t="s">
        <v>1236</v>
      </c>
      <c r="M455" t="s">
        <v>1252</v>
      </c>
      <c r="N455" t="s">
        <v>1263</v>
      </c>
      <c r="O455" t="s">
        <v>283</v>
      </c>
      <c r="P455">
        <v>631.83</v>
      </c>
      <c r="T455">
        <v>0</v>
      </c>
    </row>
    <row r="456" spans="1:20">
      <c r="A456" s="1">
        <f>HYPERLINK("https://cms.ls-nyc.org/matter/dynamic-profile/view/1869088","18-1869088")</f>
        <v>0</v>
      </c>
      <c r="B456" t="s">
        <v>32</v>
      </c>
      <c r="C456" t="s">
        <v>43</v>
      </c>
      <c r="D456" t="s">
        <v>283</v>
      </c>
      <c r="E456" t="s">
        <v>585</v>
      </c>
      <c r="F456" t="s">
        <v>882</v>
      </c>
      <c r="G456" t="s">
        <v>1043</v>
      </c>
      <c r="H456" t="s">
        <v>1160</v>
      </c>
      <c r="I456" t="s">
        <v>1234</v>
      </c>
      <c r="J456">
        <v>10034</v>
      </c>
      <c r="K456" t="s">
        <v>1237</v>
      </c>
      <c r="L456" t="s">
        <v>1236</v>
      </c>
      <c r="M456" t="s">
        <v>1252</v>
      </c>
      <c r="N456" t="s">
        <v>1263</v>
      </c>
      <c r="O456" t="s">
        <v>283</v>
      </c>
      <c r="P456">
        <v>642.58</v>
      </c>
      <c r="T456">
        <v>3.9</v>
      </c>
    </row>
    <row r="457" spans="1:20">
      <c r="A457" s="1">
        <f>HYPERLINK("https://cms.ls-nyc.org/matter/dynamic-profile/view/1869096","18-1869096")</f>
        <v>0</v>
      </c>
      <c r="B457" t="s">
        <v>32</v>
      </c>
      <c r="C457" t="s">
        <v>43</v>
      </c>
      <c r="D457" t="s">
        <v>283</v>
      </c>
      <c r="E457" t="s">
        <v>585</v>
      </c>
      <c r="F457" t="s">
        <v>882</v>
      </c>
      <c r="G457" t="s">
        <v>1043</v>
      </c>
      <c r="H457" t="s">
        <v>1160</v>
      </c>
      <c r="I457" t="s">
        <v>1234</v>
      </c>
      <c r="J457">
        <v>10034</v>
      </c>
      <c r="K457" t="s">
        <v>1237</v>
      </c>
      <c r="L457" t="s">
        <v>1236</v>
      </c>
      <c r="M457" t="s">
        <v>1252</v>
      </c>
      <c r="N457" t="s">
        <v>1263</v>
      </c>
      <c r="O457" t="s">
        <v>283</v>
      </c>
      <c r="P457">
        <v>642.58</v>
      </c>
      <c r="T457">
        <v>32.65</v>
      </c>
    </row>
    <row r="458" spans="1:20">
      <c r="A458" s="1">
        <f>HYPERLINK("https://cms.ls-nyc.org/matter/dynamic-profile/view/1863061","18-1863061")</f>
        <v>0</v>
      </c>
      <c r="B458" t="s">
        <v>24</v>
      </c>
      <c r="C458" t="s">
        <v>43</v>
      </c>
      <c r="D458" t="s">
        <v>141</v>
      </c>
      <c r="E458" t="s">
        <v>586</v>
      </c>
      <c r="F458" t="s">
        <v>883</v>
      </c>
      <c r="G458" t="s">
        <v>895</v>
      </c>
      <c r="H458" t="s">
        <v>1140</v>
      </c>
      <c r="I458" t="s">
        <v>1234</v>
      </c>
      <c r="J458">
        <v>10034</v>
      </c>
      <c r="K458" t="s">
        <v>1237</v>
      </c>
      <c r="L458" t="s">
        <v>1237</v>
      </c>
      <c r="M458" t="s">
        <v>1240</v>
      </c>
      <c r="N458" t="s">
        <v>1258</v>
      </c>
      <c r="O458" t="s">
        <v>1273</v>
      </c>
      <c r="P458">
        <v>662.21</v>
      </c>
      <c r="T458">
        <v>0</v>
      </c>
    </row>
    <row r="459" spans="1:20">
      <c r="A459" s="1">
        <f>HYPERLINK("https://cms.ls-nyc.org/matter/dynamic-profile/view/1894909","19-1894909")</f>
        <v>0</v>
      </c>
      <c r="B459" t="s">
        <v>28</v>
      </c>
      <c r="C459" t="s">
        <v>43</v>
      </c>
      <c r="D459" t="s">
        <v>106</v>
      </c>
      <c r="E459" t="s">
        <v>570</v>
      </c>
      <c r="F459" t="s">
        <v>884</v>
      </c>
      <c r="G459" t="s">
        <v>950</v>
      </c>
      <c r="H459">
        <v>52</v>
      </c>
      <c r="I459" t="s">
        <v>1234</v>
      </c>
      <c r="J459">
        <v>10034</v>
      </c>
      <c r="K459" t="s">
        <v>1237</v>
      </c>
      <c r="L459" t="s">
        <v>1237</v>
      </c>
      <c r="M459" t="s">
        <v>1240</v>
      </c>
      <c r="N459" t="s">
        <v>1261</v>
      </c>
      <c r="O459" t="s">
        <v>106</v>
      </c>
      <c r="P459">
        <v>701.75</v>
      </c>
      <c r="T459">
        <v>0</v>
      </c>
    </row>
    <row r="460" spans="1:20">
      <c r="A460" s="1">
        <f>HYPERLINK("https://cms.ls-nyc.org/matter/dynamic-profile/view/1870331","18-1870331")</f>
        <v>0</v>
      </c>
      <c r="B460" t="s">
        <v>32</v>
      </c>
      <c r="C460" t="s">
        <v>43</v>
      </c>
      <c r="D460" t="s">
        <v>108</v>
      </c>
      <c r="E460" t="s">
        <v>440</v>
      </c>
      <c r="F460" t="s">
        <v>885</v>
      </c>
      <c r="G460" t="s">
        <v>1043</v>
      </c>
      <c r="H460" t="s">
        <v>1232</v>
      </c>
      <c r="I460" t="s">
        <v>1234</v>
      </c>
      <c r="J460">
        <v>10034</v>
      </c>
      <c r="K460" t="s">
        <v>1237</v>
      </c>
      <c r="L460" t="s">
        <v>1236</v>
      </c>
      <c r="M460" t="s">
        <v>1252</v>
      </c>
      <c r="N460" t="s">
        <v>1263</v>
      </c>
      <c r="O460" t="s">
        <v>1271</v>
      </c>
      <c r="P460">
        <v>702.96</v>
      </c>
      <c r="T460">
        <v>0</v>
      </c>
    </row>
    <row r="461" spans="1:20">
      <c r="A461" s="1">
        <f>HYPERLINK("https://cms.ls-nyc.org/matter/dynamic-profile/view/1870334","18-1870334")</f>
        <v>0</v>
      </c>
      <c r="B461" t="s">
        <v>32</v>
      </c>
      <c r="C461" t="s">
        <v>43</v>
      </c>
      <c r="D461" t="s">
        <v>108</v>
      </c>
      <c r="E461" t="s">
        <v>440</v>
      </c>
      <c r="F461" t="s">
        <v>885</v>
      </c>
      <c r="G461" t="s">
        <v>1043</v>
      </c>
      <c r="H461" t="s">
        <v>1232</v>
      </c>
      <c r="I461" t="s">
        <v>1234</v>
      </c>
      <c r="J461">
        <v>10034</v>
      </c>
      <c r="K461" t="s">
        <v>1237</v>
      </c>
      <c r="L461" t="s">
        <v>1236</v>
      </c>
      <c r="M461" t="s">
        <v>1252</v>
      </c>
      <c r="N461" t="s">
        <v>1263</v>
      </c>
      <c r="O461" t="s">
        <v>1271</v>
      </c>
      <c r="P461">
        <v>702.96</v>
      </c>
      <c r="T461">
        <v>0</v>
      </c>
    </row>
    <row r="462" spans="1:20">
      <c r="A462" s="1">
        <f>HYPERLINK("https://cms.ls-nyc.org/matter/dynamic-profile/view/1869108","18-1869108")</f>
        <v>0</v>
      </c>
      <c r="B462" t="s">
        <v>32</v>
      </c>
      <c r="C462" t="s">
        <v>43</v>
      </c>
      <c r="D462" t="s">
        <v>283</v>
      </c>
      <c r="E462" t="s">
        <v>587</v>
      </c>
      <c r="F462" t="s">
        <v>699</v>
      </c>
      <c r="G462" t="s">
        <v>1043</v>
      </c>
      <c r="H462" t="s">
        <v>1106</v>
      </c>
      <c r="I462" t="s">
        <v>1234</v>
      </c>
      <c r="J462">
        <v>10034</v>
      </c>
      <c r="K462" t="s">
        <v>1237</v>
      </c>
      <c r="L462" t="s">
        <v>1236</v>
      </c>
      <c r="M462" t="s">
        <v>1252</v>
      </c>
      <c r="N462" t="s">
        <v>1263</v>
      </c>
      <c r="O462" t="s">
        <v>283</v>
      </c>
      <c r="P462">
        <v>741.35</v>
      </c>
      <c r="T462">
        <v>0</v>
      </c>
    </row>
    <row r="463" spans="1:20">
      <c r="A463" s="1">
        <f>HYPERLINK("https://cms.ls-nyc.org/matter/dynamic-profile/view/1869110","18-1869110")</f>
        <v>0</v>
      </c>
      <c r="B463" t="s">
        <v>32</v>
      </c>
      <c r="C463" t="s">
        <v>43</v>
      </c>
      <c r="D463" t="s">
        <v>283</v>
      </c>
      <c r="E463" t="s">
        <v>587</v>
      </c>
      <c r="F463" t="s">
        <v>699</v>
      </c>
      <c r="G463" t="s">
        <v>1043</v>
      </c>
      <c r="H463" t="s">
        <v>1106</v>
      </c>
      <c r="I463" t="s">
        <v>1234</v>
      </c>
      <c r="J463">
        <v>10034</v>
      </c>
      <c r="K463" t="s">
        <v>1237</v>
      </c>
      <c r="L463" t="s">
        <v>1236</v>
      </c>
      <c r="M463" t="s">
        <v>1252</v>
      </c>
      <c r="N463" t="s">
        <v>1263</v>
      </c>
      <c r="O463" t="s">
        <v>283</v>
      </c>
      <c r="P463">
        <v>741.35</v>
      </c>
      <c r="T463">
        <v>0.8</v>
      </c>
    </row>
    <row r="464" spans="1:20">
      <c r="A464" s="1">
        <f>HYPERLINK("https://cms.ls-nyc.org/matter/dynamic-profile/view/1871582","18-1871582")</f>
        <v>0</v>
      </c>
      <c r="B464" t="s">
        <v>22</v>
      </c>
      <c r="C464" t="s">
        <v>43</v>
      </c>
      <c r="D464" t="s">
        <v>46</v>
      </c>
      <c r="E464" t="s">
        <v>588</v>
      </c>
      <c r="F464" t="s">
        <v>886</v>
      </c>
      <c r="G464" t="s">
        <v>896</v>
      </c>
      <c r="I464" t="s">
        <v>1234</v>
      </c>
      <c r="J464">
        <v>10034</v>
      </c>
      <c r="K464" t="s">
        <v>1237</v>
      </c>
      <c r="L464" t="s">
        <v>1237</v>
      </c>
      <c r="M464" t="s">
        <v>1240</v>
      </c>
      <c r="N464" t="s">
        <v>1258</v>
      </c>
      <c r="O464" t="s">
        <v>46</v>
      </c>
      <c r="P464">
        <v>766.0599999999999</v>
      </c>
      <c r="T464">
        <v>1.3</v>
      </c>
    </row>
    <row r="465" spans="1:20">
      <c r="A465" s="1">
        <f>HYPERLINK("https://cms.ls-nyc.org/matter/dynamic-profile/view/1901437","19-1901437")</f>
        <v>0</v>
      </c>
      <c r="B465" t="s">
        <v>42</v>
      </c>
      <c r="C465" t="s">
        <v>43</v>
      </c>
      <c r="D465" t="s">
        <v>129</v>
      </c>
      <c r="E465" t="s">
        <v>589</v>
      </c>
      <c r="F465" t="s">
        <v>887</v>
      </c>
      <c r="G465" t="s">
        <v>1101</v>
      </c>
      <c r="H465">
        <v>43</v>
      </c>
      <c r="I465" t="s">
        <v>1234</v>
      </c>
      <c r="J465">
        <v>10033</v>
      </c>
      <c r="K465" t="s">
        <v>1237</v>
      </c>
      <c r="L465" t="s">
        <v>1236</v>
      </c>
      <c r="M465" t="s">
        <v>1244</v>
      </c>
      <c r="N465" t="s">
        <v>1260</v>
      </c>
      <c r="O465" t="s">
        <v>129</v>
      </c>
      <c r="P465">
        <v>774.73</v>
      </c>
      <c r="T465">
        <v>0</v>
      </c>
    </row>
    <row r="466" spans="1:20">
      <c r="A466" s="1">
        <f>HYPERLINK("https://cms.ls-nyc.org/matter/dynamic-profile/view/1901452","19-1901452")</f>
        <v>0</v>
      </c>
      <c r="B466" t="s">
        <v>42</v>
      </c>
      <c r="C466" t="s">
        <v>43</v>
      </c>
      <c r="D466" t="s">
        <v>129</v>
      </c>
      <c r="E466" t="s">
        <v>550</v>
      </c>
      <c r="F466" t="s">
        <v>888</v>
      </c>
      <c r="G466" t="s">
        <v>896</v>
      </c>
      <c r="H466" t="s">
        <v>1116</v>
      </c>
      <c r="I466" t="s">
        <v>1234</v>
      </c>
      <c r="J466">
        <v>10034</v>
      </c>
      <c r="K466" t="s">
        <v>1237</v>
      </c>
      <c r="L466" t="s">
        <v>1236</v>
      </c>
      <c r="M466" t="s">
        <v>1244</v>
      </c>
      <c r="N466" t="s">
        <v>1260</v>
      </c>
      <c r="O466" t="s">
        <v>129</v>
      </c>
      <c r="P466">
        <v>810.17</v>
      </c>
      <c r="T466">
        <v>0</v>
      </c>
    </row>
    <row r="467" spans="1:20">
      <c r="A467" s="1">
        <f>HYPERLINK("https://cms.ls-nyc.org/matter/dynamic-profile/view/1871568","18-1871568")</f>
        <v>0</v>
      </c>
      <c r="B467" t="s">
        <v>22</v>
      </c>
      <c r="C467" t="s">
        <v>43</v>
      </c>
      <c r="D467" t="s">
        <v>46</v>
      </c>
      <c r="E467" t="s">
        <v>590</v>
      </c>
      <c r="F467" t="s">
        <v>889</v>
      </c>
      <c r="G467" t="s">
        <v>896</v>
      </c>
      <c r="H467" t="s">
        <v>1179</v>
      </c>
      <c r="I467" t="s">
        <v>1234</v>
      </c>
      <c r="J467">
        <v>10034</v>
      </c>
      <c r="K467" t="s">
        <v>1237</v>
      </c>
      <c r="L467" t="s">
        <v>1237</v>
      </c>
      <c r="M467" t="s">
        <v>1240</v>
      </c>
      <c r="N467" t="s">
        <v>1258</v>
      </c>
      <c r="O467" t="s">
        <v>46</v>
      </c>
      <c r="P467">
        <v>864.91</v>
      </c>
      <c r="T467">
        <v>0.4</v>
      </c>
    </row>
    <row r="468" spans="1:20">
      <c r="A468" s="1">
        <f>HYPERLINK("https://cms.ls-nyc.org/matter/dynamic-profile/view/1901164","19-1901164")</f>
        <v>0</v>
      </c>
      <c r="B468" t="s">
        <v>25</v>
      </c>
      <c r="C468" t="s">
        <v>43</v>
      </c>
      <c r="D468" t="s">
        <v>270</v>
      </c>
      <c r="E468" t="s">
        <v>591</v>
      </c>
      <c r="F468" t="s">
        <v>890</v>
      </c>
      <c r="G468" t="s">
        <v>1102</v>
      </c>
      <c r="H468" t="s">
        <v>1116</v>
      </c>
      <c r="I468" t="s">
        <v>1234</v>
      </c>
      <c r="J468">
        <v>10034</v>
      </c>
      <c r="K468" t="s">
        <v>1237</v>
      </c>
      <c r="L468" t="s">
        <v>1236</v>
      </c>
      <c r="M468" t="s">
        <v>1243</v>
      </c>
      <c r="N468" t="s">
        <v>1261</v>
      </c>
      <c r="O468" t="s">
        <v>270</v>
      </c>
      <c r="P468">
        <v>960.77</v>
      </c>
      <c r="T468">
        <v>0</v>
      </c>
    </row>
    <row r="469" spans="1:20">
      <c r="A469" s="1">
        <f>HYPERLINK("https://cms.ls-nyc.org/matter/dynamic-profile/view/1901975","19-1901975")</f>
        <v>0</v>
      </c>
      <c r="B469" t="s">
        <v>42</v>
      </c>
      <c r="C469" t="s">
        <v>43</v>
      </c>
      <c r="D469" t="s">
        <v>48</v>
      </c>
      <c r="E469" t="s">
        <v>592</v>
      </c>
      <c r="F469" t="s">
        <v>818</v>
      </c>
      <c r="G469" t="s">
        <v>1103</v>
      </c>
      <c r="H469" t="s">
        <v>1107</v>
      </c>
      <c r="I469" t="s">
        <v>1234</v>
      </c>
      <c r="J469">
        <v>10034</v>
      </c>
      <c r="K469" t="s">
        <v>1237</v>
      </c>
      <c r="L469" t="s">
        <v>1236</v>
      </c>
      <c r="M469" t="s">
        <v>1241</v>
      </c>
      <c r="N469" t="s">
        <v>1260</v>
      </c>
      <c r="O469" t="s">
        <v>48</v>
      </c>
      <c r="P469">
        <v>1005.32</v>
      </c>
      <c r="T469">
        <v>0</v>
      </c>
    </row>
    <row r="470" spans="1:20">
      <c r="A470" s="1">
        <f>HYPERLINK("https://cms.ls-nyc.org/matter/dynamic-profile/view/1871586","18-1871586")</f>
        <v>0</v>
      </c>
      <c r="B470" t="s">
        <v>22</v>
      </c>
      <c r="C470" t="s">
        <v>43</v>
      </c>
      <c r="D470" t="s">
        <v>46</v>
      </c>
      <c r="E470" t="s">
        <v>284</v>
      </c>
      <c r="F470" t="s">
        <v>891</v>
      </c>
      <c r="G470" t="s">
        <v>896</v>
      </c>
      <c r="H470" t="s">
        <v>1137</v>
      </c>
      <c r="I470" t="s">
        <v>1234</v>
      </c>
      <c r="J470">
        <v>10034</v>
      </c>
      <c r="K470" t="s">
        <v>1237</v>
      </c>
      <c r="L470" t="s">
        <v>1236</v>
      </c>
      <c r="M470" t="s">
        <v>1240</v>
      </c>
      <c r="N470" t="s">
        <v>1258</v>
      </c>
      <c r="O470" t="s">
        <v>46</v>
      </c>
      <c r="P470">
        <v>1029.65</v>
      </c>
      <c r="T470">
        <v>0.4</v>
      </c>
    </row>
    <row r="471" spans="1:20">
      <c r="A471" s="1">
        <f>HYPERLINK("https://cms.ls-nyc.org/matter/dynamic-profile/view/1901178","19-1901178")</f>
        <v>0</v>
      </c>
      <c r="B471" t="s">
        <v>25</v>
      </c>
      <c r="C471" t="s">
        <v>43</v>
      </c>
      <c r="D471" t="s">
        <v>270</v>
      </c>
      <c r="E471" t="s">
        <v>593</v>
      </c>
      <c r="F471" t="s">
        <v>892</v>
      </c>
      <c r="G471" t="s">
        <v>1083</v>
      </c>
      <c r="H471" t="s">
        <v>1233</v>
      </c>
      <c r="I471" t="s">
        <v>1234</v>
      </c>
      <c r="J471">
        <v>10033</v>
      </c>
      <c r="K471" t="s">
        <v>1237</v>
      </c>
      <c r="L471" t="s">
        <v>1236</v>
      </c>
      <c r="M471" t="s">
        <v>1244</v>
      </c>
      <c r="N471" t="s">
        <v>1261</v>
      </c>
      <c r="O471" t="s">
        <v>270</v>
      </c>
      <c r="P471">
        <v>1094.03</v>
      </c>
      <c r="T471">
        <v>0</v>
      </c>
    </row>
    <row r="472" spans="1:20">
      <c r="A472" s="1">
        <f>HYPERLINK("https://cms.ls-nyc.org/matter/dynamic-profile/view/1891049","19-1891049")</f>
        <v>0</v>
      </c>
      <c r="B472" t="s">
        <v>28</v>
      </c>
      <c r="C472" t="s">
        <v>43</v>
      </c>
      <c r="D472" t="s">
        <v>100</v>
      </c>
      <c r="E472" t="s">
        <v>594</v>
      </c>
      <c r="F472" t="s">
        <v>893</v>
      </c>
      <c r="G472" t="s">
        <v>1094</v>
      </c>
      <c r="H472" t="s">
        <v>1155</v>
      </c>
      <c r="I472" t="s">
        <v>1234</v>
      </c>
      <c r="J472">
        <v>10033</v>
      </c>
      <c r="K472" t="s">
        <v>1237</v>
      </c>
      <c r="L472" t="s">
        <v>1237</v>
      </c>
      <c r="N472" t="s">
        <v>1261</v>
      </c>
      <c r="O472" t="s">
        <v>100</v>
      </c>
      <c r="P472">
        <v>1200.96</v>
      </c>
      <c r="T4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2019-06-14T15:01:52Z</dcterms:created>
  <dcterms:modified xsi:type="dcterms:W3CDTF">2019-06-14T15:01:52Z</dcterms:modified>
</cp:coreProperties>
</file>